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April 2020" sheetId="1" r:id="rId1"/>
  </sheets>
  <definedNames>
    <definedName name="_xlnm._FilterDatabase" localSheetId="0" hidden="1">'April 2020'!$A$1:$H$2659</definedName>
  </definedNames>
  <calcPr calcId="152511"/>
</workbook>
</file>

<file path=xl/calcChain.xml><?xml version="1.0" encoding="utf-8"?>
<calcChain xmlns="http://schemas.openxmlformats.org/spreadsheetml/2006/main">
  <c r="C2660" i="1" l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</calcChain>
</file>

<file path=xl/sharedStrings.xml><?xml version="1.0" encoding="utf-8"?>
<sst xmlns="http://schemas.openxmlformats.org/spreadsheetml/2006/main" count="493" uniqueCount="366">
  <si>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</si>
  <si>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</si>
  <si>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</si>
  <si>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</si>
  <si>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</si>
  <si>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</si>
  <si>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</si>
  <si>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</si>
  <si>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</si>
  <si>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304 CONSTRUCTION LLC</t>
  </si>
  <si>
    <t>WILLIAM E. SUMNER</t>
  </si>
  <si>
    <t>973 MATERIALS  LLC</t>
  </si>
  <si>
    <t>A PLUS BAIL BONDS</t>
  </si>
  <si>
    <t>ARNOLD OIL COMPANY OF AUSTIN LP</t>
  </si>
  <si>
    <t>AAA FIRE &amp; SAFETY EQUIP CO.  INC.</t>
  </si>
  <si>
    <t>ABREO &amp; CARTER</t>
  </si>
  <si>
    <t>ADAM DAKOTA ROWINS</t>
  </si>
  <si>
    <t>ADAM MARSHALL</t>
  </si>
  <si>
    <t>ADENA LEWIS</t>
  </si>
  <si>
    <t>ALAN J. LONG</t>
  </si>
  <si>
    <t>ALBERT NEAL PFEIFFER</t>
  </si>
  <si>
    <t>TIMOTHY HALL</t>
  </si>
  <si>
    <t>ALLEN YOAST</t>
  </si>
  <si>
    <t>322  03/23/2020"</t>
  </si>
  <si>
    <t>AMANDA BRUCE</t>
  </si>
  <si>
    <t>AMAZON CAPITAL SERVICES INC</t>
  </si>
  <si>
    <t>AMERICAN FASTENERS  INC.</t>
  </si>
  <si>
    <t>AMG PRINTING &amp; MAILING  LLC</t>
  </si>
  <si>
    <t>ANDERSON &amp; ANDERSON LAW FIRM PC</t>
  </si>
  <si>
    <t>ANTHONY ALTGILBERS</t>
  </si>
  <si>
    <t>C APPLEMAN ENT INC</t>
  </si>
  <si>
    <t>AQUA BEVERAGE COMPANY/OZARKA</t>
  </si>
  <si>
    <t>AQUA WATER SUPPLY CORPORATION</t>
  </si>
  <si>
    <t>CHRISTOPHER HULL MAYER</t>
  </si>
  <si>
    <t>ASHLEY HERMANS</t>
  </si>
  <si>
    <t>AT&amp;T</t>
  </si>
  <si>
    <t>AT&amp;T MOBILITY</t>
  </si>
  <si>
    <t>AUSTIN FLAG AND FLAGPOLE</t>
  </si>
  <si>
    <t>AUSTIN RADIOLOGICAL ASSOC</t>
  </si>
  <si>
    <t>AUSTIN RETINA ASSSOCIATES</t>
  </si>
  <si>
    <t>JIM ATTRA INC</t>
  </si>
  <si>
    <t>MICHAEL OLDHAM TIRE INC</t>
  </si>
  <si>
    <t>EDUARDO BARRIENTOS</t>
  </si>
  <si>
    <t>DEBORAH D. SPARKMAN</t>
  </si>
  <si>
    <t>BASTROP BAIL BONDS</t>
  </si>
  <si>
    <t>BASTROP COUNTY SHERIFF'S DEPT</t>
  </si>
  <si>
    <t>402"</t>
  </si>
  <si>
    <t>DANIEL L HEPKER</t>
  </si>
  <si>
    <t>BASTROP COUNTY CARES</t>
  </si>
  <si>
    <t>BASTROP PROVIDENCE  LLC</t>
  </si>
  <si>
    <t>BASTROP VETERINARY HOSPITAL  INC.</t>
  </si>
  <si>
    <t>BAYER CORPORATION</t>
  </si>
  <si>
    <t>DAVID H OUTON</t>
  </si>
  <si>
    <t>BEN E KEITH CO.</t>
  </si>
  <si>
    <t>BERAN'S GIN MILL &amp; FEED CO  LP</t>
  </si>
  <si>
    <t>MULTI SERVICE TECHNOLOGY SOLUTIONS  INC.</t>
  </si>
  <si>
    <t>B C FOOD GROUP  LLC</t>
  </si>
  <si>
    <t>BETTY LOU GAINES</t>
  </si>
  <si>
    <t>BIG TEX TRAILERWORLD INC.</t>
  </si>
  <si>
    <t>BIG WRENCH ROAD SERVICE INC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</si>
  <si>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</si>
  <si>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</si>
  <si>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</si>
  <si>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</si>
  <si>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</si>
  <si>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BOEHM TRACTOR SALES INC</t>
  </si>
  <si>
    <t>BRAUNTEX MATERIALS INC</t>
  </si>
  <si>
    <t>BRAZORIA COUNTY SHERIFF</t>
  </si>
  <si>
    <t>LAW OFFICE OF BRYAN W. MCDANIEL  P.C.</t>
  </si>
  <si>
    <t>BUREAU OF VITAL STATISTICS</t>
  </si>
  <si>
    <t>CAPITOL BEARING SERVICE OF AUSTIN  INC.</t>
  </si>
  <si>
    <t>TIB-THE INDEPENDENT BANKERS BANK</t>
  </si>
  <si>
    <t>CEN-TEX MARINE FABRICATORS INC</t>
  </si>
  <si>
    <t>CENTERPOINT ENERGY</t>
  </si>
  <si>
    <t>CENTEX IMAGE DESIGNS  LLC</t>
  </si>
  <si>
    <t>CENTRAL TEXAS COMMUNITY HEALTH CENTERS</t>
  </si>
  <si>
    <t>CHARLES W CARVER</t>
  </si>
  <si>
    <t>CHARM-TEX</t>
  </si>
  <si>
    <t>CHEROKEE COUNTY SHERIFF</t>
  </si>
  <si>
    <t>CHRIS MATT DILLON</t>
  </si>
  <si>
    <t>CHRISTINE FILES</t>
  </si>
  <si>
    <t>CIMA SOFTWARE CORP</t>
  </si>
  <si>
    <t>CINTAS</t>
  </si>
  <si>
    <t>CINTAS CORPORATION</t>
  </si>
  <si>
    <t>CINTAS CORPORATION #86</t>
  </si>
  <si>
    <t>CITGO</t>
  </si>
  <si>
    <t>135"</t>
  </si>
  <si>
    <t>CITIBANK</t>
  </si>
  <si>
    <t>CITY OF BASTROP</t>
  </si>
  <si>
    <t>CITY OF SMITHVILLE</t>
  </si>
  <si>
    <t>CLIFFORD POWER SYSTEMS INC</t>
  </si>
  <si>
    <t>CLINICAL PATHOLOGY LABORATORIES INC</t>
  </si>
  <si>
    <t>CLINICAL PATHOLOGY ASSOC. OF AUSTIN</t>
  </si>
  <si>
    <t>CML SECURITY  LLC</t>
  </si>
  <si>
    <t>COMMUNITY COFFEE COMPANY LLC</t>
  </si>
  <si>
    <t>COMMUNITY HEALTH CENTERS</t>
  </si>
  <si>
    <t>CONTECH ENGINEERED SOLUTIONS INC</t>
  </si>
  <si>
    <t>CONVERGENCE CABLING  INC.</t>
  </si>
  <si>
    <t>COOPER EQUIPMENT CO.</t>
  </si>
  <si>
    <t>COVERT CHEVROLET-OLDS</t>
  </si>
  <si>
    <t>BUTLER ANIMAL HEALTH HOLDING COMPANY  LLC</t>
  </si>
  <si>
    <t>CRESSIDA EVELYN KWOLEK  Ph.D.</t>
  </si>
  <si>
    <t>FARBER INC</t>
  </si>
  <si>
    <t>CUSTOM PRODUCTS CORPORATION</t>
  </si>
  <si>
    <t>D &amp; A WIRE ROPE  INC</t>
  </si>
  <si>
    <t>DALLAS COUNTY CONSTABLE PCT 1</t>
  </si>
  <si>
    <t>DARLON J. SOJAK</t>
  </si>
  <si>
    <t>DASH MEDICAL GLOVES INC.</t>
  </si>
  <si>
    <t>DAVID B BROOKS</t>
  </si>
  <si>
    <t>DELL</t>
  </si>
  <si>
    <t>DENTRUST DENTAL TX PC</t>
  </si>
  <si>
    <t>DICKENS LOCKSMITH INC</t>
  </si>
  <si>
    <t>TEXAS DEPARTMENT OF INFORMATION RESOURCES</t>
  </si>
  <si>
    <t>DISCOUNT DOOR &amp; METAL  LLC</t>
  </si>
  <si>
    <t>THE REINALT - THOMAS CORPORATION</t>
  </si>
  <si>
    <t>DONNIE STARK</t>
  </si>
  <si>
    <t>DOUBLE D INTERNATIONAL FOOD CO.  INC.</t>
  </si>
  <si>
    <t>KRISTI ARRINGTON KALLINA</t>
  </si>
  <si>
    <t>DUNNE &amp; JUAREZ L.L.C.</t>
  </si>
  <si>
    <t>DAVID MCMULLEN</t>
  </si>
  <si>
    <t>PBJ INC</t>
  </si>
  <si>
    <t>ECOLAB INC</t>
  </si>
  <si>
    <t>ELECTION SYSTEMS &amp; SOFTWARE INC</t>
  </si>
  <si>
    <t>BLACKLANDS PUBLICATIONS INC</t>
  </si>
  <si>
    <t>ELGIN REINVESTMENT ZONE # 1</t>
  </si>
  <si>
    <t>CITY OF ELGIN UTILITIES</t>
  </si>
  <si>
    <t>ELLIOTT ELECTRIC SUPPLY INC</t>
  </si>
  <si>
    <t>ERGON ASPHALT &amp; EMULSIONS INC</t>
  </si>
  <si>
    <t>ERIN NICKEL</t>
  </si>
  <si>
    <t>EWEAC</t>
  </si>
  <si>
    <t>BASTROP COUNTY WOMEN'S SHELTER</t>
  </si>
  <si>
    <t>FAMILY HEALTH CENTER OF BASTROP PLLC</t>
  </si>
  <si>
    <t>FEDERAL EXPRESS</t>
  </si>
  <si>
    <t>FLEETPRIDE</t>
  </si>
  <si>
    <t>FLORENCE BEHAVIN</t>
  </si>
  <si>
    <t>FOREMOST COUNTY MUTUAL INS CO</t>
  </si>
  <si>
    <t>347  03/31/2020"</t>
  </si>
  <si>
    <t>FORREST L. SANDERSON</t>
  </si>
  <si>
    <t>AUSTIN TRUCK AND EQUIPMENT  LTD</t>
  </si>
  <si>
    <t>EUGENE W BRIGGS JR</t>
  </si>
  <si>
    <t>GALLS PARENT HOLDINGS LLC</t>
  </si>
  <si>
    <t>GIPSON PENDERGRASS PEOPLE'S MORTUARY LLC</t>
  </si>
  <si>
    <t>GRAINGER INC</t>
  </si>
  <si>
    <t>GT DISTRIBUTORS  INC.</t>
  </si>
  <si>
    <t>GULF COAST PAPER CO. INC.</t>
  </si>
  <si>
    <t>HALFF ASSOCIATES</t>
  </si>
  <si>
    <t>HARRIS COUNTY CONSTABLE PCT 1</t>
  </si>
  <si>
    <t>BLTI SERVICES</t>
  </si>
  <si>
    <t>HAYS COUNTY CONSTABLE PCT 4</t>
  </si>
  <si>
    <t>HEADSETS DIRECT INC.</t>
  </si>
  <si>
    <t>HENGST PRINTING &amp; SUPPLIES</t>
  </si>
  <si>
    <t>HERSHCAP BACKHOE &amp; DITCHING  INC.</t>
  </si>
  <si>
    <t>658  03/06/2020"</t>
  </si>
  <si>
    <t>HI-LINE</t>
  </si>
  <si>
    <t>BASCOM L HODGES JR</t>
  </si>
  <si>
    <t>HOLLY SCHULZ  CSR  RPR</t>
  </si>
  <si>
    <t>BD HOLT CO</t>
  </si>
  <si>
    <t>CITIBANK (SOUTH DAKOTA)N.A./THE HOME DEPOT</t>
  </si>
  <si>
    <t>NORTHWEST CASCADE INC</t>
  </si>
  <si>
    <t>GREGORY LUCAS</t>
  </si>
  <si>
    <t>HYDRAULIC HOUSE INC</t>
  </si>
  <si>
    <t>INDUSTRIAL LAMINATES CORPORATION</t>
  </si>
  <si>
    <t>INDIGENT HEALTHCARE SOLUTIONS</t>
  </si>
  <si>
    <t>INLAND TRUCK PARTS COMPANY</t>
  </si>
  <si>
    <t>IRON MOUNTAIN RECORDS MGMT INC</t>
  </si>
  <si>
    <t>J D LANGLEY</t>
  </si>
  <si>
    <t>JAMES O. BURKE</t>
  </si>
  <si>
    <t>JENKINS &amp; JENKINS LLP</t>
  </si>
  <si>
    <t>JENNIFER BLUE BOYD</t>
  </si>
  <si>
    <t>JERRY HOFROCK</t>
  </si>
  <si>
    <t>505  03/02/2020"</t>
  </si>
  <si>
    <t>JAMES MORGAN</t>
  </si>
  <si>
    <t>JOHN DEERE FINANCIAL f.s.b.</t>
  </si>
  <si>
    <t>JORDAN BATTERSBY  MCDONALD</t>
  </si>
  <si>
    <t>JESSE E. PERKINS</t>
  </si>
  <si>
    <t>JUSTIN MATTHEW FOHN</t>
  </si>
  <si>
    <t>KAUFMAN COUNTY SHERIFF</t>
  </si>
  <si>
    <t>KAYCI SCHULTZ WATSON</t>
  </si>
  <si>
    <t>KD SPORTING GROUP LLC</t>
  </si>
  <si>
    <t>KENNETH E. LIMUEL JR</t>
  </si>
  <si>
    <t>KENT BROUSSARD TOWER RENTAL INC</t>
  </si>
  <si>
    <t>KING'S PORTABLE THRONES</t>
  </si>
  <si>
    <t>KOETTER FIRE PROTECTION OF AUSTIN  LLC</t>
  </si>
  <si>
    <t>LONGHORN INTERNATIONAL TRUCKS LTD</t>
  </si>
  <si>
    <t>THE LA GRANGE PARTS HOUSE INC</t>
  </si>
  <si>
    <t>LABATT INSTITUTIONAL SUPPLY CO</t>
  </si>
  <si>
    <t>LAURA ROBERTSON</t>
  </si>
  <si>
    <t>LAW ENFORCEMENT RISK MANAGEMENT GROUP  INC.</t>
  </si>
  <si>
    <t>LEE COUNTY WATER SUPPLY CORP</t>
  </si>
  <si>
    <t>LENNOX INDUSTRIES INC</t>
  </si>
  <si>
    <t>AUSTIN LT  INC.</t>
  </si>
  <si>
    <t>LEXISNEXIS RISK DATA MGMT INC</t>
  </si>
  <si>
    <t>LINDA HARMON-TAX ASSESSOR</t>
  </si>
  <si>
    <t>LONE STAR CIRCLE OF CARE</t>
  </si>
  <si>
    <t>LONNIE LAWRENCE DAVIS JR</t>
  </si>
  <si>
    <t>SCOTT BRYANT</t>
  </si>
  <si>
    <t>LOWE'S</t>
  </si>
  <si>
    <t>MARK T. MALONE  M.D. P.A</t>
  </si>
  <si>
    <t>JOHN W GASPARINI INC</t>
  </si>
  <si>
    <t>MARY BETH SCOTT</t>
  </si>
  <si>
    <t>MATHESON TRI-GAS INC</t>
  </si>
  <si>
    <t>MAUREEN S BURROWS MD MPH</t>
  </si>
  <si>
    <t>MC LENNAN COUNTY CONSTABLE PCT 1</t>
  </si>
  <si>
    <t>McCOY'S BUILDING SUPPLY CENTER</t>
  </si>
  <si>
    <t>McCREARY  VESELKA  BRAGG &amp; ALLEN P</t>
  </si>
  <si>
    <t>MEDIMPACT HEALTHCARE SYSTEMS INC</t>
  </si>
  <si>
    <t>MEGAN FAITH ANDERSON</t>
  </si>
  <si>
    <t>MIDTEX MATERIALS</t>
  </si>
  <si>
    <t>MOTOROLA SOLUTIONS  IN.C</t>
  </si>
  <si>
    <t>MOUNTAIN WEST DERM-AUSTIN PLLC</t>
  </si>
  <si>
    <t>EK&amp;R ENTERPRISES  INC</t>
  </si>
  <si>
    <t>MUSTANG MACHINERY COMPANY LTD</t>
  </si>
  <si>
    <t>NALCO COMPANY LLC</t>
  </si>
  <si>
    <t>NALLEY HVAC MECHANICAL LLC</t>
  </si>
  <si>
    <t>NATIONAL FOOD GROUP INC</t>
  </si>
  <si>
    <t>NETPROTEC LLC</t>
  </si>
  <si>
    <t>NETSYNC NETWORK SOUTIONS INC.</t>
  </si>
  <si>
    <t>HORIZONS SOUTHWEST MANAGEMENT LP</t>
  </si>
  <si>
    <t>O'REILLY AUTOMOTIVE  INC.</t>
  </si>
  <si>
    <t>DEAN FOODS COMPANY</t>
  </si>
  <si>
    <t>OFFICE DEPOT</t>
  </si>
  <si>
    <t>OPERATIONAL SUPPORT SERVICES INC</t>
  </si>
  <si>
    <t>PAIGE TRACTORS INC</t>
  </si>
  <si>
    <t>PAPER RETRIEVER OF TEXAS</t>
  </si>
  <si>
    <t>SL PARKER PARTNERSHIP LLC</t>
  </si>
  <si>
    <t>PATRICK ELECTRIC SERVICE</t>
  </si>
  <si>
    <t>PATTERSON  VETERINARY SUPPLY INC</t>
  </si>
  <si>
    <t>PATTILLO  BROWN &amp; HILL   LLP</t>
  </si>
  <si>
    <t>PAUL SWOYER SEPTICS  LLC</t>
  </si>
  <si>
    <t>PERDUE  BRANDON  FIELDER  COLLINS &amp; MOTT LLP</t>
  </si>
  <si>
    <t>PHILIP R DUCLOUX</t>
  </si>
  <si>
    <t>PB PROFESSIONAL SERVICES INC</t>
  </si>
  <si>
    <t>PITNEY BOWES GLOBAL FINANCIAL SERVICES</t>
  </si>
  <si>
    <t>PM WILSON &amp; ASSOCIATES PLLC</t>
  </si>
  <si>
    <t>POST OAK HARDWARE  INC.</t>
  </si>
  <si>
    <t>QUEST DIAGNOSTICS CLINICAL LABORATORIES</t>
  </si>
  <si>
    <t>MADTEX  INC.</t>
  </si>
  <si>
    <t>NESTLE WATERS N AMERICA INC</t>
  </si>
  <si>
    <t>REBECCA STRNAD</t>
  </si>
  <si>
    <t>NRG ENERGY INC</t>
  </si>
  <si>
    <t>REPUBLIC TRUCK SALES   PARTS  &amp; REPAIRS LLC</t>
  </si>
  <si>
    <t>REYNOLDS &amp; KEINARTH</t>
  </si>
  <si>
    <t>RIATA FORD</t>
  </si>
  <si>
    <t>RUNKLE ENTERPRISES</t>
  </si>
  <si>
    <t>ROADRUNNER RADIOLOGY EQUIP LLC</t>
  </si>
  <si>
    <t>ROBERT MADDEN INDUSTRIES LTD</t>
  </si>
  <si>
    <t>ROCKY ROAD PRINTING</t>
  </si>
  <si>
    <t>ROSE PIETSCH COUNTY CLERK</t>
  </si>
  <si>
    <t>SAMMY LERMA III MD</t>
  </si>
  <si>
    <t>SETON HEALTHCARE SPONSORED PROJECTS</t>
  </si>
  <si>
    <t>SHARON HANCOCK</t>
  </si>
  <si>
    <t>962  03/23/2020"</t>
  </si>
  <si>
    <t>SHI GOVERNMENT SOLUTIONS INC.</t>
  </si>
  <si>
    <t>SHRED-IT US HOLDCO  INC</t>
  </si>
  <si>
    <t>SILSBEE FORD</t>
  </si>
  <si>
    <t>SINGLETON ASSOCIATES  PA</t>
  </si>
  <si>
    <t>SKYLINE EQUIPMENT INC.</t>
  </si>
  <si>
    <t>SMITH STORES  INC.</t>
  </si>
  <si>
    <t>SMITHVILLE AUTO PARTS  INC</t>
  </si>
  <si>
    <t>SOE SOFTWARE INC</t>
  </si>
  <si>
    <t>SOUTHERN TIRE MART LLC</t>
  </si>
  <si>
    <t>DS WATERS OF AMERICA INC</t>
  </si>
  <si>
    <t>SPECIALTY VETERINARY PHARMACY INC</t>
  </si>
  <si>
    <t>SPILLAR CUSTOM HITCHES INC</t>
  </si>
  <si>
    <t>ST DAVID'S HEALTHCARE PARTNERSHIP</t>
  </si>
  <si>
    <t>ST. DAVIDS HEART &amp; VASCULAR  PLLC</t>
  </si>
  <si>
    <t>ST. MARK'S MEDICAL CENTER</t>
  </si>
  <si>
    <t>STAPLES  INC.</t>
  </si>
  <si>
    <t>STATE OF TEXAS</t>
  </si>
  <si>
    <t>STERICYCLE  INC.</t>
  </si>
  <si>
    <t>STEVE GRANADO</t>
  </si>
  <si>
    <t>SUN COAST RESOURCES</t>
  </si>
  <si>
    <t>SURGICAL ASSOCIATES OF AUSTIN</t>
  </si>
  <si>
    <t>SUSAN MOORE</t>
  </si>
  <si>
    <t>516"</t>
  </si>
  <si>
    <t>T4 DISTRIBUTION  LLC</t>
  </si>
  <si>
    <t>TAVCO SERVICES INC</t>
  </si>
  <si>
    <t>TEJAS ELEVATOR COMPANY</t>
  </si>
  <si>
    <t>TERRACON CONSULTANTS INC</t>
  </si>
  <si>
    <t>AIR RELIEF TECHNOLOGIES  INC</t>
  </si>
  <si>
    <t>TEX-CON OIL CO</t>
  </si>
  <si>
    <t>TEXAS AGGREGATES  LLC</t>
  </si>
  <si>
    <t>TEXAS ASSOCIATES INSURORS AGENCY</t>
  </si>
  <si>
    <t>TEXAS ASSOCIATION OF COUNTIES</t>
  </si>
  <si>
    <t>TEXAS COMMISSION ON ENVIRONMENTAL QUALITY</t>
  </si>
  <si>
    <t>TEXAS CRUSHED STONE CO.</t>
  </si>
  <si>
    <t>TEXAS DEPT OF PUBLIC SAFETY</t>
  </si>
  <si>
    <t>349  03/02/2020"</t>
  </si>
  <si>
    <t>TEXAS DISPOSAL SYSTEMS  INC.</t>
  </si>
  <si>
    <t>TEXAS MATERIALS GROUP  INC.</t>
  </si>
  <si>
    <t>TEXAS PARKS &amp; WILDLIFE DEPARTMENT</t>
  </si>
  <si>
    <t>HIGH COUNTRY AUTOMOTIVE  LLC</t>
  </si>
  <si>
    <t>TEXAS STATE UNIVERSITY</t>
  </si>
  <si>
    <t>BUG MASTER EXTERMINATING SERVICES  LTD</t>
  </si>
  <si>
    <t>THE CENTER FOR CHILD AND FAMILY HEALTH</t>
  </si>
  <si>
    <t>RICHARD NELSON MOORE</t>
  </si>
  <si>
    <t>THE NITSCHE GROUP</t>
  </si>
  <si>
    <t>THE PRODUCT CENTER</t>
  </si>
  <si>
    <t>WEST PUBLISHING CORPORATION</t>
  </si>
  <si>
    <t>TIM MAHONEY  ATTORNEY AT LAW  PC</t>
  </si>
  <si>
    <t>TOMMY POTTS</t>
  </si>
  <si>
    <t>TRACTOR SUPPLY CREDIT PLAN</t>
  </si>
  <si>
    <t>TRAVIS COUNTY CONSTABLE PCT 5</t>
  </si>
  <si>
    <t>TRAVIS COUNTY EMERGENCY PHYSICIANS PA</t>
  </si>
  <si>
    <t>TRAVIS COUNTY MEDICAL EXAMINER</t>
  </si>
  <si>
    <t>KAUFFMAN TIRE</t>
  </si>
  <si>
    <t>SETON FAMILY OF DOCTORS</t>
  </si>
  <si>
    <t>TEXAS FRAME &amp; ALIGNMENT</t>
  </si>
  <si>
    <t>TYLER COUNTY CONSTABLE PCT 3</t>
  </si>
  <si>
    <t>TYLER TECHNOLOGIES INC</t>
  </si>
  <si>
    <t>COUFAL-PRATER EQUIPMENT  LLC</t>
  </si>
  <si>
    <t>UNITED PARCEL SERVICE</t>
  </si>
  <si>
    <t>vDESKTOP LLC</t>
  </si>
  <si>
    <t>VICTORIA COUNTY SHERIFF</t>
  </si>
  <si>
    <t>TEXAS DEPARTMENT OF STATE HEALTH SERVICES</t>
  </si>
  <si>
    <t>VIVIAN PAN</t>
  </si>
  <si>
    <t>US BANK NA</t>
  </si>
  <si>
    <t>VTX COMMUNICATIONS  LLC</t>
  </si>
  <si>
    <t>WAGEWORKS INC  FSA/HSA</t>
  </si>
  <si>
    <t>WALLER COUNTY ASPHALT INC</t>
  </si>
  <si>
    <t>WASTE CONNECTIONS LONE STAR. INC.</t>
  </si>
  <si>
    <t>WASTE MANAGEMENT OF TEXAS  INC</t>
  </si>
  <si>
    <t>WATCH GUARD VIDEO</t>
  </si>
  <si>
    <t>WAYTEK INC</t>
  </si>
  <si>
    <t>WIND KNOT INCORPORATED</t>
  </si>
  <si>
    <t>MAO PHARMACY INC</t>
  </si>
  <si>
    <t>WILLIAMSON COUNTY CONSTABLE PCT 4</t>
  </si>
  <si>
    <t>WILSON CULVERTS  INC.</t>
  </si>
  <si>
    <t>YOKA INC</t>
  </si>
  <si>
    <t>ACUITY SPECIALTY PRODUCTS INC</t>
  </si>
  <si>
    <t>ZOETIS US LLC</t>
  </si>
  <si>
    <t>BASTROP SIGNS &amp; BANNERS</t>
  </si>
  <si>
    <t>BEFCO ENGINEERING INC</t>
  </si>
  <si>
    <t>CHASCO CONSTRUCTORS LTD LLP</t>
  </si>
  <si>
    <t>DESMAR WALKES</t>
  </si>
  <si>
    <t>SHEVIS MOORE</t>
  </si>
  <si>
    <t>GEORGE C. REINEMUND</t>
  </si>
  <si>
    <t>JAMES D WILLIAMS</t>
  </si>
  <si>
    <t>SHOPPA'S FARM SUPPLY</t>
  </si>
  <si>
    <t>TETRA SURVEYS  LLC</t>
  </si>
  <si>
    <t>ULINE  INC.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</si>
  <si>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</si>
  <si>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</si>
  <si>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</si>
  <si>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</si>
  <si>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</si>
  <si>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DEBORAH B LANGEHENNIG</t>
  </si>
  <si>
    <t>GUARDIAN</t>
  </si>
  <si>
    <t>IRS-PAYROLL TAXES</t>
  </si>
  <si>
    <t>GERALD FLORES OLIVO</t>
  </si>
  <si>
    <t>PHI AIR MEDICAL  LLC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</si>
  <si>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</si>
  <si>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</si>
  <si>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</si>
  <si>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</si>
  <si>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</si>
  <si>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AWG</t>
  </si>
  <si>
    <t>U.S. DEPT OF EDUCATION - FINANCIAL  ASST</t>
  </si>
  <si>
    <t>KELLY-MOORE PAINT COMPANY  INC</t>
  </si>
  <si>
    <t>SAMES BASTROP FORD INC</t>
  </si>
  <si>
    <t>BUC-EE'S LTD.</t>
  </si>
  <si>
    <t>FAYETTE MEDICAL SUPPLY</t>
  </si>
  <si>
    <t>HEB GROCERY COMPANY LP</t>
  </si>
  <si>
    <t>RS EQUIPMENT CO</t>
  </si>
  <si>
    <t>WALMART COMMUNITY BRC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</si>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</sst>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4" fontId="18" fillId="0" borderId="0" xfId="42" applyFont="1"/>
    <xf numFmtId="44" fontId="0" fillId="0" borderId="0" xfId="42" applyFont="1"/>
    <xf numFmtId="44" fontId="16" fillId="0" borderId="1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6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9.140625" bestFit="1" customWidth="1"/>
    <col min="2" max="2" width="7.7109375" bestFit="1" customWidth="1"/>
    <col min="3" max="3" width="14.28515625" style="5" bestFit="1" customWidth="1"/>
    <col min="4" max="4" width="10.85546875" bestFit="1" customWidth="1"/>
    <col min="5" max="5" width="19.5703125" bestFit="1" customWidth="1"/>
    <col min="6" max="6" width="35.140625" bestFit="1" customWidth="1"/>
    <col min="7" max="7" width="19.7109375" style="5" bestFit="1" customWidth="1"/>
    <col min="8" max="8" width="35.140625" bestFit="1" customWidth="1"/>
  </cols>
  <sheetData>
    <row r="1" spans="1:8" s="3" customForma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t="s">
        <v>8</v>
      </c>
      <c r="B2">
        <v>131647</v>
      </c>
      <c r="C2" s="5">
        <v>60</v>
      </c>
      <c r="D2" s="1">
        <v>43948</v>
      </c>
      <c r="E2" t="str">
        <f>"202004206484"</f>
        <v>202004206484</v>
      </c>
      <c r="F2" t="str">
        <f>"REIMBURSE BAIL BOND COUPONS"</f>
        <v>REIMBURSE BAIL BOND COUPONS</v>
      </c>
      <c r="G2" s="5">
        <v>60</v>
      </c>
      <c r="H2" t="str">
        <f>"REIMBURSE BAIL BOND COUPONS"</f>
        <v>REIMBURSE BAIL BOND COUPONS</v>
      </c>
    </row>
    <row r="3" spans="1:8" x14ac:dyDescent="0.25">
      <c r="A3" t="s">
        <v>9</v>
      </c>
      <c r="B3">
        <v>2407</v>
      </c>
      <c r="C3" s="5">
        <v>111539.5</v>
      </c>
      <c r="D3" s="1">
        <v>43935</v>
      </c>
      <c r="E3" t="str">
        <f>"202004036172"</f>
        <v>202004036172</v>
      </c>
      <c r="F3" t="str">
        <f>"304 CONSTRUCTION LLC"</f>
        <v>304 CONSTRUCTION LLC</v>
      </c>
      <c r="G3" s="5">
        <v>111539.5</v>
      </c>
      <c r="H3" t="str">
        <f>"Pay App # 4"</f>
        <v>Pay App # 4</v>
      </c>
    </row>
    <row r="4" spans="1:8" x14ac:dyDescent="0.25">
      <c r="A4" t="s">
        <v>9</v>
      </c>
      <c r="B4">
        <v>2486</v>
      </c>
      <c r="C4" s="5">
        <v>148057.5</v>
      </c>
      <c r="D4" s="1">
        <v>43949</v>
      </c>
      <c r="E4" t="str">
        <f>"PAY APP #4"</f>
        <v>PAY APP #4</v>
      </c>
      <c r="F4" t="str">
        <f>"PAY APP #4 - GREEN VALLEY"</f>
        <v>PAY APP #4 - GREEN VALLEY</v>
      </c>
      <c r="G4" s="5">
        <v>148057.5</v>
      </c>
      <c r="H4" t="str">
        <f>"PAY APP #4 - GREEN VALLEY"</f>
        <v>PAY APP #4 - GREEN VALLEY</v>
      </c>
    </row>
    <row r="5" spans="1:8" x14ac:dyDescent="0.25">
      <c r="A5" t="s">
        <v>9</v>
      </c>
      <c r="B5">
        <v>131763</v>
      </c>
      <c r="C5" s="5">
        <v>19000</v>
      </c>
      <c r="D5" s="1">
        <v>43948</v>
      </c>
      <c r="E5" t="str">
        <f>"No. 1465-21"</f>
        <v>No. 1465-21</v>
      </c>
      <c r="F5" t="str">
        <f>"CONCRETE WORK / PCT#3"</f>
        <v>CONCRETE WORK / PCT#3</v>
      </c>
      <c r="G5" s="5">
        <v>19000</v>
      </c>
      <c r="H5" t="str">
        <f>"304 CONSTRUCTION LLC"</f>
        <v>304 CONSTRUCTION LLC</v>
      </c>
    </row>
    <row r="6" spans="1:8" x14ac:dyDescent="0.25">
      <c r="A6" t="s">
        <v>10</v>
      </c>
      <c r="B6">
        <v>2428</v>
      </c>
      <c r="C6" s="5">
        <v>5849.66</v>
      </c>
      <c r="D6" s="1">
        <v>43935</v>
      </c>
      <c r="E6" t="str">
        <f>"202004036162"</f>
        <v>202004036162</v>
      </c>
      <c r="F6" t="str">
        <f>"HAULING EXPS 03/16-03/23/PCT#2"</f>
        <v>HAULING EXPS 03/16-03/23/PCT#2</v>
      </c>
      <c r="G6" s="5">
        <v>5849.66</v>
      </c>
      <c r="H6" t="str">
        <f>"HAULING EXPS 03/16-03/23/PCT#2"</f>
        <v>HAULING EXPS 03/16-03/23/PCT#2</v>
      </c>
    </row>
    <row r="7" spans="1:8" x14ac:dyDescent="0.25">
      <c r="A7" t="s">
        <v>11</v>
      </c>
      <c r="B7">
        <v>2402</v>
      </c>
      <c r="C7" s="5">
        <v>53628.49</v>
      </c>
      <c r="D7" s="1">
        <v>43935</v>
      </c>
      <c r="E7" t="str">
        <f>"9725-001-114916"</f>
        <v>9725-001-114916</v>
      </c>
      <c r="F7" t="str">
        <f t="shared" ref="F7:F13" si="0">"ACCT#9725-008/REC BASE/PCT#2"</f>
        <v>ACCT#9725-008/REC BASE/PCT#2</v>
      </c>
      <c r="G7" s="5">
        <v>3066.11</v>
      </c>
      <c r="H7" t="str">
        <f t="shared" ref="H7:H13" si="1">"ACCT#9725-008/REC BASE/PCT#2"</f>
        <v>ACCT#9725-008/REC BASE/PCT#2</v>
      </c>
    </row>
    <row r="8" spans="1:8" x14ac:dyDescent="0.25">
      <c r="E8" t="str">
        <f>"9725-001-114946"</f>
        <v>9725-001-114946</v>
      </c>
      <c r="F8" t="str">
        <f t="shared" si="0"/>
        <v>ACCT#9725-008/REC BASE/PCT#2</v>
      </c>
      <c r="G8" s="5">
        <v>4157.41</v>
      </c>
      <c r="H8" t="str">
        <f t="shared" si="1"/>
        <v>ACCT#9725-008/REC BASE/PCT#2</v>
      </c>
    </row>
    <row r="9" spans="1:8" x14ac:dyDescent="0.25">
      <c r="E9" t="str">
        <f>"9725-001-114978"</f>
        <v>9725-001-114978</v>
      </c>
      <c r="F9" t="str">
        <f t="shared" si="0"/>
        <v>ACCT#9725-008/REC BASE/PCT#2</v>
      </c>
      <c r="G9" s="5">
        <v>2801.75</v>
      </c>
      <c r="H9" t="str">
        <f t="shared" si="1"/>
        <v>ACCT#9725-008/REC BASE/PCT#2</v>
      </c>
    </row>
    <row r="10" spans="1:8" x14ac:dyDescent="0.25">
      <c r="E10" t="str">
        <f>"9725-001-115002"</f>
        <v>9725-001-115002</v>
      </c>
      <c r="F10" t="str">
        <f t="shared" si="0"/>
        <v>ACCT#9725-008/REC BASE/PCT#2</v>
      </c>
      <c r="G10" s="5">
        <v>4594.6899999999996</v>
      </c>
      <c r="H10" t="str">
        <f t="shared" si="1"/>
        <v>ACCT#9725-008/REC BASE/PCT#2</v>
      </c>
    </row>
    <row r="11" spans="1:8" x14ac:dyDescent="0.25">
      <c r="E11" t="str">
        <f>"9725-001-115036"</f>
        <v>9725-001-115036</v>
      </c>
      <c r="F11" t="str">
        <f t="shared" si="0"/>
        <v>ACCT#9725-008/REC BASE/PCT#2</v>
      </c>
      <c r="G11" s="5">
        <v>4466.63</v>
      </c>
      <c r="H11" t="str">
        <f t="shared" si="1"/>
        <v>ACCT#9725-008/REC BASE/PCT#2</v>
      </c>
    </row>
    <row r="12" spans="1:8" x14ac:dyDescent="0.25">
      <c r="E12" t="str">
        <f>"9725-001-115063"</f>
        <v>9725-001-115063</v>
      </c>
      <c r="F12" t="str">
        <f t="shared" si="0"/>
        <v>ACCT#9725-008/REC BASE/PCT#2</v>
      </c>
      <c r="G12" s="5">
        <v>1712.03</v>
      </c>
      <c r="H12" t="str">
        <f t="shared" si="1"/>
        <v>ACCT#9725-008/REC BASE/PCT#2</v>
      </c>
    </row>
    <row r="13" spans="1:8" x14ac:dyDescent="0.25">
      <c r="E13" t="str">
        <f>"9725-001-115094"</f>
        <v>9725-001-115094</v>
      </c>
      <c r="F13" t="str">
        <f t="shared" si="0"/>
        <v>ACCT#9725-008/REC BASE/PCT#2</v>
      </c>
      <c r="G13" s="5">
        <v>452.99</v>
      </c>
      <c r="H13" t="str">
        <f t="shared" si="1"/>
        <v>ACCT#9725-008/REC BASE/PCT#2</v>
      </c>
    </row>
    <row r="14" spans="1:8" x14ac:dyDescent="0.25">
      <c r="E14" t="str">
        <f>"9725-001-115117"</f>
        <v>9725-001-115117</v>
      </c>
      <c r="F14" t="str">
        <f t="shared" ref="F14:F19" si="2">"ACCT#9725-001/REC BASE/PCT#2"</f>
        <v>ACCT#9725-001/REC BASE/PCT#2</v>
      </c>
      <c r="G14" s="5">
        <v>1649.03</v>
      </c>
      <c r="H14" t="str">
        <f t="shared" ref="H14:H19" si="3">"ACCT#9725-001/REC BASE/PCT#2"</f>
        <v>ACCT#9725-001/REC BASE/PCT#2</v>
      </c>
    </row>
    <row r="15" spans="1:8" x14ac:dyDescent="0.25">
      <c r="E15" t="str">
        <f>"9725-001-115142"</f>
        <v>9725-001-115142</v>
      </c>
      <c r="F15" t="str">
        <f t="shared" si="2"/>
        <v>ACCT#9725-001/REC BASE/PCT#2</v>
      </c>
      <c r="G15" s="5">
        <v>417.81</v>
      </c>
      <c r="H15" t="str">
        <f t="shared" si="3"/>
        <v>ACCT#9725-001/REC BASE/PCT#2</v>
      </c>
    </row>
    <row r="16" spans="1:8" x14ac:dyDescent="0.25">
      <c r="E16" t="str">
        <f>"9725-001-115168"</f>
        <v>9725-001-115168</v>
      </c>
      <c r="F16" t="str">
        <f t="shared" si="2"/>
        <v>ACCT#9725-001/REC BASE/PCT#2</v>
      </c>
      <c r="G16" s="5">
        <v>650.29999999999995</v>
      </c>
      <c r="H16" t="str">
        <f t="shared" si="3"/>
        <v>ACCT#9725-001/REC BASE/PCT#2</v>
      </c>
    </row>
    <row r="17" spans="5:8" x14ac:dyDescent="0.25">
      <c r="E17" t="str">
        <f>"9725-001-115198"</f>
        <v>9725-001-115198</v>
      </c>
      <c r="F17" t="str">
        <f t="shared" si="2"/>
        <v>ACCT#9725-001/REC BASE/PCT#2</v>
      </c>
      <c r="G17" s="5">
        <v>1135.67</v>
      </c>
      <c r="H17" t="str">
        <f t="shared" si="3"/>
        <v>ACCT#9725-001/REC BASE/PCT#2</v>
      </c>
    </row>
    <row r="18" spans="5:8" x14ac:dyDescent="0.25">
      <c r="E18" t="str">
        <f>"9725-001-115220"</f>
        <v>9725-001-115220</v>
      </c>
      <c r="F18" t="str">
        <f t="shared" si="2"/>
        <v>ACCT#9725-001/REC BASE/PCT#2</v>
      </c>
      <c r="G18" s="5">
        <v>1735.64</v>
      </c>
      <c r="H18" t="str">
        <f t="shared" si="3"/>
        <v>ACCT#9725-001/REC BASE/PCT#2</v>
      </c>
    </row>
    <row r="19" spans="5:8" x14ac:dyDescent="0.25">
      <c r="E19" t="str">
        <f>"9725-001-115252"</f>
        <v>9725-001-115252</v>
      </c>
      <c r="F19" t="str">
        <f t="shared" si="2"/>
        <v>ACCT#9725-001/REC BASE/PCT#2</v>
      </c>
      <c r="G19" s="5">
        <v>1071.28</v>
      </c>
      <c r="H19" t="str">
        <f t="shared" si="3"/>
        <v>ACCT#9725-001/REC BASE/PCT#2</v>
      </c>
    </row>
    <row r="20" spans="5:8" x14ac:dyDescent="0.25">
      <c r="E20" t="str">
        <f>"9725-004-115012"</f>
        <v>9725-004-115012</v>
      </c>
      <c r="F20" t="str">
        <f>"ACCT#9725-004/REC BASE/PCT#1"</f>
        <v>ACCT#9725-004/REC BASE/PCT#1</v>
      </c>
      <c r="G20" s="5">
        <v>1335.89</v>
      </c>
      <c r="H20" t="str">
        <f>"ACCT#9725-004/REC BASE/PCT#1"</f>
        <v>ACCT#9725-004/REC BASE/PCT#1</v>
      </c>
    </row>
    <row r="21" spans="5:8" x14ac:dyDescent="0.25">
      <c r="E21" t="str">
        <f>"9725-007-114988"</f>
        <v>9725-007-114988</v>
      </c>
      <c r="F21" t="str">
        <f t="shared" ref="F21:F33" si="4">"ACCT#9725-007/REC BASE/PCT#4"</f>
        <v>ACCT#9725-007/REC BASE/PCT#4</v>
      </c>
      <c r="G21" s="5">
        <v>2080.34</v>
      </c>
      <c r="H21" t="str">
        <f t="shared" ref="H21:H33" si="5">"ACCT#9725-007/REC BASE/PCT#4"</f>
        <v>ACCT#9725-007/REC BASE/PCT#4</v>
      </c>
    </row>
    <row r="22" spans="5:8" x14ac:dyDescent="0.25">
      <c r="E22" t="str">
        <f>"9725-007-115013"</f>
        <v>9725-007-115013</v>
      </c>
      <c r="F22" t="str">
        <f t="shared" si="4"/>
        <v>ACCT#9725-007/REC BASE/PCT#4</v>
      </c>
      <c r="G22" s="5">
        <v>2266.52</v>
      </c>
      <c r="H22" t="str">
        <f t="shared" si="5"/>
        <v>ACCT#9725-007/REC BASE/PCT#4</v>
      </c>
    </row>
    <row r="23" spans="5:8" x14ac:dyDescent="0.25">
      <c r="E23" t="str">
        <f>"9725-007-115051"</f>
        <v>9725-007-115051</v>
      </c>
      <c r="F23" t="str">
        <f t="shared" si="4"/>
        <v>ACCT#9725-007/REC BASE/PCT#4</v>
      </c>
      <c r="G23" s="5">
        <v>1862.79</v>
      </c>
      <c r="H23" t="str">
        <f t="shared" si="5"/>
        <v>ACCT#9725-007/REC BASE/PCT#4</v>
      </c>
    </row>
    <row r="24" spans="5:8" x14ac:dyDescent="0.25">
      <c r="E24" t="str">
        <f>"9725-007-115077"</f>
        <v>9725-007-115077</v>
      </c>
      <c r="F24" t="str">
        <f t="shared" si="4"/>
        <v>ACCT#9725-007/REC BASE/PCT#4</v>
      </c>
      <c r="G24" s="5">
        <v>1661.73</v>
      </c>
      <c r="H24" t="str">
        <f t="shared" si="5"/>
        <v>ACCT#9725-007/REC BASE/PCT#4</v>
      </c>
    </row>
    <row r="25" spans="5:8" x14ac:dyDescent="0.25">
      <c r="E25" t="str">
        <f>"9725-007-115108"</f>
        <v>9725-007-115108</v>
      </c>
      <c r="F25" t="str">
        <f t="shared" si="4"/>
        <v>ACCT#9725-007/REC BASE/PCT#4</v>
      </c>
      <c r="G25" s="5">
        <v>1635.12</v>
      </c>
      <c r="H25" t="str">
        <f t="shared" si="5"/>
        <v>ACCT#9725-007/REC BASE/PCT#4</v>
      </c>
    </row>
    <row r="26" spans="5:8" x14ac:dyDescent="0.25">
      <c r="E26" t="str">
        <f>"9725-007-115128"</f>
        <v>9725-007-115128</v>
      </c>
      <c r="F26" t="str">
        <f t="shared" si="4"/>
        <v>ACCT#9725-007/REC BASE/PCT#4</v>
      </c>
      <c r="G26" s="5">
        <v>1634.59</v>
      </c>
      <c r="H26" t="str">
        <f t="shared" si="5"/>
        <v>ACCT#9725-007/REC BASE/PCT#4</v>
      </c>
    </row>
    <row r="27" spans="5:8" x14ac:dyDescent="0.25">
      <c r="E27" t="str">
        <f>"9725-007-115156"</f>
        <v>9725-007-115156</v>
      </c>
      <c r="F27" t="str">
        <f t="shared" si="4"/>
        <v>ACCT#9725-007/REC BASE/PCT#4</v>
      </c>
      <c r="G27" s="5">
        <v>1633.11</v>
      </c>
      <c r="H27" t="str">
        <f t="shared" si="5"/>
        <v>ACCT#9725-007/REC BASE/PCT#4</v>
      </c>
    </row>
    <row r="28" spans="5:8" x14ac:dyDescent="0.25">
      <c r="E28" t="str">
        <f>"9725-007-115182"</f>
        <v>9725-007-115182</v>
      </c>
      <c r="F28" t="str">
        <f t="shared" si="4"/>
        <v>ACCT#9725-007/REC BASE/PCT#4</v>
      </c>
      <c r="G28" s="5">
        <v>2059.7800000000002</v>
      </c>
      <c r="H28" t="str">
        <f t="shared" si="5"/>
        <v>ACCT#9725-007/REC BASE/PCT#4</v>
      </c>
    </row>
    <row r="29" spans="5:8" x14ac:dyDescent="0.25">
      <c r="E29" t="str">
        <f>"9725-007-115211"</f>
        <v>9725-007-115211</v>
      </c>
      <c r="F29" t="str">
        <f t="shared" si="4"/>
        <v>ACCT#9725-007/REC BASE/PCT#4</v>
      </c>
      <c r="G29" s="5">
        <v>808.16</v>
      </c>
      <c r="H29" t="str">
        <f t="shared" si="5"/>
        <v>ACCT#9725-007/REC BASE/PCT#4</v>
      </c>
    </row>
    <row r="30" spans="5:8" x14ac:dyDescent="0.25">
      <c r="E30" t="str">
        <f>"9725-007-115234"</f>
        <v>9725-007-115234</v>
      </c>
      <c r="F30" t="str">
        <f t="shared" si="4"/>
        <v>ACCT#9725-007/REC BASE/PCT#4</v>
      </c>
      <c r="G30" s="5">
        <v>1631.7</v>
      </c>
      <c r="H30" t="str">
        <f t="shared" si="5"/>
        <v>ACCT#9725-007/REC BASE/PCT#4</v>
      </c>
    </row>
    <row r="31" spans="5:8" x14ac:dyDescent="0.25">
      <c r="E31" t="str">
        <f>"9725-007-115263"</f>
        <v>9725-007-115263</v>
      </c>
      <c r="F31" t="str">
        <f t="shared" si="4"/>
        <v>ACCT#9725-007/REC BASE/PCT#4</v>
      </c>
      <c r="G31" s="5">
        <v>2257.7800000000002</v>
      </c>
      <c r="H31" t="str">
        <f t="shared" si="5"/>
        <v>ACCT#9725-007/REC BASE/PCT#4</v>
      </c>
    </row>
    <row r="32" spans="5:8" x14ac:dyDescent="0.25">
      <c r="E32" t="str">
        <f>"9725-007-115286"</f>
        <v>9725-007-115286</v>
      </c>
      <c r="F32" t="str">
        <f t="shared" si="4"/>
        <v>ACCT#9725-007/REC BASE/PCT#4</v>
      </c>
      <c r="G32" s="5">
        <v>2470.2199999999998</v>
      </c>
      <c r="H32" t="str">
        <f t="shared" si="5"/>
        <v>ACCT#9725-007/REC BASE/PCT#4</v>
      </c>
    </row>
    <row r="33" spans="1:8" x14ac:dyDescent="0.25">
      <c r="E33" t="str">
        <f>"9725-007-115311"</f>
        <v>9725-007-115311</v>
      </c>
      <c r="F33" t="str">
        <f t="shared" si="4"/>
        <v>ACCT#9725-007/REC BASE/PCT#4</v>
      </c>
      <c r="G33" s="5">
        <v>2261.8200000000002</v>
      </c>
      <c r="H33" t="str">
        <f t="shared" si="5"/>
        <v>ACCT#9725-007/REC BASE/PCT#4</v>
      </c>
    </row>
    <row r="34" spans="1:8" x14ac:dyDescent="0.25">
      <c r="E34" t="str">
        <f>"9725-008-114929"</f>
        <v>9725-008-114929</v>
      </c>
      <c r="F34" t="str">
        <f>"ACCT#9725-008/REC BASE/PCT#2"</f>
        <v>ACCT#9725-008/REC BASE/PCT#2</v>
      </c>
      <c r="G34" s="5">
        <v>117.6</v>
      </c>
      <c r="H34" t="str">
        <f>"ACCT#9725-008/REC BASE/PCT#2"</f>
        <v>ACCT#9725-008/REC BASE/PCT#2</v>
      </c>
    </row>
    <row r="35" spans="1:8" x14ac:dyDescent="0.25">
      <c r="A35" t="s">
        <v>11</v>
      </c>
      <c r="B35">
        <v>2483</v>
      </c>
      <c r="C35" s="5">
        <v>4839.74</v>
      </c>
      <c r="D35" s="1">
        <v>43949</v>
      </c>
      <c r="E35" t="str">
        <f>"9725-001-115276"</f>
        <v>9725-001-115276</v>
      </c>
      <c r="F35" t="str">
        <f>"ACCT#9725-001/REC BASE/PCT#2"</f>
        <v>ACCT#9725-001/REC BASE/PCT#2</v>
      </c>
      <c r="G35" s="5">
        <v>675.6</v>
      </c>
      <c r="H35" t="str">
        <f>"ACCT#9725-001/REC BASE/PCT#2"</f>
        <v>ACCT#9725-001/REC BASE/PCT#2</v>
      </c>
    </row>
    <row r="36" spans="1:8" x14ac:dyDescent="0.25">
      <c r="E36" t="str">
        <f>"9725-001-115302"</f>
        <v>9725-001-115302</v>
      </c>
      <c r="F36" t="str">
        <f>"ACCT#9725-001/REC BASE/PCT#2"</f>
        <v>ACCT#9725-001/REC BASE/PCT#2</v>
      </c>
      <c r="G36" s="5">
        <v>1272.43</v>
      </c>
      <c r="H36" t="str">
        <f>"ACCT#9725-001/REC BASE/PCT#2"</f>
        <v>ACCT#9725-001/REC BASE/PCT#2</v>
      </c>
    </row>
    <row r="37" spans="1:8" x14ac:dyDescent="0.25">
      <c r="E37" t="str">
        <f>"9725-001-115326"</f>
        <v>9725-001-115326</v>
      </c>
      <c r="F37" t="str">
        <f>"ACCT#9725-001/REC BASE/PCT#2"</f>
        <v>ACCT#9725-001/REC BASE/PCT#2</v>
      </c>
      <c r="G37" s="5">
        <v>1647.37</v>
      </c>
      <c r="H37" t="str">
        <f>"ACCT#9725-001/REC BASE/PCT#2"</f>
        <v>ACCT#9725-001/REC BASE/PCT#2</v>
      </c>
    </row>
    <row r="38" spans="1:8" x14ac:dyDescent="0.25">
      <c r="E38" t="str">
        <f>"9725-001-115401"</f>
        <v>9725-001-115401</v>
      </c>
      <c r="F38" t="str">
        <f>"ACCT#9725-001/REC BASE/PCT#2"</f>
        <v>ACCT#9725-001/REC BASE/PCT#2</v>
      </c>
      <c r="G38" s="5">
        <v>609.09</v>
      </c>
      <c r="H38" t="str">
        <f>"ACCT#9725-001/REC BASE/PCT#2"</f>
        <v>ACCT#9725-001/REC BASE/PCT#2</v>
      </c>
    </row>
    <row r="39" spans="1:8" x14ac:dyDescent="0.25">
      <c r="E39" t="str">
        <f>"9725-001-115427"</f>
        <v>9725-001-115427</v>
      </c>
      <c r="F39" t="str">
        <f>"ACCT#9725-001/REC BASE/PCT#2"</f>
        <v>ACCT#9725-001/REC BASE/PCT#2</v>
      </c>
      <c r="G39" s="5">
        <v>635.25</v>
      </c>
      <c r="H39" t="str">
        <f>"ACCT#9725-001/REC BASE/PCT#2"</f>
        <v>ACCT#9725-001/REC BASE/PCT#2</v>
      </c>
    </row>
    <row r="40" spans="1:8" x14ac:dyDescent="0.25">
      <c r="A40" t="s">
        <v>12</v>
      </c>
      <c r="B40">
        <v>131648</v>
      </c>
      <c r="C40" s="5">
        <v>60</v>
      </c>
      <c r="D40" s="1">
        <v>43948</v>
      </c>
      <c r="E40" t="str">
        <f>"202004206480"</f>
        <v>202004206480</v>
      </c>
      <c r="F40" t="str">
        <f>"REIMBURSE BAIL BOND COUPONS"</f>
        <v>REIMBURSE BAIL BOND COUPONS</v>
      </c>
      <c r="G40" s="5">
        <v>60</v>
      </c>
      <c r="H40" t="str">
        <f>"REIMBURSE BAIL BOND COUPONS"</f>
        <v>REIMBURSE BAIL BOND COUPONS</v>
      </c>
    </row>
    <row r="41" spans="1:8" x14ac:dyDescent="0.25">
      <c r="A41" t="s">
        <v>13</v>
      </c>
      <c r="B41">
        <v>131479</v>
      </c>
      <c r="C41" s="5">
        <v>649.55999999999995</v>
      </c>
      <c r="D41" s="1">
        <v>43934</v>
      </c>
      <c r="E41" t="str">
        <f>"384521"</f>
        <v>384521</v>
      </c>
      <c r="F41" t="str">
        <f>"CUST#16500/STATEMENT#384521/P4"</f>
        <v>CUST#16500/STATEMENT#384521/P4</v>
      </c>
      <c r="G41" s="5">
        <v>649.55999999999995</v>
      </c>
      <c r="H41" t="str">
        <f>"CUST#16500/STATEMENT#384521/P4"</f>
        <v>CUST#16500/STATEMENT#384521/P4</v>
      </c>
    </row>
    <row r="42" spans="1:8" x14ac:dyDescent="0.25">
      <c r="A42" t="s">
        <v>14</v>
      </c>
      <c r="B42">
        <v>131649</v>
      </c>
      <c r="C42" s="5">
        <v>729</v>
      </c>
      <c r="D42" s="1">
        <v>43948</v>
      </c>
      <c r="E42" t="str">
        <f>"324400"</f>
        <v>324400</v>
      </c>
      <c r="F42" t="str">
        <f>"FIRE &amp; SAFETY EQUIP / PCT#1"</f>
        <v>FIRE &amp; SAFETY EQUIP / PCT#1</v>
      </c>
      <c r="G42" s="5">
        <v>590.5</v>
      </c>
      <c r="H42" t="str">
        <f>"FIRE &amp; SAFETY EQUIP / PCT#1"</f>
        <v>FIRE &amp; SAFETY EQUIP / PCT#1</v>
      </c>
    </row>
    <row r="43" spans="1:8" x14ac:dyDescent="0.25">
      <c r="E43" t="str">
        <f>"614002"</f>
        <v>614002</v>
      </c>
      <c r="F43" t="str">
        <f>"FIRE EXT MAINT SVCS/ANIMAL CON"</f>
        <v>FIRE EXT MAINT SVCS/ANIMAL CON</v>
      </c>
      <c r="G43" s="5">
        <v>138.5</v>
      </c>
      <c r="H43" t="str">
        <f>"FIRE EXT MAINT SVCS/ANIMAL CON"</f>
        <v>FIRE EXT MAINT SVCS/ANIMAL CON</v>
      </c>
    </row>
    <row r="44" spans="1:8" x14ac:dyDescent="0.25">
      <c r="A44" t="s">
        <v>15</v>
      </c>
      <c r="B44">
        <v>131480</v>
      </c>
      <c r="C44" s="5">
        <v>12622.5</v>
      </c>
      <c r="D44" s="1">
        <v>43934</v>
      </c>
      <c r="E44" t="str">
        <f>"202004076284"</f>
        <v>202004076284</v>
      </c>
      <c r="F44" t="str">
        <f>"19-19885"</f>
        <v>19-19885</v>
      </c>
      <c r="G44" s="5">
        <v>882.5</v>
      </c>
      <c r="H44" t="str">
        <f>"19-19885"</f>
        <v>19-19885</v>
      </c>
    </row>
    <row r="45" spans="1:8" x14ac:dyDescent="0.25">
      <c r="E45" t="str">
        <f>"202004076285"</f>
        <v>202004076285</v>
      </c>
      <c r="F45" t="str">
        <f>"19-19874"</f>
        <v>19-19874</v>
      </c>
      <c r="G45" s="5">
        <v>527.5</v>
      </c>
      <c r="H45" t="str">
        <f>"19-19874"</f>
        <v>19-19874</v>
      </c>
    </row>
    <row r="46" spans="1:8" x14ac:dyDescent="0.25">
      <c r="E46" t="str">
        <f>"202004076286"</f>
        <v>202004076286</v>
      </c>
      <c r="F46" t="str">
        <f>"19-19463"</f>
        <v>19-19463</v>
      </c>
      <c r="G46" s="5">
        <v>642.5</v>
      </c>
      <c r="H46" t="str">
        <f>"19-19463"</f>
        <v>19-19463</v>
      </c>
    </row>
    <row r="47" spans="1:8" x14ac:dyDescent="0.25">
      <c r="E47" t="str">
        <f>"202004076287"</f>
        <v>202004076287</v>
      </c>
      <c r="F47" t="str">
        <f>"19-19456"</f>
        <v>19-19456</v>
      </c>
      <c r="G47" s="5">
        <v>790</v>
      </c>
      <c r="H47" t="str">
        <f>"19-19456"</f>
        <v>19-19456</v>
      </c>
    </row>
    <row r="48" spans="1:8" x14ac:dyDescent="0.25">
      <c r="E48" t="str">
        <f>"202004076288"</f>
        <v>202004076288</v>
      </c>
      <c r="F48" t="str">
        <f>"19-19740"</f>
        <v>19-19740</v>
      </c>
      <c r="G48" s="5">
        <v>370</v>
      </c>
      <c r="H48" t="str">
        <f>"19-19740"</f>
        <v>19-19740</v>
      </c>
    </row>
    <row r="49" spans="5:8" x14ac:dyDescent="0.25">
      <c r="E49" t="str">
        <f>"202004076289"</f>
        <v>202004076289</v>
      </c>
      <c r="F49" t="str">
        <f>"19-19680"</f>
        <v>19-19680</v>
      </c>
      <c r="G49" s="5">
        <v>595</v>
      </c>
      <c r="H49" t="str">
        <f>"19-19680"</f>
        <v>19-19680</v>
      </c>
    </row>
    <row r="50" spans="5:8" x14ac:dyDescent="0.25">
      <c r="E50" t="str">
        <f>"202004076290"</f>
        <v>202004076290</v>
      </c>
      <c r="F50" t="str">
        <f>"19-19526"</f>
        <v>19-19526</v>
      </c>
      <c r="G50" s="5">
        <v>172.5</v>
      </c>
      <c r="H50" t="str">
        <f>"19-19526"</f>
        <v>19-19526</v>
      </c>
    </row>
    <row r="51" spans="5:8" x14ac:dyDescent="0.25">
      <c r="E51" t="str">
        <f>"202004076291"</f>
        <v>202004076291</v>
      </c>
      <c r="F51" t="str">
        <f>"19-19986"</f>
        <v>19-19986</v>
      </c>
      <c r="G51" s="5">
        <v>687.5</v>
      </c>
      <c r="H51" t="str">
        <f>"19-19986"</f>
        <v>19-19986</v>
      </c>
    </row>
    <row r="52" spans="5:8" x14ac:dyDescent="0.25">
      <c r="E52" t="str">
        <f>"202004076292"</f>
        <v>202004076292</v>
      </c>
      <c r="F52" t="str">
        <f>"19-19863"</f>
        <v>19-19863</v>
      </c>
      <c r="G52" s="5">
        <v>445</v>
      </c>
      <c r="H52" t="str">
        <f>"19-19863"</f>
        <v>19-19863</v>
      </c>
    </row>
    <row r="53" spans="5:8" x14ac:dyDescent="0.25">
      <c r="E53" t="str">
        <f>"202004076293"</f>
        <v>202004076293</v>
      </c>
      <c r="F53" t="str">
        <f>"16-17978"</f>
        <v>16-17978</v>
      </c>
      <c r="G53" s="5">
        <v>1122.5</v>
      </c>
      <c r="H53" t="str">
        <f>"16-17978"</f>
        <v>16-17978</v>
      </c>
    </row>
    <row r="54" spans="5:8" x14ac:dyDescent="0.25">
      <c r="E54" t="str">
        <f>"202004076294"</f>
        <v>202004076294</v>
      </c>
      <c r="F54" t="str">
        <f>"19-19811"</f>
        <v>19-19811</v>
      </c>
      <c r="G54" s="5">
        <v>340</v>
      </c>
      <c r="H54" t="str">
        <f>"19-19811"</f>
        <v>19-19811</v>
      </c>
    </row>
    <row r="55" spans="5:8" x14ac:dyDescent="0.25">
      <c r="E55" t="str">
        <f>"202004076295"</f>
        <v>202004076295</v>
      </c>
      <c r="F55" t="str">
        <f>"19-19849"</f>
        <v>19-19849</v>
      </c>
      <c r="G55" s="5">
        <v>792.5</v>
      </c>
      <c r="H55" t="str">
        <f>"19-19849"</f>
        <v>19-19849</v>
      </c>
    </row>
    <row r="56" spans="5:8" x14ac:dyDescent="0.25">
      <c r="E56" t="str">
        <f>"202004076296"</f>
        <v>202004076296</v>
      </c>
      <c r="F56" t="str">
        <f>"16-17626"</f>
        <v>16-17626</v>
      </c>
      <c r="G56" s="5">
        <v>362.5</v>
      </c>
      <c r="H56" t="str">
        <f>"16-17626"</f>
        <v>16-17626</v>
      </c>
    </row>
    <row r="57" spans="5:8" x14ac:dyDescent="0.25">
      <c r="E57" t="str">
        <f>"202004076297"</f>
        <v>202004076297</v>
      </c>
      <c r="F57" t="str">
        <f>"18-19279"</f>
        <v>18-19279</v>
      </c>
      <c r="G57" s="5">
        <v>767.5</v>
      </c>
      <c r="H57" t="str">
        <f>"18-19279"</f>
        <v>18-19279</v>
      </c>
    </row>
    <row r="58" spans="5:8" x14ac:dyDescent="0.25">
      <c r="E58" t="str">
        <f>"202004076298"</f>
        <v>202004076298</v>
      </c>
      <c r="F58" t="str">
        <f>"19-19521"</f>
        <v>19-19521</v>
      </c>
      <c r="G58" s="5">
        <v>775</v>
      </c>
      <c r="H58" t="str">
        <f>"19-19521"</f>
        <v>19-19521</v>
      </c>
    </row>
    <row r="59" spans="5:8" x14ac:dyDescent="0.25">
      <c r="E59" t="str">
        <f>"202004076299"</f>
        <v>202004076299</v>
      </c>
      <c r="F59" t="str">
        <f>"19-19893"</f>
        <v>19-19893</v>
      </c>
      <c r="G59" s="5">
        <v>292.5</v>
      </c>
      <c r="H59" t="str">
        <f>"19-19893"</f>
        <v>19-19893</v>
      </c>
    </row>
    <row r="60" spans="5:8" x14ac:dyDescent="0.25">
      <c r="E60" t="str">
        <f>"202004076300"</f>
        <v>202004076300</v>
      </c>
      <c r="F60" t="str">
        <f>"20-20130"</f>
        <v>20-20130</v>
      </c>
      <c r="G60" s="5">
        <v>595</v>
      </c>
      <c r="H60" t="str">
        <f>"20-20130"</f>
        <v>20-20130</v>
      </c>
    </row>
    <row r="61" spans="5:8" x14ac:dyDescent="0.25">
      <c r="E61" t="str">
        <f>"202004076301"</f>
        <v>202004076301</v>
      </c>
      <c r="F61" t="str">
        <f>"18-19237"</f>
        <v>18-19237</v>
      </c>
      <c r="G61" s="5">
        <v>262.5</v>
      </c>
      <c r="H61" t="str">
        <f>"18-19237"</f>
        <v>18-19237</v>
      </c>
    </row>
    <row r="62" spans="5:8" x14ac:dyDescent="0.25">
      <c r="E62" t="str">
        <f>"202004076356"</f>
        <v>202004076356</v>
      </c>
      <c r="F62" t="str">
        <f>"423-4051"</f>
        <v>423-4051</v>
      </c>
      <c r="G62" s="5">
        <v>1000</v>
      </c>
      <c r="H62" t="str">
        <f>"423-4051"</f>
        <v>423-4051</v>
      </c>
    </row>
    <row r="63" spans="5:8" x14ac:dyDescent="0.25">
      <c r="E63" t="str">
        <f>"202004076357"</f>
        <v>202004076357</v>
      </c>
      <c r="F63" t="str">
        <f>"423-5282"</f>
        <v>423-5282</v>
      </c>
      <c r="G63" s="5">
        <v>762.5</v>
      </c>
      <c r="H63" t="str">
        <f>"423-5282"</f>
        <v>423-5282</v>
      </c>
    </row>
    <row r="64" spans="5:8" x14ac:dyDescent="0.25">
      <c r="E64" t="str">
        <f>"202004076362"</f>
        <v>202004076362</v>
      </c>
      <c r="F64" t="str">
        <f>"19-19734"</f>
        <v>19-19734</v>
      </c>
      <c r="G64" s="5">
        <v>437.5</v>
      </c>
      <c r="H64" t="str">
        <f>"19-19734"</f>
        <v>19-19734</v>
      </c>
    </row>
    <row r="65" spans="1:8" x14ac:dyDescent="0.25">
      <c r="A65" t="s">
        <v>16</v>
      </c>
      <c r="B65">
        <v>131481</v>
      </c>
      <c r="C65" s="5">
        <v>727.5</v>
      </c>
      <c r="D65" s="1">
        <v>43934</v>
      </c>
      <c r="E65" t="str">
        <f>"202004076265"</f>
        <v>202004076265</v>
      </c>
      <c r="F65" t="str">
        <f>"19-20002"</f>
        <v>19-20002</v>
      </c>
      <c r="G65" s="5">
        <v>225</v>
      </c>
      <c r="H65" t="str">
        <f>"19-20002"</f>
        <v>19-20002</v>
      </c>
    </row>
    <row r="66" spans="1:8" x14ac:dyDescent="0.25">
      <c r="E66" t="str">
        <f>"202004076266"</f>
        <v>202004076266</v>
      </c>
      <c r="F66" t="str">
        <f>"20-20077"</f>
        <v>20-20077</v>
      </c>
      <c r="G66" s="5">
        <v>45</v>
      </c>
      <c r="H66" t="str">
        <f>"20-20077"</f>
        <v>20-20077</v>
      </c>
    </row>
    <row r="67" spans="1:8" x14ac:dyDescent="0.25">
      <c r="E67" t="str">
        <f>"202004076267"</f>
        <v>202004076267</v>
      </c>
      <c r="F67" t="str">
        <f>"19-19963"</f>
        <v>19-19963</v>
      </c>
      <c r="G67" s="5">
        <v>30</v>
      </c>
      <c r="H67" t="str">
        <f>"19-19963"</f>
        <v>19-19963</v>
      </c>
    </row>
    <row r="68" spans="1:8" x14ac:dyDescent="0.25">
      <c r="E68" t="str">
        <f>"202004076268"</f>
        <v>202004076268</v>
      </c>
      <c r="F68" t="str">
        <f>"19-19811"</f>
        <v>19-19811</v>
      </c>
      <c r="G68" s="5">
        <v>52.5</v>
      </c>
      <c r="H68" t="str">
        <f>"19-19811"</f>
        <v>19-19811</v>
      </c>
    </row>
    <row r="69" spans="1:8" x14ac:dyDescent="0.25">
      <c r="E69" t="str">
        <f>"202004076269"</f>
        <v>202004076269</v>
      </c>
      <c r="F69" t="str">
        <f>"19-19857"</f>
        <v>19-19857</v>
      </c>
      <c r="G69" s="5">
        <v>52.5</v>
      </c>
      <c r="H69" t="str">
        <f>"19-19857"</f>
        <v>19-19857</v>
      </c>
    </row>
    <row r="70" spans="1:8" x14ac:dyDescent="0.25">
      <c r="E70" t="str">
        <f>"202004076270"</f>
        <v>202004076270</v>
      </c>
      <c r="F70" t="str">
        <f>"19-19713"</f>
        <v>19-19713</v>
      </c>
      <c r="G70" s="5">
        <v>90</v>
      </c>
      <c r="H70" t="str">
        <f>"19-19713"</f>
        <v>19-19713</v>
      </c>
    </row>
    <row r="71" spans="1:8" x14ac:dyDescent="0.25">
      <c r="E71" t="str">
        <f>"202004076271"</f>
        <v>202004076271</v>
      </c>
      <c r="F71" t="str">
        <f>"20-20158"</f>
        <v>20-20158</v>
      </c>
      <c r="G71" s="5">
        <v>232.5</v>
      </c>
      <c r="H71" t="str">
        <f>"20-20158"</f>
        <v>20-20158</v>
      </c>
    </row>
    <row r="72" spans="1:8" x14ac:dyDescent="0.25">
      <c r="A72" t="s">
        <v>17</v>
      </c>
      <c r="B72">
        <v>131650</v>
      </c>
      <c r="C72" s="5">
        <v>184.5</v>
      </c>
      <c r="D72" s="1">
        <v>43948</v>
      </c>
      <c r="E72" t="str">
        <f>"202004226568"</f>
        <v>202004226568</v>
      </c>
      <c r="F72" t="str">
        <f>"REIMBURSE KENNEL MAINT SUPP"</f>
        <v>REIMBURSE KENNEL MAINT SUPP</v>
      </c>
      <c r="G72" s="5">
        <v>184.5</v>
      </c>
      <c r="H72" t="str">
        <f>"REIMBURSE KENNEL MAINT SUPP"</f>
        <v>REIMBURSE KENNEL MAINT SUPP</v>
      </c>
    </row>
    <row r="73" spans="1:8" x14ac:dyDescent="0.25">
      <c r="A73" t="s">
        <v>18</v>
      </c>
      <c r="B73">
        <v>2415</v>
      </c>
      <c r="C73" s="5">
        <v>244.94</v>
      </c>
      <c r="D73" s="1">
        <v>43935</v>
      </c>
      <c r="E73" t="str">
        <f>"202004076241"</f>
        <v>202004076241</v>
      </c>
      <c r="F73" t="str">
        <f>"REIMBURSEMENT-ZOOM/MAIL CHIMP"</f>
        <v>REIMBURSEMENT-ZOOM/MAIL CHIMP</v>
      </c>
      <c r="G73" s="5">
        <v>244.94</v>
      </c>
      <c r="H73" t="str">
        <f>"REIMBURSEMENT-ZOOM/MAIL CHIMP"</f>
        <v>REIMBURSEMENT-ZOOM/MAIL CHIMP</v>
      </c>
    </row>
    <row r="74" spans="1:8" x14ac:dyDescent="0.25">
      <c r="A74" t="s">
        <v>19</v>
      </c>
      <c r="B74">
        <v>2440</v>
      </c>
      <c r="C74" s="5">
        <v>4875</v>
      </c>
      <c r="D74" s="1">
        <v>43935</v>
      </c>
      <c r="E74" t="str">
        <f>"1094"</f>
        <v>1094</v>
      </c>
      <c r="F74" t="str">
        <f>"CUST ID:AJL1094/CONTRACT WORK"</f>
        <v>CUST ID:AJL1094/CONTRACT WORK</v>
      </c>
      <c r="G74" s="5">
        <v>4875</v>
      </c>
      <c r="H74" t="str">
        <f>"CUST ID:AJL1094/CONTRACT WORK"</f>
        <v>CUST ID:AJL1094/CONTRACT WORK</v>
      </c>
    </row>
    <row r="75" spans="1:8" x14ac:dyDescent="0.25">
      <c r="A75" t="s">
        <v>20</v>
      </c>
      <c r="B75">
        <v>2457</v>
      </c>
      <c r="C75" s="5">
        <v>1100</v>
      </c>
      <c r="D75" s="1">
        <v>43935</v>
      </c>
      <c r="E75" t="str">
        <f>"202003256078"</f>
        <v>202003256078</v>
      </c>
      <c r="F75" t="str">
        <f>"4237189"</f>
        <v>4237189</v>
      </c>
      <c r="G75" s="5">
        <v>100</v>
      </c>
      <c r="H75" t="str">
        <f>"4237189"</f>
        <v>4237189</v>
      </c>
    </row>
    <row r="76" spans="1:8" x14ac:dyDescent="0.25">
      <c r="E76" t="str">
        <f>"202003256096"</f>
        <v>202003256096</v>
      </c>
      <c r="F76" t="str">
        <f>"1484-335"</f>
        <v>1484-335</v>
      </c>
      <c r="G76" s="5">
        <v>100</v>
      </c>
      <c r="H76" t="str">
        <f>"1484-335"</f>
        <v>1484-335</v>
      </c>
    </row>
    <row r="77" spans="1:8" x14ac:dyDescent="0.25">
      <c r="E77" t="str">
        <f>"202003256097"</f>
        <v>202003256097</v>
      </c>
      <c r="F77" t="str">
        <f>"1445-21"</f>
        <v>1445-21</v>
      </c>
      <c r="G77" s="5">
        <v>100</v>
      </c>
      <c r="H77" t="str">
        <f>"1445-21"</f>
        <v>1445-21</v>
      </c>
    </row>
    <row r="78" spans="1:8" x14ac:dyDescent="0.25">
      <c r="E78" t="str">
        <f>"202003256098"</f>
        <v>202003256098</v>
      </c>
      <c r="F78" t="str">
        <f>"423-7143"</f>
        <v>423-7143</v>
      </c>
      <c r="G78" s="5">
        <v>100</v>
      </c>
      <c r="H78" t="str">
        <f>"423-7143"</f>
        <v>423-7143</v>
      </c>
    </row>
    <row r="79" spans="1:8" x14ac:dyDescent="0.25">
      <c r="E79" t="str">
        <f>"202003306116"</f>
        <v>202003306116</v>
      </c>
      <c r="F79" t="str">
        <f>"AC-2019-1124"</f>
        <v>AC-2019-1124</v>
      </c>
      <c r="G79" s="5">
        <v>400</v>
      </c>
      <c r="H79" t="str">
        <f>"AC-2019-1124"</f>
        <v>AC-2019-1124</v>
      </c>
    </row>
    <row r="80" spans="1:8" x14ac:dyDescent="0.25">
      <c r="E80" t="str">
        <f>"202003306117"</f>
        <v>202003306117</v>
      </c>
      <c r="F80" t="str">
        <f>"423-7194"</f>
        <v>423-7194</v>
      </c>
      <c r="G80" s="5">
        <v>100</v>
      </c>
      <c r="H80" t="str">
        <f>"423-7194"</f>
        <v>423-7194</v>
      </c>
    </row>
    <row r="81" spans="1:8" x14ac:dyDescent="0.25">
      <c r="E81" t="str">
        <f>"202003306118"</f>
        <v>202003306118</v>
      </c>
      <c r="F81" t="str">
        <f>"423-7195"</f>
        <v>423-7195</v>
      </c>
      <c r="G81" s="5">
        <v>100</v>
      </c>
      <c r="H81" t="str">
        <f>"423-7195"</f>
        <v>423-7195</v>
      </c>
    </row>
    <row r="82" spans="1:8" x14ac:dyDescent="0.25">
      <c r="E82" t="str">
        <f>"202003306119"</f>
        <v>202003306119</v>
      </c>
      <c r="F82" t="str">
        <f>"1490-335"</f>
        <v>1490-335</v>
      </c>
      <c r="G82" s="5">
        <v>100</v>
      </c>
      <c r="H82" t="str">
        <f>"1490-335"</f>
        <v>1490-335</v>
      </c>
    </row>
    <row r="83" spans="1:8" x14ac:dyDescent="0.25">
      <c r="A83" t="s">
        <v>21</v>
      </c>
      <c r="B83">
        <v>2408</v>
      </c>
      <c r="C83" s="5">
        <v>35691.339999999997</v>
      </c>
      <c r="D83" s="1">
        <v>43935</v>
      </c>
      <c r="E83" t="str">
        <f>"202004086375"</f>
        <v>202004086375</v>
      </c>
      <c r="F83" t="str">
        <f>"HAULING EXPS 03/16-04/03/PCT#4"</f>
        <v>HAULING EXPS 03/16-04/03/PCT#4</v>
      </c>
      <c r="G83" s="5">
        <v>14731.12</v>
      </c>
      <c r="H83" t="str">
        <f>"HAULING EXPS 03/16-04/03/PCT#4"</f>
        <v>HAULING EXPS 03/16-04/03/PCT#4</v>
      </c>
    </row>
    <row r="84" spans="1:8" x14ac:dyDescent="0.25">
      <c r="E84" t="str">
        <f>"202004086376"</f>
        <v>202004086376</v>
      </c>
      <c r="F84" t="str">
        <f>"HAULING EXPS 03/16-04/03/PCT#4"</f>
        <v>HAULING EXPS 03/16-04/03/PCT#4</v>
      </c>
      <c r="G84" s="5">
        <v>20960.22</v>
      </c>
      <c r="H84" t="str">
        <f>"HAULING EXPS 03/16-04/03/PCT#4"</f>
        <v>HAULING EXPS 03/16-04/03/PCT#4</v>
      </c>
    </row>
    <row r="85" spans="1:8" x14ac:dyDescent="0.25">
      <c r="A85" t="s">
        <v>21</v>
      </c>
      <c r="B85">
        <v>2487</v>
      </c>
      <c r="C85" s="5">
        <v>8348.83</v>
      </c>
      <c r="D85" s="1">
        <v>43949</v>
      </c>
      <c r="E85" t="str">
        <f>"202004226562"</f>
        <v>202004226562</v>
      </c>
      <c r="F85" t="str">
        <f>"HAULING EXPS 04/06-04/08/PCT#4"</f>
        <v>HAULING EXPS 04/06-04/08/PCT#4</v>
      </c>
      <c r="G85" s="5">
        <v>3453.29</v>
      </c>
      <c r="H85" t="str">
        <f>"HAULING EXPS 04/06-04/08/PCT#4"</f>
        <v>HAULING EXPS 04/06-04/08/PCT#4</v>
      </c>
    </row>
    <row r="86" spans="1:8" x14ac:dyDescent="0.25">
      <c r="E86" t="str">
        <f>"202004226563"</f>
        <v>202004226563</v>
      </c>
      <c r="F86" t="str">
        <f>"HAULING EXPS 04/06-04/08/PCT#4"</f>
        <v>HAULING EXPS 04/06-04/08/PCT#4</v>
      </c>
      <c r="G86" s="5">
        <v>4895.54</v>
      </c>
      <c r="H86" t="str">
        <f>"HAULING EXPS 04/06-04/08/PCT#4"</f>
        <v>HAULING EXPS 04/06-04/08/PCT#4</v>
      </c>
    </row>
    <row r="87" spans="1:8" x14ac:dyDescent="0.25">
      <c r="A87" t="s">
        <v>22</v>
      </c>
      <c r="B87">
        <v>131482</v>
      </c>
      <c r="C87" s="5">
        <v>18</v>
      </c>
      <c r="D87" s="1">
        <v>43934</v>
      </c>
      <c r="E87" t="s">
        <v>23</v>
      </c>
      <c r="F87" t="str">
        <f>"RESTITUTION-J. RICHARDSON"</f>
        <v>RESTITUTION-J. RICHARDSON</v>
      </c>
      <c r="G87" s="5">
        <v>18</v>
      </c>
      <c r="H87" t="str">
        <f>"RESTITUTION-J. RICHARDSON"</f>
        <v>RESTITUTION-J. RICHARDSON</v>
      </c>
    </row>
    <row r="88" spans="1:8" x14ac:dyDescent="0.25">
      <c r="A88" t="s">
        <v>24</v>
      </c>
      <c r="B88">
        <v>131483</v>
      </c>
      <c r="C88" s="5">
        <v>1500</v>
      </c>
      <c r="D88" s="1">
        <v>43934</v>
      </c>
      <c r="E88" t="str">
        <f>"202004086394"</f>
        <v>202004086394</v>
      </c>
      <c r="F88" t="str">
        <f>"VET SURG SVCS MAR 23/30 APR 2"</f>
        <v>VET SURG SVCS MAR 23/30 APR 2</v>
      </c>
      <c r="G88" s="5">
        <v>1500</v>
      </c>
      <c r="H88" t="str">
        <f>"VET SURG SVCS MAR 23/30 APR 2"</f>
        <v>VET SURG SVCS MAR 23/30 APR 2</v>
      </c>
    </row>
    <row r="89" spans="1:8" x14ac:dyDescent="0.25">
      <c r="A89" t="s">
        <v>25</v>
      </c>
      <c r="B89">
        <v>2429</v>
      </c>
      <c r="C89" s="5">
        <v>836.39</v>
      </c>
      <c r="D89" s="1">
        <v>43935</v>
      </c>
      <c r="E89" t="str">
        <f>"1GRF-4LCJ-3LCY"</f>
        <v>1GRF-4LCJ-3LCY</v>
      </c>
      <c r="F89" t="str">
        <f>"Shop Towels"</f>
        <v>Shop Towels</v>
      </c>
      <c r="G89" s="5">
        <v>31.7</v>
      </c>
      <c r="H89" t="str">
        <f>"Shop Towels 2pk"</f>
        <v>Shop Towels 2pk</v>
      </c>
    </row>
    <row r="90" spans="1:8" x14ac:dyDescent="0.25">
      <c r="E90" t="str">
        <f>"1K74-6XNM-G443"</f>
        <v>1K74-6XNM-G443</v>
      </c>
      <c r="F90" t="str">
        <f>"AMAZON CAPITAL SERVICES INC"</f>
        <v>AMAZON CAPITAL SERVICES INC</v>
      </c>
      <c r="G90" s="5">
        <v>284.86</v>
      </c>
      <c r="H90" t="str">
        <f>"Dell Adapter - USB"</f>
        <v>Dell Adapter - USB</v>
      </c>
    </row>
    <row r="91" spans="1:8" x14ac:dyDescent="0.25">
      <c r="E91" t="str">
        <f>""</f>
        <v/>
      </c>
      <c r="F91" t="str">
        <f>""</f>
        <v/>
      </c>
      <c r="H91" t="str">
        <f>"Shipping"</f>
        <v>Shipping</v>
      </c>
    </row>
    <row r="92" spans="1:8" x14ac:dyDescent="0.25">
      <c r="E92" t="str">
        <f>"1K9J-YXXX-DKD6"</f>
        <v>1K9J-YXXX-DKD6</v>
      </c>
      <c r="F92" t="str">
        <f>"Amazon Order"</f>
        <v>Amazon Order</v>
      </c>
      <c r="G92" s="5">
        <v>47.4</v>
      </c>
      <c r="H92" t="str">
        <f>"Alcohol Swabs"</f>
        <v>Alcohol Swabs</v>
      </c>
    </row>
    <row r="93" spans="1:8" x14ac:dyDescent="0.25">
      <c r="E93" t="str">
        <f>"1KGF-KR7R-C6YY"</f>
        <v>1KGF-KR7R-C6YY</v>
      </c>
      <c r="F93" t="str">
        <f>"Amazon Order"</f>
        <v>Amazon Order</v>
      </c>
      <c r="G93" s="5">
        <v>211.04</v>
      </c>
      <c r="H93" t="str">
        <f>"Hygine Station"</f>
        <v>Hygine Station</v>
      </c>
    </row>
    <row r="94" spans="1:8" x14ac:dyDescent="0.25">
      <c r="E94" t="str">
        <f>""</f>
        <v/>
      </c>
      <c r="F94" t="str">
        <f>""</f>
        <v/>
      </c>
      <c r="H94" t="str">
        <f>"Kleenex  8 Boxes"</f>
        <v>Kleenex  8 Boxes</v>
      </c>
    </row>
    <row r="95" spans="1:8" x14ac:dyDescent="0.25">
      <c r="E95" t="str">
        <f>""</f>
        <v/>
      </c>
      <c r="F95" t="str">
        <f>""</f>
        <v/>
      </c>
      <c r="H95" t="str">
        <f>"Disposable Masks"</f>
        <v>Disposable Masks</v>
      </c>
    </row>
    <row r="96" spans="1:8" x14ac:dyDescent="0.25">
      <c r="E96" t="str">
        <f>""</f>
        <v/>
      </c>
      <c r="F96" t="str">
        <f>""</f>
        <v/>
      </c>
      <c r="H96" t="str">
        <f>"Shipping"</f>
        <v>Shipping</v>
      </c>
    </row>
    <row r="97" spans="1:8" x14ac:dyDescent="0.25">
      <c r="E97" t="str">
        <f>"1KVL-Y7JD-6TW4"</f>
        <v>1KVL-Y7JD-6TW4</v>
      </c>
      <c r="F97" t="str">
        <f>"Office Supply Order"</f>
        <v>Office Supply Order</v>
      </c>
      <c r="G97" s="5">
        <v>186.83</v>
      </c>
      <c r="H97" t="str">
        <f>"Post-it Flags"</f>
        <v>Post-it Flags</v>
      </c>
    </row>
    <row r="98" spans="1:8" x14ac:dyDescent="0.25">
      <c r="E98" t="str">
        <f>""</f>
        <v/>
      </c>
      <c r="F98" t="str">
        <f>""</f>
        <v/>
      </c>
      <c r="H98" t="str">
        <f>"Scotch Packing Tape"</f>
        <v>Scotch Packing Tape</v>
      </c>
    </row>
    <row r="99" spans="1:8" x14ac:dyDescent="0.25">
      <c r="E99" t="str">
        <f>""</f>
        <v/>
      </c>
      <c r="F99" t="str">
        <f>""</f>
        <v/>
      </c>
      <c r="H99" t="str">
        <f>"Toner"</f>
        <v>Toner</v>
      </c>
    </row>
    <row r="100" spans="1:8" x14ac:dyDescent="0.25">
      <c r="E100" t="str">
        <f>""</f>
        <v/>
      </c>
      <c r="F100" t="str">
        <f>""</f>
        <v/>
      </c>
      <c r="H100" t="str">
        <f>"Duracell  C"</f>
        <v>Duracell  C</v>
      </c>
    </row>
    <row r="101" spans="1:8" x14ac:dyDescent="0.25">
      <c r="E101" t="str">
        <f>""</f>
        <v/>
      </c>
      <c r="F101" t="str">
        <f>""</f>
        <v/>
      </c>
      <c r="H101" t="str">
        <f>"Address Labels"</f>
        <v>Address Labels</v>
      </c>
    </row>
    <row r="102" spans="1:8" x14ac:dyDescent="0.25">
      <c r="E102" t="str">
        <f>""</f>
        <v/>
      </c>
      <c r="F102" t="str">
        <f>""</f>
        <v/>
      </c>
      <c r="H102" t="str">
        <f>"Hanging Folders"</f>
        <v>Hanging Folders</v>
      </c>
    </row>
    <row r="103" spans="1:8" x14ac:dyDescent="0.25">
      <c r="E103" t="str">
        <f>""</f>
        <v/>
      </c>
      <c r="F103" t="str">
        <f>""</f>
        <v/>
      </c>
      <c r="H103" t="str">
        <f>"Duracell  AAA"</f>
        <v>Duracell  AAA</v>
      </c>
    </row>
    <row r="104" spans="1:8" x14ac:dyDescent="0.25">
      <c r="E104" t="str">
        <f>""</f>
        <v/>
      </c>
      <c r="F104" t="str">
        <f>""</f>
        <v/>
      </c>
      <c r="H104" t="str">
        <f>"Binder Clips"</f>
        <v>Binder Clips</v>
      </c>
    </row>
    <row r="105" spans="1:8" x14ac:dyDescent="0.25">
      <c r="E105" t="str">
        <f>""</f>
        <v/>
      </c>
      <c r="F105" t="str">
        <f>""</f>
        <v/>
      </c>
      <c r="H105" t="str">
        <f>"Smead File Poclet"</f>
        <v>Smead File Poclet</v>
      </c>
    </row>
    <row r="106" spans="1:8" x14ac:dyDescent="0.25">
      <c r="E106" t="str">
        <f>""</f>
        <v/>
      </c>
      <c r="F106" t="str">
        <f>""</f>
        <v/>
      </c>
      <c r="H106" t="str">
        <f>"Duracell  AA"</f>
        <v>Duracell  AA</v>
      </c>
    </row>
    <row r="107" spans="1:8" x14ac:dyDescent="0.25">
      <c r="E107" t="str">
        <f>""</f>
        <v/>
      </c>
      <c r="F107" t="str">
        <f>""</f>
        <v/>
      </c>
      <c r="H107" t="str">
        <f>"Blue Ink Refill"</f>
        <v>Blue Ink Refill</v>
      </c>
    </row>
    <row r="108" spans="1:8" x14ac:dyDescent="0.25">
      <c r="E108" t="str">
        <f>"1RM6-RNMW-CHT6"</f>
        <v>1RM6-RNMW-CHT6</v>
      </c>
      <c r="F108" t="str">
        <f>"Amazon Order"</f>
        <v>Amazon Order</v>
      </c>
      <c r="G108" s="5">
        <v>32.4</v>
      </c>
      <c r="H108" t="str">
        <f>"Replacement Labels"</f>
        <v>Replacement Labels</v>
      </c>
    </row>
    <row r="109" spans="1:8" x14ac:dyDescent="0.25">
      <c r="E109" t="str">
        <f>"1RX1-Q1YM-JV99"</f>
        <v>1RX1-Q1YM-JV99</v>
      </c>
      <c r="F109" t="str">
        <f>"Amazon Order"</f>
        <v>Amazon Order</v>
      </c>
      <c r="G109" s="5">
        <v>42.16</v>
      </c>
      <c r="H109" t="str">
        <f>"Watermann Refill"</f>
        <v>Watermann Refill</v>
      </c>
    </row>
    <row r="110" spans="1:8" x14ac:dyDescent="0.25">
      <c r="E110" t="str">
        <f>""</f>
        <v/>
      </c>
      <c r="F110" t="str">
        <f>""</f>
        <v/>
      </c>
      <c r="H110" t="str">
        <f>"Return Address Lbls"</f>
        <v>Return Address Lbls</v>
      </c>
    </row>
    <row r="111" spans="1:8" x14ac:dyDescent="0.25">
      <c r="A111" t="s">
        <v>25</v>
      </c>
      <c r="B111">
        <v>2502</v>
      </c>
      <c r="C111" s="5">
        <v>5128.75</v>
      </c>
      <c r="D111" s="1">
        <v>43949</v>
      </c>
      <c r="E111" t="str">
        <f>"19FP-FCPP-MFKX"</f>
        <v>19FP-FCPP-MFKX</v>
      </c>
      <c r="F111" t="str">
        <f>"AMAZON CAPITAL SERVICES INC"</f>
        <v>AMAZON CAPITAL SERVICES INC</v>
      </c>
      <c r="G111" s="5">
        <v>127.95</v>
      </c>
      <c r="H111" t="str">
        <f>"F350 Floor Mats"</f>
        <v>F350 Floor Mats</v>
      </c>
    </row>
    <row r="112" spans="1:8" x14ac:dyDescent="0.25">
      <c r="E112" t="str">
        <f>"1CYX-MCQ6-HVWG"</f>
        <v>1CYX-MCQ6-HVWG</v>
      </c>
      <c r="F112" t="str">
        <f>"Flash Drives"</f>
        <v>Flash Drives</v>
      </c>
      <c r="G112" s="5">
        <v>3983.83</v>
      </c>
      <c r="H112" t="str">
        <f>"64GB; 10 Pack"</f>
        <v>64GB; 10 Pack</v>
      </c>
    </row>
    <row r="113" spans="1:8" x14ac:dyDescent="0.25">
      <c r="E113" t="str">
        <f>""</f>
        <v/>
      </c>
      <c r="F113" t="str">
        <f>""</f>
        <v/>
      </c>
      <c r="H113" t="str">
        <f>"8GB; 50 Pack"</f>
        <v>8GB; 50 Pack</v>
      </c>
    </row>
    <row r="114" spans="1:8" x14ac:dyDescent="0.25">
      <c r="E114" t="str">
        <f>""</f>
        <v/>
      </c>
      <c r="F114" t="str">
        <f>""</f>
        <v/>
      </c>
      <c r="H114" t="str">
        <f>"32GB; 50 Pack"</f>
        <v>32GB; 50 Pack</v>
      </c>
    </row>
    <row r="115" spans="1:8" x14ac:dyDescent="0.25">
      <c r="E115" t="str">
        <f>""</f>
        <v/>
      </c>
      <c r="F115" t="str">
        <f>""</f>
        <v/>
      </c>
      <c r="H115" t="str">
        <f>"16GB; 50 Pack"</f>
        <v>16GB; 50 Pack</v>
      </c>
    </row>
    <row r="116" spans="1:8" x14ac:dyDescent="0.25">
      <c r="E116" t="str">
        <f>""</f>
        <v/>
      </c>
      <c r="F116" t="str">
        <f>""</f>
        <v/>
      </c>
      <c r="H116" t="str">
        <f>"Shipping"</f>
        <v>Shipping</v>
      </c>
    </row>
    <row r="117" spans="1:8" x14ac:dyDescent="0.25">
      <c r="E117" t="str">
        <f>"1L9F-7J6M-JT73"</f>
        <v>1L9F-7J6M-JT73</v>
      </c>
      <c r="F117" t="str">
        <f>"Amazon"</f>
        <v>Amazon</v>
      </c>
      <c r="G117" s="5">
        <v>25.98</v>
      </c>
      <c r="H117" t="str">
        <f>"Soundbar Mount"</f>
        <v>Soundbar Mount</v>
      </c>
    </row>
    <row r="118" spans="1:8" x14ac:dyDescent="0.25">
      <c r="E118" t="str">
        <f>""</f>
        <v/>
      </c>
      <c r="F118" t="str">
        <f>""</f>
        <v/>
      </c>
      <c r="H118" t="str">
        <f>"Shipping"</f>
        <v>Shipping</v>
      </c>
    </row>
    <row r="119" spans="1:8" x14ac:dyDescent="0.25">
      <c r="E119" t="str">
        <f>"1MP4-7Q6N-74Q7"</f>
        <v>1MP4-7Q6N-74Q7</v>
      </c>
      <c r="F119" t="str">
        <f>"New Printer"</f>
        <v>New Printer</v>
      </c>
      <c r="G119" s="5">
        <v>699.99</v>
      </c>
      <c r="H119" t="str">
        <f>"D3Q21A"</f>
        <v>D3Q21A</v>
      </c>
    </row>
    <row r="120" spans="1:8" x14ac:dyDescent="0.25">
      <c r="E120" t="str">
        <f>"1XRX-TKPW-6R61"</f>
        <v>1XRX-TKPW-6R61</v>
      </c>
      <c r="F120" t="str">
        <f>"Amazon Order"</f>
        <v>Amazon Order</v>
      </c>
      <c r="G120" s="5">
        <v>291</v>
      </c>
      <c r="H120" t="str">
        <f>"Enforcer II"</f>
        <v>Enforcer II</v>
      </c>
    </row>
    <row r="121" spans="1:8" x14ac:dyDescent="0.25">
      <c r="A121" t="s">
        <v>26</v>
      </c>
      <c r="B121">
        <v>131651</v>
      </c>
      <c r="C121" s="5">
        <v>11.68</v>
      </c>
      <c r="D121" s="1">
        <v>43948</v>
      </c>
      <c r="E121" t="str">
        <f>"5375343"</f>
        <v>5375343</v>
      </c>
      <c r="F121" t="str">
        <f>"PARTS / PCT #3"</f>
        <v>PARTS / PCT #3</v>
      </c>
      <c r="G121" s="5">
        <v>11.68</v>
      </c>
      <c r="H121" t="str">
        <f>"PARTS / PCT #3"</f>
        <v>PARTS / PCT #3</v>
      </c>
    </row>
    <row r="122" spans="1:8" x14ac:dyDescent="0.25">
      <c r="A122" t="s">
        <v>27</v>
      </c>
      <c r="B122">
        <v>131484</v>
      </c>
      <c r="C122" s="5">
        <v>3625</v>
      </c>
      <c r="D122" s="1">
        <v>43934</v>
      </c>
      <c r="E122" t="str">
        <f>"112162"</f>
        <v>112162</v>
      </c>
      <c r="F122" t="str">
        <f>"VOTER SUPPLIES/EARLY VOTER KIT"</f>
        <v>VOTER SUPPLIES/EARLY VOTER KIT</v>
      </c>
      <c r="G122" s="5">
        <v>3625</v>
      </c>
      <c r="H122" t="str">
        <f>"VOTER SUPPLIES/EARLY VOTER KIT"</f>
        <v>VOTER SUPPLIES/EARLY VOTER KIT</v>
      </c>
    </row>
    <row r="123" spans="1:8" x14ac:dyDescent="0.25">
      <c r="A123" t="s">
        <v>27</v>
      </c>
      <c r="B123">
        <v>131652</v>
      </c>
      <c r="C123" s="5">
        <v>10647.57</v>
      </c>
      <c r="D123" s="1">
        <v>43948</v>
      </c>
      <c r="E123" t="str">
        <f>"112174"</f>
        <v>112174</v>
      </c>
      <c r="F123" t="str">
        <f>"BBMA MAILING"</f>
        <v>BBMA MAILING</v>
      </c>
      <c r="G123" s="5">
        <v>10647.57</v>
      </c>
      <c r="H123" t="str">
        <f>"BBMA MAILING"</f>
        <v>BBMA MAILING</v>
      </c>
    </row>
    <row r="124" spans="1:8" x14ac:dyDescent="0.25">
      <c r="A124" t="s">
        <v>28</v>
      </c>
      <c r="B124">
        <v>2471</v>
      </c>
      <c r="C124" s="5">
        <v>21170.67</v>
      </c>
      <c r="D124" s="1">
        <v>43935</v>
      </c>
      <c r="E124" t="str">
        <f>"202003256077"</f>
        <v>202003256077</v>
      </c>
      <c r="F124" t="str">
        <f>"16 869"</f>
        <v>16 869</v>
      </c>
      <c r="G124" s="5">
        <v>400</v>
      </c>
      <c r="H124" t="str">
        <f>"16 869"</f>
        <v>16 869</v>
      </c>
    </row>
    <row r="125" spans="1:8" x14ac:dyDescent="0.25">
      <c r="E125" t="str">
        <f>"202003256079"</f>
        <v>202003256079</v>
      </c>
      <c r="F125" t="str">
        <f>"15 975"</f>
        <v>15 975</v>
      </c>
      <c r="G125" s="5">
        <v>400</v>
      </c>
      <c r="H125" t="str">
        <f>"15 975"</f>
        <v>15 975</v>
      </c>
    </row>
    <row r="126" spans="1:8" x14ac:dyDescent="0.25">
      <c r="E126" t="str">
        <f>"202003306124"</f>
        <v>202003306124</v>
      </c>
      <c r="F126" t="str">
        <f>"16 877"</f>
        <v>16 877</v>
      </c>
      <c r="G126" s="5">
        <v>400</v>
      </c>
      <c r="H126" t="str">
        <f>"16 877"</f>
        <v>16 877</v>
      </c>
    </row>
    <row r="127" spans="1:8" x14ac:dyDescent="0.25">
      <c r="E127" t="str">
        <f>"202003306125"</f>
        <v>202003306125</v>
      </c>
      <c r="F127" t="str">
        <f>"16 567"</f>
        <v>16 567</v>
      </c>
      <c r="G127" s="5">
        <v>2710</v>
      </c>
      <c r="H127" t="str">
        <f>"16 567"</f>
        <v>16 567</v>
      </c>
    </row>
    <row r="128" spans="1:8" x14ac:dyDescent="0.25">
      <c r="E128" t="str">
        <f>"202003306126"</f>
        <v>202003306126</v>
      </c>
      <c r="F128" t="str">
        <f>"16 567  410027-2  410027-3  41"</f>
        <v>16 567  410027-2  410027-3  41</v>
      </c>
      <c r="G128" s="5">
        <v>7380</v>
      </c>
      <c r="H128" t="str">
        <f>"16 567  410027-2  410027-3  41"</f>
        <v>16 567  410027-2  410027-3  41</v>
      </c>
    </row>
    <row r="129" spans="5:8" x14ac:dyDescent="0.25">
      <c r="E129" t="str">
        <f>"202003306127"</f>
        <v>202003306127</v>
      </c>
      <c r="F129" t="str">
        <f>"15 812"</f>
        <v>15 812</v>
      </c>
      <c r="G129" s="5">
        <v>400</v>
      </c>
      <c r="H129" t="str">
        <f>"15 812"</f>
        <v>15 812</v>
      </c>
    </row>
    <row r="130" spans="5:8" x14ac:dyDescent="0.25">
      <c r="E130" t="str">
        <f>"202003306128"</f>
        <v>202003306128</v>
      </c>
      <c r="F130" t="str">
        <f>"16 987"</f>
        <v>16 987</v>
      </c>
      <c r="G130" s="5">
        <v>400</v>
      </c>
      <c r="H130" t="str">
        <f>"16 987"</f>
        <v>16 987</v>
      </c>
    </row>
    <row r="131" spans="5:8" x14ac:dyDescent="0.25">
      <c r="E131" t="str">
        <f>"202003306129"</f>
        <v>202003306129</v>
      </c>
      <c r="F131" t="str">
        <f>"16 467  16 557"</f>
        <v>16 467  16 557</v>
      </c>
      <c r="G131" s="5">
        <v>4350</v>
      </c>
      <c r="H131" t="str">
        <f>"16 467  16 557"</f>
        <v>16 467  16 557</v>
      </c>
    </row>
    <row r="132" spans="5:8" x14ac:dyDescent="0.25">
      <c r="E132" t="str">
        <f>"202004076272"</f>
        <v>202004076272</v>
      </c>
      <c r="F132" t="str">
        <f>"19-19857"</f>
        <v>19-19857</v>
      </c>
      <c r="G132" s="5">
        <v>45</v>
      </c>
      <c r="H132" t="str">
        <f>"19-19857"</f>
        <v>19-19857</v>
      </c>
    </row>
    <row r="133" spans="5:8" x14ac:dyDescent="0.25">
      <c r="E133" t="str">
        <f>"202004076273"</f>
        <v>202004076273</v>
      </c>
      <c r="F133" t="str">
        <f>"19-19768"</f>
        <v>19-19768</v>
      </c>
      <c r="G133" s="5">
        <v>142.5</v>
      </c>
      <c r="H133" t="str">
        <f>"19-19768"</f>
        <v>19-19768</v>
      </c>
    </row>
    <row r="134" spans="5:8" x14ac:dyDescent="0.25">
      <c r="E134" t="str">
        <f>"202004076274"</f>
        <v>202004076274</v>
      </c>
      <c r="F134" t="str">
        <f>"19-19994"</f>
        <v>19-19994</v>
      </c>
      <c r="G134" s="5">
        <v>90</v>
      </c>
      <c r="H134" t="str">
        <f>"19-19994"</f>
        <v>19-19994</v>
      </c>
    </row>
    <row r="135" spans="5:8" x14ac:dyDescent="0.25">
      <c r="E135" t="str">
        <f>"202004076275"</f>
        <v>202004076275</v>
      </c>
      <c r="F135" t="str">
        <f>"19-19914"</f>
        <v>19-19914</v>
      </c>
      <c r="G135" s="5">
        <v>105</v>
      </c>
      <c r="H135" t="str">
        <f>"19-19914"</f>
        <v>19-19914</v>
      </c>
    </row>
    <row r="136" spans="5:8" x14ac:dyDescent="0.25">
      <c r="E136" t="str">
        <f>"202004076276"</f>
        <v>202004076276</v>
      </c>
      <c r="F136" t="str">
        <f>"19-19893"</f>
        <v>19-19893</v>
      </c>
      <c r="G136" s="5">
        <v>517.5</v>
      </c>
      <c r="H136" t="str">
        <f>"19-19893"</f>
        <v>19-19893</v>
      </c>
    </row>
    <row r="137" spans="5:8" x14ac:dyDescent="0.25">
      <c r="E137" t="str">
        <f>"202004076277"</f>
        <v>202004076277</v>
      </c>
      <c r="F137" t="str">
        <f>"19-19704"</f>
        <v>19-19704</v>
      </c>
      <c r="G137" s="5">
        <v>150</v>
      </c>
      <c r="H137" t="str">
        <f>"19-19704"</f>
        <v>19-19704</v>
      </c>
    </row>
    <row r="138" spans="5:8" x14ac:dyDescent="0.25">
      <c r="E138" t="str">
        <f>"202004076278"</f>
        <v>202004076278</v>
      </c>
      <c r="F138" t="str">
        <f>"19-19597"</f>
        <v>19-19597</v>
      </c>
      <c r="G138" s="5">
        <v>97.5</v>
      </c>
      <c r="H138" t="str">
        <f>"19-19597"</f>
        <v>19-19597</v>
      </c>
    </row>
    <row r="139" spans="5:8" x14ac:dyDescent="0.25">
      <c r="E139" t="str">
        <f>"202004076279"</f>
        <v>202004076279</v>
      </c>
      <c r="F139" t="str">
        <f>"20-20056"</f>
        <v>20-20056</v>
      </c>
      <c r="G139" s="5">
        <v>202.5</v>
      </c>
      <c r="H139" t="str">
        <f>"20-20056"</f>
        <v>20-20056</v>
      </c>
    </row>
    <row r="140" spans="5:8" x14ac:dyDescent="0.25">
      <c r="E140" t="str">
        <f>"202004076280"</f>
        <v>202004076280</v>
      </c>
      <c r="F140" t="str">
        <f>"19-19679"</f>
        <v>19-19679</v>
      </c>
      <c r="G140" s="5">
        <v>60</v>
      </c>
      <c r="H140" t="str">
        <f>"19-19679"</f>
        <v>19-19679</v>
      </c>
    </row>
    <row r="141" spans="5:8" x14ac:dyDescent="0.25">
      <c r="E141" t="str">
        <f>"202004076281"</f>
        <v>202004076281</v>
      </c>
      <c r="F141" t="str">
        <f>"16-17978"</f>
        <v>16-17978</v>
      </c>
      <c r="G141" s="5">
        <v>157.5</v>
      </c>
      <c r="H141" t="str">
        <f>"16-17978"</f>
        <v>16-17978</v>
      </c>
    </row>
    <row r="142" spans="5:8" x14ac:dyDescent="0.25">
      <c r="E142" t="str">
        <f>"202004076282"</f>
        <v>202004076282</v>
      </c>
      <c r="F142" t="str">
        <f>"19-19711"</f>
        <v>19-19711</v>
      </c>
      <c r="G142" s="5">
        <v>638.16999999999996</v>
      </c>
      <c r="H142" t="str">
        <f>"19-19711"</f>
        <v>19-19711</v>
      </c>
    </row>
    <row r="143" spans="5:8" x14ac:dyDescent="0.25">
      <c r="E143" t="str">
        <f>"202004076283"</f>
        <v>202004076283</v>
      </c>
      <c r="F143" t="str">
        <f>"15-17399"</f>
        <v>15-17399</v>
      </c>
      <c r="G143" s="5">
        <v>300</v>
      </c>
      <c r="H143" t="str">
        <f>"15-17399"</f>
        <v>15-17399</v>
      </c>
    </row>
    <row r="144" spans="5:8" x14ac:dyDescent="0.25">
      <c r="E144" t="str">
        <f>"202004076328"</f>
        <v>202004076328</v>
      </c>
      <c r="F144" t="str">
        <f>"56 090"</f>
        <v>56 090</v>
      </c>
      <c r="G144" s="5">
        <v>250</v>
      </c>
      <c r="H144" t="str">
        <f>"56 090"</f>
        <v>56 090</v>
      </c>
    </row>
    <row r="145" spans="1:8" x14ac:dyDescent="0.25">
      <c r="E145" t="str">
        <f>"202004076329"</f>
        <v>202004076329</v>
      </c>
      <c r="F145" t="str">
        <f>"AC-2017-1119A"</f>
        <v>AC-2017-1119A</v>
      </c>
      <c r="G145" s="5">
        <v>250</v>
      </c>
      <c r="H145" t="str">
        <f>"AC-2017-1119A"</f>
        <v>AC-2017-1119A</v>
      </c>
    </row>
    <row r="146" spans="1:8" x14ac:dyDescent="0.25">
      <c r="E146" t="str">
        <f>"202004076330"</f>
        <v>202004076330</v>
      </c>
      <c r="F146" t="str">
        <f>"20190015-A   1/31/19-10/21/19"</f>
        <v>20190015-A   1/31/19-10/21/19</v>
      </c>
      <c r="G146" s="5">
        <v>250</v>
      </c>
      <c r="H146" t="str">
        <f>"20190015-A   1/31/19-10/21/19"</f>
        <v>20190015-A   1/31/19-10/21/19</v>
      </c>
    </row>
    <row r="147" spans="1:8" x14ac:dyDescent="0.25">
      <c r="E147" t="str">
        <f>"202004076331"</f>
        <v>202004076331</v>
      </c>
      <c r="F147" t="str">
        <f>"02-0227-6"</f>
        <v>02-0227-6</v>
      </c>
      <c r="G147" s="5">
        <v>250</v>
      </c>
      <c r="H147" t="str">
        <f>"02-0227-6"</f>
        <v>02-0227-6</v>
      </c>
    </row>
    <row r="148" spans="1:8" x14ac:dyDescent="0.25">
      <c r="E148" t="str">
        <f>"202004076332"</f>
        <v>202004076332</v>
      </c>
      <c r="F148" t="str">
        <f>"18-19322  01/30/19-10/01/19"</f>
        <v>18-19322  01/30/19-10/01/19</v>
      </c>
      <c r="G148" s="5">
        <v>625</v>
      </c>
      <c r="H148" t="str">
        <f>"18-19322  01/30/19-10/01/19"</f>
        <v>18-19322  01/30/19-10/01/19</v>
      </c>
    </row>
    <row r="149" spans="1:8" x14ac:dyDescent="0.25">
      <c r="E149" t="str">
        <f>"202004076333"</f>
        <v>202004076333</v>
      </c>
      <c r="F149" t="str">
        <f>"20-20155"</f>
        <v>20-20155</v>
      </c>
      <c r="G149" s="5">
        <v>100</v>
      </c>
      <c r="H149" t="str">
        <f>"20-20155"</f>
        <v>20-20155</v>
      </c>
    </row>
    <row r="150" spans="1:8" x14ac:dyDescent="0.25">
      <c r="E150" t="str">
        <f>"202004076361"</f>
        <v>202004076361</v>
      </c>
      <c r="F150" t="str">
        <f>"18-19166  11/07/19"</f>
        <v>18-19166  11/07/19</v>
      </c>
      <c r="G150" s="5">
        <v>500</v>
      </c>
      <c r="H150" t="str">
        <f>"18-19166  11/07/19"</f>
        <v>18-19166  11/07/19</v>
      </c>
    </row>
    <row r="151" spans="1:8" x14ac:dyDescent="0.25">
      <c r="A151" t="s">
        <v>28</v>
      </c>
      <c r="B151">
        <v>2528</v>
      </c>
      <c r="C151" s="5">
        <v>250</v>
      </c>
      <c r="D151" s="1">
        <v>43949</v>
      </c>
      <c r="E151" t="str">
        <f>"202004216545"</f>
        <v>202004216545</v>
      </c>
      <c r="F151" t="str">
        <f>"52 464"</f>
        <v>52 464</v>
      </c>
      <c r="G151" s="5">
        <v>250</v>
      </c>
      <c r="H151" t="str">
        <f>"52 464"</f>
        <v>52 464</v>
      </c>
    </row>
    <row r="152" spans="1:8" x14ac:dyDescent="0.25">
      <c r="A152" t="s">
        <v>29</v>
      </c>
      <c r="B152">
        <v>131485</v>
      </c>
      <c r="C152" s="5">
        <v>30</v>
      </c>
      <c r="D152" s="1">
        <v>43934</v>
      </c>
      <c r="E152" t="str">
        <f>"202004076246"</f>
        <v>202004076246</v>
      </c>
      <c r="F152" t="str">
        <f>"REIMBURSEMENT"</f>
        <v>REIMBURSEMENT</v>
      </c>
      <c r="G152" s="5">
        <v>30</v>
      </c>
      <c r="H152" t="str">
        <f>"REIMBURSEMENT"</f>
        <v>REIMBURSEMENT</v>
      </c>
    </row>
    <row r="153" spans="1:8" x14ac:dyDescent="0.25">
      <c r="A153" t="s">
        <v>30</v>
      </c>
      <c r="B153">
        <v>131486</v>
      </c>
      <c r="C153" s="5">
        <v>95.32</v>
      </c>
      <c r="D153" s="1">
        <v>43934</v>
      </c>
      <c r="E153" t="str">
        <f>"2003-486372"</f>
        <v>2003-486372</v>
      </c>
      <c r="F153" t="str">
        <f>"ACCT#3-3053/PCT#2"</f>
        <v>ACCT#3-3053/PCT#2</v>
      </c>
      <c r="G153" s="5">
        <v>95.32</v>
      </c>
      <c r="H153" t="str">
        <f>"ACCT#3-3053/PCT#2"</f>
        <v>ACCT#3-3053/PCT#2</v>
      </c>
    </row>
    <row r="154" spans="1:8" x14ac:dyDescent="0.25">
      <c r="A154" t="s">
        <v>31</v>
      </c>
      <c r="B154">
        <v>131487</v>
      </c>
      <c r="C154" s="5">
        <v>572.47</v>
      </c>
      <c r="D154" s="1">
        <v>43934</v>
      </c>
      <c r="E154" t="str">
        <f>"202004036138"</f>
        <v>202004036138</v>
      </c>
      <c r="F154" t="str">
        <f>"ACCT#010311/COUNTY CT AT LAW"</f>
        <v>ACCT#010311/COUNTY CT AT LAW</v>
      </c>
      <c r="G154" s="5">
        <v>9</v>
      </c>
      <c r="H154" t="str">
        <f>"ACCT#010311/COUNTY CT AT LAW"</f>
        <v>ACCT#010311/COUNTY CT AT LAW</v>
      </c>
    </row>
    <row r="155" spans="1:8" x14ac:dyDescent="0.25">
      <c r="E155" t="str">
        <f>"202004036139"</f>
        <v>202004036139</v>
      </c>
      <c r="F155" t="str">
        <f>"ACCT#011280/COUNTY CLERK"</f>
        <v>ACCT#011280/COUNTY CLERK</v>
      </c>
      <c r="G155" s="5">
        <v>46.5</v>
      </c>
      <c r="H155" t="str">
        <f>"ACCT#011280/COUNTY CLERK"</f>
        <v>ACCT#011280/COUNTY CLERK</v>
      </c>
    </row>
    <row r="156" spans="1:8" x14ac:dyDescent="0.25">
      <c r="E156" t="str">
        <f>"202004036140"</f>
        <v>202004036140</v>
      </c>
      <c r="F156" t="str">
        <f>"ACCT#010238/GENERAL SERVICES"</f>
        <v>ACCT#010238/GENERAL SERVICES</v>
      </c>
      <c r="G156" s="5">
        <v>57.99</v>
      </c>
      <c r="H156" t="str">
        <f>"ACCT#010238/GENERAL SERVICES"</f>
        <v>ACCT#010238/GENERAL SERVICES</v>
      </c>
    </row>
    <row r="157" spans="1:8" x14ac:dyDescent="0.25">
      <c r="E157" t="str">
        <f>"202004036147"</f>
        <v>202004036147</v>
      </c>
      <c r="F157" t="str">
        <f>"ACCT#012803/BASTROP CO JUDGE"</f>
        <v>ACCT#012803/BASTROP CO JUDGE</v>
      </c>
      <c r="G157" s="5">
        <v>16.5</v>
      </c>
      <c r="H157" t="str">
        <f>"ACCT#012803/BASTROP CO JUDGE"</f>
        <v>ACCT#012803/BASTROP CO JUDGE</v>
      </c>
    </row>
    <row r="158" spans="1:8" x14ac:dyDescent="0.25">
      <c r="E158" t="str">
        <f>"202004036149"</f>
        <v>202004036149</v>
      </c>
      <c r="F158" t="str">
        <f>"ACCT#011955/DISTRICT JUDGE"</f>
        <v>ACCT#011955/DISTRICT JUDGE</v>
      </c>
      <c r="G158" s="5">
        <v>48</v>
      </c>
      <c r="H158" t="str">
        <f>"ACCT#011955/DISTRICT JUDGE"</f>
        <v>ACCT#011955/DISTRICT JUDGE</v>
      </c>
    </row>
    <row r="159" spans="1:8" x14ac:dyDescent="0.25">
      <c r="E159" t="str">
        <f>"202004036150"</f>
        <v>202004036150</v>
      </c>
      <c r="F159" t="str">
        <f>"ACCT#012231/DIST JUDGE OFFICE"</f>
        <v>ACCT#012231/DIST JUDGE OFFICE</v>
      </c>
      <c r="G159" s="5">
        <v>10</v>
      </c>
      <c r="H159" t="str">
        <f>"ACCT#012231/DIST JUDGE OFFICE"</f>
        <v>ACCT#012231/DIST JUDGE OFFICE</v>
      </c>
    </row>
    <row r="160" spans="1:8" x14ac:dyDescent="0.25">
      <c r="E160" t="str">
        <f>"202004036151"</f>
        <v>202004036151</v>
      </c>
      <c r="F160" t="str">
        <f>"ACCT#012571/TREASURER"</f>
        <v>ACCT#012571/TREASURER</v>
      </c>
      <c r="G160" s="5">
        <v>16.5</v>
      </c>
      <c r="H160" t="str">
        <f>"ACCT#012571/TREASURER"</f>
        <v>ACCT#012571/TREASURER</v>
      </c>
    </row>
    <row r="161" spans="1:8" x14ac:dyDescent="0.25">
      <c r="E161" t="str">
        <f>"202004036152"</f>
        <v>202004036152</v>
      </c>
      <c r="F161" t="str">
        <f>"ACCT#013393/HUMAN RESOURCES"</f>
        <v>ACCT#013393/HUMAN RESOURCES</v>
      </c>
      <c r="G161" s="5">
        <v>17.5</v>
      </c>
      <c r="H161" t="str">
        <f>"ACCT#013393/HUMAN RESOURCES"</f>
        <v>ACCT#013393/HUMAN RESOURCES</v>
      </c>
    </row>
    <row r="162" spans="1:8" x14ac:dyDescent="0.25">
      <c r="E162" t="str">
        <f>"202004036153"</f>
        <v>202004036153</v>
      </c>
      <c r="F162" t="str">
        <f>"ACCT#010057/AUDITOR"</f>
        <v>ACCT#010057/AUDITOR</v>
      </c>
      <c r="G162" s="5">
        <v>46.5</v>
      </c>
      <c r="H162" t="str">
        <f>"ACCT#010057/AUDITOR"</f>
        <v>ACCT#010057/AUDITOR</v>
      </c>
    </row>
    <row r="163" spans="1:8" x14ac:dyDescent="0.25">
      <c r="E163" t="str">
        <f>"202004036154"</f>
        <v>202004036154</v>
      </c>
      <c r="F163" t="str">
        <f>"ACCT#010602/COMMISSIONER OFFIC"</f>
        <v>ACCT#010602/COMMISSIONER OFFIC</v>
      </c>
      <c r="G163" s="5">
        <v>24</v>
      </c>
      <c r="H163" t="str">
        <f>"ACCT#010602/COMMISSIONER OFFIC"</f>
        <v>ACCT#010602/COMMISSIONER OFFIC</v>
      </c>
    </row>
    <row r="164" spans="1:8" x14ac:dyDescent="0.25">
      <c r="E164" t="str">
        <f>"202004036155"</f>
        <v>202004036155</v>
      </c>
      <c r="F164" t="str">
        <f>"ACCT#011033/IT DEPT"</f>
        <v>ACCT#011033/IT DEPT</v>
      </c>
      <c r="G164" s="5">
        <v>84</v>
      </c>
      <c r="H164" t="str">
        <f>"ACCT#011033/IT DEPT"</f>
        <v>ACCT#011033/IT DEPT</v>
      </c>
    </row>
    <row r="165" spans="1:8" x14ac:dyDescent="0.25">
      <c r="E165" t="str">
        <f>"202004086379"</f>
        <v>202004086379</v>
      </c>
      <c r="F165" t="str">
        <f>"ACCT#014737/ANIMAL SERVICE"</f>
        <v>ACCT#014737/ANIMAL SERVICE</v>
      </c>
      <c r="G165" s="5">
        <v>48.99</v>
      </c>
      <c r="H165" t="str">
        <f>"ACCT#014737/ANIMAL SERVICE"</f>
        <v>ACCT#014737/ANIMAL SERVICE</v>
      </c>
    </row>
    <row r="166" spans="1:8" x14ac:dyDescent="0.25">
      <c r="E166" t="str">
        <f>"202004086385"</f>
        <v>202004086385</v>
      </c>
      <c r="F166" t="str">
        <f>"ACCT#010149/TEXAS AGRI LIFE EX"</f>
        <v>ACCT#010149/TEXAS AGRI LIFE EX</v>
      </c>
      <c r="G166" s="5">
        <v>15</v>
      </c>
      <c r="H166" t="str">
        <f>"ACCT#010149/TEXAS AGRI LIFE EX"</f>
        <v>ACCT#010149/TEXAS AGRI LIFE EX</v>
      </c>
    </row>
    <row r="167" spans="1:8" x14ac:dyDescent="0.25">
      <c r="E167" t="str">
        <f>"202004086386"</f>
        <v>202004086386</v>
      </c>
      <c r="F167" t="str">
        <f>"ACCT#014877/INDIGENT HEALTH"</f>
        <v>ACCT#014877/INDIGENT HEALTH</v>
      </c>
      <c r="G167" s="5">
        <v>34.49</v>
      </c>
      <c r="H167" t="str">
        <f>"ACCT#014877/INDIGENT HEALTH"</f>
        <v>ACCT#014877/INDIGENT HEALTH</v>
      </c>
    </row>
    <row r="168" spans="1:8" x14ac:dyDescent="0.25">
      <c r="E168" t="str">
        <f>"202004086387"</f>
        <v>202004086387</v>
      </c>
      <c r="F168" t="str">
        <f>"ACCT#015199/JP#1"</f>
        <v>ACCT#015199/JP#1</v>
      </c>
      <c r="G168" s="5">
        <v>9</v>
      </c>
      <c r="H168" t="str">
        <f>"ACCT#015199/JP#1"</f>
        <v>ACCT#015199/JP#1</v>
      </c>
    </row>
    <row r="169" spans="1:8" x14ac:dyDescent="0.25">
      <c r="E169" t="str">
        <f>"202004086388"</f>
        <v>202004086388</v>
      </c>
      <c r="F169" t="str">
        <f>"ACCT#012259/DISTRICT CLERK"</f>
        <v>ACCT#012259/DISTRICT CLERK</v>
      </c>
      <c r="G169" s="5">
        <v>88.5</v>
      </c>
      <c r="H169" t="str">
        <f>"ACCT#012259/DISTRICT CLERK"</f>
        <v>ACCT#012259/DISTRICT CLERK</v>
      </c>
    </row>
    <row r="170" spans="1:8" x14ac:dyDescent="0.25">
      <c r="A170" t="s">
        <v>31</v>
      </c>
      <c r="B170">
        <v>131653</v>
      </c>
      <c r="C170" s="5">
        <v>470.99</v>
      </c>
      <c r="D170" s="1">
        <v>43948</v>
      </c>
      <c r="E170" t="str">
        <f>"130606"</f>
        <v>130606</v>
      </c>
      <c r="F170" t="str">
        <f>"WATER BOTTLES/PCT#1"</f>
        <v>WATER BOTTLES/PCT#1</v>
      </c>
      <c r="G170" s="5">
        <v>470.99</v>
      </c>
      <c r="H170" t="str">
        <f>"WATER BOTTLES/PCT#1"</f>
        <v>WATER BOTTLES/PCT#1</v>
      </c>
    </row>
    <row r="171" spans="1:8" x14ac:dyDescent="0.25">
      <c r="A171" t="s">
        <v>32</v>
      </c>
      <c r="B171">
        <v>131470</v>
      </c>
      <c r="C171" s="5">
        <v>56.75</v>
      </c>
      <c r="D171" s="1">
        <v>43930</v>
      </c>
      <c r="E171" t="str">
        <f>"202004096400"</f>
        <v>202004096400</v>
      </c>
      <c r="F171" t="str">
        <f>"ACCT#0201855301 / 04052020"</f>
        <v>ACCT#0201855301 / 04052020</v>
      </c>
      <c r="G171" s="5">
        <v>31.47</v>
      </c>
      <c r="H171" t="str">
        <f>"AQUA WATER SUPPLY CORPORATION"</f>
        <v>AQUA WATER SUPPLY CORPORATION</v>
      </c>
    </row>
    <row r="172" spans="1:8" x14ac:dyDescent="0.25">
      <c r="E172" t="str">
        <f>"202004096401"</f>
        <v>202004096401</v>
      </c>
      <c r="F172" t="str">
        <f>"ACCT#0201891401 / 04052020"</f>
        <v>ACCT#0201891401 / 04052020</v>
      </c>
      <c r="G172" s="5">
        <v>25.28</v>
      </c>
      <c r="H172" t="str">
        <f>"ACCT#0201891401 / 04052020"</f>
        <v>ACCT#0201891401 / 04052020</v>
      </c>
    </row>
    <row r="173" spans="1:8" x14ac:dyDescent="0.25">
      <c r="A173" t="s">
        <v>32</v>
      </c>
      <c r="B173">
        <v>131654</v>
      </c>
      <c r="C173" s="5">
        <v>430.5</v>
      </c>
      <c r="D173" s="1">
        <v>43948</v>
      </c>
      <c r="E173" t="str">
        <f>"202004206443"</f>
        <v>202004206443</v>
      </c>
      <c r="F173" t="str">
        <f>"ACCT#7700010027/30 LDS WTR/P4"</f>
        <v>ACCT#7700010027/30 LDS WTR/P4</v>
      </c>
      <c r="G173" s="5">
        <v>307.5</v>
      </c>
      <c r="H173" t="str">
        <f>"ACCT#7700010027/30 LDS WTR/P4"</f>
        <v>ACCT#7700010027/30 LDS WTR/P4</v>
      </c>
    </row>
    <row r="174" spans="1:8" x14ac:dyDescent="0.25">
      <c r="E174" t="str">
        <f>"202004206445"</f>
        <v>202004206445</v>
      </c>
      <c r="F174" t="str">
        <f>"ACCT#7700010026/6 LDS WTR/P3"</f>
        <v>ACCT#7700010026/6 LDS WTR/P3</v>
      </c>
      <c r="G174" s="5">
        <v>61.5</v>
      </c>
      <c r="H174" t="str">
        <f>"ACCT#7700010026/6 LDS WTR/P3"</f>
        <v>ACCT#7700010026/6 LDS WTR/P3</v>
      </c>
    </row>
    <row r="175" spans="1:8" x14ac:dyDescent="0.25">
      <c r="E175" t="str">
        <f>"202004206450"</f>
        <v>202004206450</v>
      </c>
      <c r="F175" t="str">
        <f>"ACCT#7700010024/6 LDS WTR/P1"</f>
        <v>ACCT#7700010024/6 LDS WTR/P1</v>
      </c>
      <c r="G175" s="5">
        <v>61.5</v>
      </c>
      <c r="H175" t="str">
        <f>"ACCT#7700010024/6 LDS WTR/P1"</f>
        <v>ACCT#7700010024/6 LDS WTR/P1</v>
      </c>
    </row>
    <row r="176" spans="1:8" x14ac:dyDescent="0.25">
      <c r="A176" t="s">
        <v>32</v>
      </c>
      <c r="B176">
        <v>131765</v>
      </c>
      <c r="C176" s="5">
        <v>1235.07</v>
      </c>
      <c r="D176" s="1">
        <v>43948</v>
      </c>
      <c r="E176" t="str">
        <f>"202004276601"</f>
        <v>202004276601</v>
      </c>
      <c r="F176" t="str">
        <f>"ACCT#0102120801 / 04202020"</f>
        <v>ACCT#0102120801 / 04202020</v>
      </c>
      <c r="G176" s="5">
        <v>351.07</v>
      </c>
      <c r="H176" t="str">
        <f>"ACCT#0102120801 / 04202020"</f>
        <v>ACCT#0102120801 / 04202020</v>
      </c>
    </row>
    <row r="177" spans="1:8" x14ac:dyDescent="0.25">
      <c r="E177" t="str">
        <f>"202004276602"</f>
        <v>202004276602</v>
      </c>
      <c r="F177" t="str">
        <f>"ACTT#0400785803 / 04202020"</f>
        <v>ACTT#0400785803 / 04202020</v>
      </c>
      <c r="G177" s="5">
        <v>166.6</v>
      </c>
      <c r="H177" t="str">
        <f>"ACTT#0400785803 / 04202020"</f>
        <v>ACTT#0400785803 / 04202020</v>
      </c>
    </row>
    <row r="178" spans="1:8" x14ac:dyDescent="0.25">
      <c r="E178" t="str">
        <f>"202004276603"</f>
        <v>202004276603</v>
      </c>
      <c r="F178" t="str">
        <f>"ACCT#0401408501 / 04202020"</f>
        <v>ACCT#0401408501 / 04202020</v>
      </c>
      <c r="G178" s="5">
        <v>646.72</v>
      </c>
      <c r="H178" t="str">
        <f>"ACCT#0401408501 / 04202020"</f>
        <v>ACCT#0401408501 / 04202020</v>
      </c>
    </row>
    <row r="179" spans="1:8" x14ac:dyDescent="0.25">
      <c r="E179" t="str">
        <f>"202004276604"</f>
        <v>202004276604</v>
      </c>
      <c r="F179" t="str">
        <f>"ACCT#0800042801 / 04202020"</f>
        <v>ACCT#0800042801 / 04202020</v>
      </c>
      <c r="G179" s="5">
        <v>44.24</v>
      </c>
      <c r="H179" t="str">
        <f>"ACCT#0800042801 / 04202020"</f>
        <v>ACCT#0800042801 / 04202020</v>
      </c>
    </row>
    <row r="180" spans="1:8" x14ac:dyDescent="0.25">
      <c r="E180" t="str">
        <f>"202004276605"</f>
        <v>202004276605</v>
      </c>
      <c r="F180" t="str">
        <f>"ACCT#0802361501 / 04202020"</f>
        <v>ACCT#0802361501 / 04202020</v>
      </c>
      <c r="G180" s="5">
        <v>26.44</v>
      </c>
      <c r="H180" t="str">
        <f>"ACCT#0802361501 / 04202020"</f>
        <v>ACCT#0802361501 / 04202020</v>
      </c>
    </row>
    <row r="181" spans="1:8" x14ac:dyDescent="0.25">
      <c r="A181" t="s">
        <v>33</v>
      </c>
      <c r="B181">
        <v>131655</v>
      </c>
      <c r="C181" s="5">
        <v>600</v>
      </c>
      <c r="D181" s="1">
        <v>43948</v>
      </c>
      <c r="E181" t="str">
        <f>"202004216553"</f>
        <v>202004216553</v>
      </c>
      <c r="F181" t="str">
        <f>"CHRISTOPHER HULL MAYER"</f>
        <v>CHRISTOPHER HULL MAYER</v>
      </c>
      <c r="G181" s="5">
        <v>600</v>
      </c>
      <c r="H181" t="str">
        <f>"Survey Report"</f>
        <v>Survey Report</v>
      </c>
    </row>
    <row r="182" spans="1:8" x14ac:dyDescent="0.25">
      <c r="E182" t="str">
        <f>""</f>
        <v/>
      </c>
      <c r="F182" t="str">
        <f>""</f>
        <v/>
      </c>
      <c r="H182" t="str">
        <f>"Lab Analysis"</f>
        <v>Lab Analysis</v>
      </c>
    </row>
    <row r="183" spans="1:8" x14ac:dyDescent="0.25">
      <c r="E183" t="str">
        <f>""</f>
        <v/>
      </c>
      <c r="F183" t="str">
        <f>""</f>
        <v/>
      </c>
      <c r="H183" t="str">
        <f>"Shipping"</f>
        <v>Shipping</v>
      </c>
    </row>
    <row r="184" spans="1:8" x14ac:dyDescent="0.25">
      <c r="A184" t="s">
        <v>34</v>
      </c>
      <c r="B184">
        <v>131656</v>
      </c>
      <c r="C184" s="5">
        <v>44.89</v>
      </c>
      <c r="D184" s="1">
        <v>43948</v>
      </c>
      <c r="E184" t="str">
        <f>"202004226569"</f>
        <v>202004226569</v>
      </c>
      <c r="F184" t="str">
        <f>"REIMBURSE KENNEL SUPPLIES"</f>
        <v>REIMBURSE KENNEL SUPPLIES</v>
      </c>
      <c r="G184" s="5">
        <v>44.89</v>
      </c>
      <c r="H184" t="str">
        <f>"REIMBURSE KENNEL SUPPLIES"</f>
        <v>REIMBURSE KENNEL SUPPLIES</v>
      </c>
    </row>
    <row r="185" spans="1:8" x14ac:dyDescent="0.25">
      <c r="A185" t="s">
        <v>35</v>
      </c>
      <c r="B185">
        <v>131488</v>
      </c>
      <c r="C185" s="5">
        <v>6243.34</v>
      </c>
      <c r="D185" s="1">
        <v>43934</v>
      </c>
      <c r="E185" t="str">
        <f>"202004036141"</f>
        <v>202004036141</v>
      </c>
      <c r="F185" t="str">
        <f>"ACCT#512A49-0048 193 3"</f>
        <v>ACCT#512A49-0048 193 3</v>
      </c>
      <c r="G185" s="5">
        <v>6243.34</v>
      </c>
      <c r="H185" t="str">
        <f>"ACCT#512A49-0048 193 3"</f>
        <v>ACCT#512A49-0048 193 3</v>
      </c>
    </row>
    <row r="186" spans="1:8" x14ac:dyDescent="0.25">
      <c r="E186" t="str">
        <f>""</f>
        <v/>
      </c>
      <c r="F186" t="str">
        <f>""</f>
        <v/>
      </c>
      <c r="H186" t="str">
        <f>"ACCT#512A49-0048 193 3"</f>
        <v>ACCT#512A49-0048 193 3</v>
      </c>
    </row>
    <row r="187" spans="1:8" x14ac:dyDescent="0.25">
      <c r="E187" t="str">
        <f>""</f>
        <v/>
      </c>
      <c r="F187" t="str">
        <f>""</f>
        <v/>
      </c>
      <c r="H187" t="str">
        <f>"ACCT#512A49-0048 193 3"</f>
        <v>ACCT#512A49-0048 193 3</v>
      </c>
    </row>
    <row r="188" spans="1:8" x14ac:dyDescent="0.25">
      <c r="E188" t="str">
        <f>""</f>
        <v/>
      </c>
      <c r="F188" t="str">
        <f>""</f>
        <v/>
      </c>
      <c r="H188" t="str">
        <f>"ACCT#512A49-0048 193 3"</f>
        <v>ACCT#512A49-0048 193 3</v>
      </c>
    </row>
    <row r="189" spans="1:8" x14ac:dyDescent="0.25">
      <c r="A189" t="s">
        <v>35</v>
      </c>
      <c r="B189">
        <v>131489</v>
      </c>
      <c r="C189" s="5">
        <v>4289.09</v>
      </c>
      <c r="D189" s="1">
        <v>43934</v>
      </c>
      <c r="E189" t="str">
        <f>"1413723502"</f>
        <v>1413723502</v>
      </c>
      <c r="F189" t="str">
        <f>"ACCT#831-000-6084 095"</f>
        <v>ACCT#831-000-6084 095</v>
      </c>
      <c r="G189" s="5">
        <v>1684.69</v>
      </c>
      <c r="H189" t="str">
        <f>"ACCT#831-000-6084 095"</f>
        <v>ACCT#831-000-6084 095</v>
      </c>
    </row>
    <row r="190" spans="1:8" x14ac:dyDescent="0.25">
      <c r="E190" t="str">
        <f>"1598314507"</f>
        <v>1598314507</v>
      </c>
      <c r="F190" t="str">
        <f>"ACCT#831-000-9850 451"</f>
        <v>ACCT#831-000-9850 451</v>
      </c>
      <c r="G190" s="5">
        <v>1149.32</v>
      </c>
      <c r="H190" t="str">
        <f>"ACCT#831-000-9850 451"</f>
        <v>ACCT#831-000-9850 451</v>
      </c>
    </row>
    <row r="191" spans="1:8" x14ac:dyDescent="0.25">
      <c r="E191" t="str">
        <f>"202004036142"</f>
        <v>202004036142</v>
      </c>
      <c r="F191" t="str">
        <f>"ACCT#512 3089870 530 7"</f>
        <v>ACCT#512 3089870 530 7</v>
      </c>
      <c r="G191" s="5">
        <v>580.83000000000004</v>
      </c>
      <c r="H191" t="str">
        <f>"ACCT#512 3089870 530 7"</f>
        <v>ACCT#512 3089870 530 7</v>
      </c>
    </row>
    <row r="192" spans="1:8" x14ac:dyDescent="0.25">
      <c r="E192" t="str">
        <f>"7002353502"</f>
        <v>7002353502</v>
      </c>
      <c r="F192" t="str">
        <f>"ACCT#831-0007218 923"</f>
        <v>ACCT#831-0007218 923</v>
      </c>
      <c r="G192" s="5">
        <v>874.25</v>
      </c>
      <c r="H192" t="str">
        <f>"ACCT#831-0007218 923"</f>
        <v>ACCT#831-0007218 923</v>
      </c>
    </row>
    <row r="193" spans="1:8" x14ac:dyDescent="0.25">
      <c r="A193" t="s">
        <v>35</v>
      </c>
      <c r="B193">
        <v>131657</v>
      </c>
      <c r="C193" s="5">
        <v>1803.99</v>
      </c>
      <c r="D193" s="1">
        <v>43948</v>
      </c>
      <c r="E193" t="str">
        <f>"202004216555"</f>
        <v>202004216555</v>
      </c>
      <c r="F193" t="str">
        <f>"ACCT #512 030-1080 238 5"</f>
        <v>ACCT #512 030-1080 238 5</v>
      </c>
      <c r="G193" s="5">
        <v>1803.99</v>
      </c>
      <c r="H193" t="str">
        <f>"512 030-1080 (SO)"</f>
        <v>512 030-1080 (SO)</v>
      </c>
    </row>
    <row r="194" spans="1:8" x14ac:dyDescent="0.25">
      <c r="E194" t="str">
        <f>""</f>
        <v/>
      </c>
      <c r="F194" t="str">
        <f>""</f>
        <v/>
      </c>
      <c r="H194" t="str">
        <f>"512 030-1080 (JAIL)"</f>
        <v>512 030-1080 (JAIL)</v>
      </c>
    </row>
    <row r="195" spans="1:8" x14ac:dyDescent="0.25">
      <c r="A195" t="s">
        <v>36</v>
      </c>
      <c r="B195">
        <v>131490</v>
      </c>
      <c r="C195" s="5">
        <v>1099</v>
      </c>
      <c r="D195" s="1">
        <v>43934</v>
      </c>
      <c r="E195" t="str">
        <f>"560767073"</f>
        <v>560767073</v>
      </c>
      <c r="F195" t="str">
        <f>"inv# 560767073"</f>
        <v>inv# 560767073</v>
      </c>
      <c r="G195" s="5">
        <v>1099</v>
      </c>
      <c r="H195" t="str">
        <f>"Ipad"</f>
        <v>Ipad</v>
      </c>
    </row>
    <row r="196" spans="1:8" x14ac:dyDescent="0.25">
      <c r="A196" t="s">
        <v>36</v>
      </c>
      <c r="B196">
        <v>131491</v>
      </c>
      <c r="C196" s="5">
        <v>4878.1400000000003</v>
      </c>
      <c r="D196" s="1">
        <v>43934</v>
      </c>
      <c r="E196" t="str">
        <f>"202004086389"</f>
        <v>202004086389</v>
      </c>
      <c r="F196" t="str">
        <f>"ACCT#287263291654"</f>
        <v>ACCT#287263291654</v>
      </c>
      <c r="G196" s="5">
        <v>1287.47</v>
      </c>
      <c r="H196" t="str">
        <f t="shared" ref="H196:H209" si="6">"ACCT#287263291654"</f>
        <v>ACCT#287263291654</v>
      </c>
    </row>
    <row r="197" spans="1:8" x14ac:dyDescent="0.25">
      <c r="E197" t="str">
        <f>""</f>
        <v/>
      </c>
      <c r="F197" t="str">
        <f>""</f>
        <v/>
      </c>
      <c r="H197" t="str">
        <f t="shared" si="6"/>
        <v>ACCT#287263291654</v>
      </c>
    </row>
    <row r="198" spans="1:8" x14ac:dyDescent="0.25">
      <c r="E198" t="str">
        <f>""</f>
        <v/>
      </c>
      <c r="F198" t="str">
        <f>""</f>
        <v/>
      </c>
      <c r="H198" t="str">
        <f t="shared" si="6"/>
        <v>ACCT#287263291654</v>
      </c>
    </row>
    <row r="199" spans="1:8" x14ac:dyDescent="0.25">
      <c r="E199" t="str">
        <f>""</f>
        <v/>
      </c>
      <c r="F199" t="str">
        <f>""</f>
        <v/>
      </c>
      <c r="H199" t="str">
        <f t="shared" si="6"/>
        <v>ACCT#287263291654</v>
      </c>
    </row>
    <row r="200" spans="1:8" x14ac:dyDescent="0.25">
      <c r="E200" t="str">
        <f>""</f>
        <v/>
      </c>
      <c r="F200" t="str">
        <f>""</f>
        <v/>
      </c>
      <c r="H200" t="str">
        <f t="shared" si="6"/>
        <v>ACCT#287263291654</v>
      </c>
    </row>
    <row r="201" spans="1:8" x14ac:dyDescent="0.25">
      <c r="E201" t="str">
        <f>""</f>
        <v/>
      </c>
      <c r="F201" t="str">
        <f>""</f>
        <v/>
      </c>
      <c r="H201" t="str">
        <f t="shared" si="6"/>
        <v>ACCT#287263291654</v>
      </c>
    </row>
    <row r="202" spans="1:8" x14ac:dyDescent="0.25">
      <c r="E202" t="str">
        <f>""</f>
        <v/>
      </c>
      <c r="F202" t="str">
        <f>""</f>
        <v/>
      </c>
      <c r="H202" t="str">
        <f t="shared" si="6"/>
        <v>ACCT#287263291654</v>
      </c>
    </row>
    <row r="203" spans="1:8" x14ac:dyDescent="0.25">
      <c r="E203" t="str">
        <f>""</f>
        <v/>
      </c>
      <c r="F203" t="str">
        <f>""</f>
        <v/>
      </c>
      <c r="H203" t="str">
        <f t="shared" si="6"/>
        <v>ACCT#287263291654</v>
      </c>
    </row>
    <row r="204" spans="1:8" x14ac:dyDescent="0.25">
      <c r="E204" t="str">
        <f>""</f>
        <v/>
      </c>
      <c r="F204" t="str">
        <f>""</f>
        <v/>
      </c>
      <c r="H204" t="str">
        <f t="shared" si="6"/>
        <v>ACCT#287263291654</v>
      </c>
    </row>
    <row r="205" spans="1:8" x14ac:dyDescent="0.25">
      <c r="E205" t="str">
        <f>""</f>
        <v/>
      </c>
      <c r="F205" t="str">
        <f>""</f>
        <v/>
      </c>
      <c r="H205" t="str">
        <f t="shared" si="6"/>
        <v>ACCT#287263291654</v>
      </c>
    </row>
    <row r="206" spans="1:8" x14ac:dyDescent="0.25">
      <c r="E206" t="str">
        <f>""</f>
        <v/>
      </c>
      <c r="F206" t="str">
        <f>""</f>
        <v/>
      </c>
      <c r="H206" t="str">
        <f t="shared" si="6"/>
        <v>ACCT#287263291654</v>
      </c>
    </row>
    <row r="207" spans="1:8" x14ac:dyDescent="0.25">
      <c r="E207" t="str">
        <f>""</f>
        <v/>
      </c>
      <c r="F207" t="str">
        <f>""</f>
        <v/>
      </c>
      <c r="H207" t="str">
        <f t="shared" si="6"/>
        <v>ACCT#287263291654</v>
      </c>
    </row>
    <row r="208" spans="1:8" x14ac:dyDescent="0.25">
      <c r="E208" t="str">
        <f>""</f>
        <v/>
      </c>
      <c r="F208" t="str">
        <f>""</f>
        <v/>
      </c>
      <c r="H208" t="str">
        <f t="shared" si="6"/>
        <v>ACCT#287263291654</v>
      </c>
    </row>
    <row r="209" spans="1:8" x14ac:dyDescent="0.25">
      <c r="E209" t="str">
        <f>""</f>
        <v/>
      </c>
      <c r="F209" t="str">
        <f>""</f>
        <v/>
      </c>
      <c r="H209" t="str">
        <f t="shared" si="6"/>
        <v>ACCT#287263291654</v>
      </c>
    </row>
    <row r="210" spans="1:8" x14ac:dyDescent="0.25">
      <c r="E210" t="str">
        <f>"287280903541X0320"</f>
        <v>287280903541X0320</v>
      </c>
      <c r="F210" t="str">
        <f>"287280903541X03202020"</f>
        <v>287280903541X03202020</v>
      </c>
      <c r="G210" s="5">
        <v>217.91</v>
      </c>
      <c r="H210" t="str">
        <f>"287280903541X03202020"</f>
        <v>287280903541X03202020</v>
      </c>
    </row>
    <row r="211" spans="1:8" x14ac:dyDescent="0.25">
      <c r="E211" t="str">
        <f>"287290524359X03272"</f>
        <v>287290524359X03272</v>
      </c>
      <c r="F211" t="str">
        <f>"ACCT#287290524359"</f>
        <v>ACCT#287290524359</v>
      </c>
      <c r="G211" s="5">
        <v>3372.76</v>
      </c>
      <c r="H211" t="str">
        <f t="shared" ref="H211:H219" si="7">"ACCT#287290524359"</f>
        <v>ACCT#287290524359</v>
      </c>
    </row>
    <row r="212" spans="1:8" x14ac:dyDescent="0.25">
      <c r="E212" t="str">
        <f>""</f>
        <v/>
      </c>
      <c r="F212" t="str">
        <f>""</f>
        <v/>
      </c>
      <c r="H212" t="str">
        <f t="shared" si="7"/>
        <v>ACCT#287290524359</v>
      </c>
    </row>
    <row r="213" spans="1:8" x14ac:dyDescent="0.25">
      <c r="E213" t="str">
        <f>""</f>
        <v/>
      </c>
      <c r="F213" t="str">
        <f>""</f>
        <v/>
      </c>
      <c r="H213" t="str">
        <f t="shared" si="7"/>
        <v>ACCT#287290524359</v>
      </c>
    </row>
    <row r="214" spans="1:8" x14ac:dyDescent="0.25">
      <c r="E214" t="str">
        <f>""</f>
        <v/>
      </c>
      <c r="F214" t="str">
        <f>""</f>
        <v/>
      </c>
      <c r="H214" t="str">
        <f t="shared" si="7"/>
        <v>ACCT#287290524359</v>
      </c>
    </row>
    <row r="215" spans="1:8" x14ac:dyDescent="0.25">
      <c r="E215" t="str">
        <f>""</f>
        <v/>
      </c>
      <c r="F215" t="str">
        <f>""</f>
        <v/>
      </c>
      <c r="H215" t="str">
        <f t="shared" si="7"/>
        <v>ACCT#287290524359</v>
      </c>
    </row>
    <row r="216" spans="1:8" x14ac:dyDescent="0.25">
      <c r="E216" t="str">
        <f>""</f>
        <v/>
      </c>
      <c r="F216" t="str">
        <f>""</f>
        <v/>
      </c>
      <c r="H216" t="str">
        <f t="shared" si="7"/>
        <v>ACCT#287290524359</v>
      </c>
    </row>
    <row r="217" spans="1:8" x14ac:dyDescent="0.25">
      <c r="E217" t="str">
        <f>""</f>
        <v/>
      </c>
      <c r="F217" t="str">
        <f>""</f>
        <v/>
      </c>
      <c r="H217" t="str">
        <f t="shared" si="7"/>
        <v>ACCT#287290524359</v>
      </c>
    </row>
    <row r="218" spans="1:8" x14ac:dyDescent="0.25">
      <c r="E218" t="str">
        <f>""</f>
        <v/>
      </c>
      <c r="F218" t="str">
        <f>""</f>
        <v/>
      </c>
      <c r="H218" t="str">
        <f t="shared" si="7"/>
        <v>ACCT#287290524359</v>
      </c>
    </row>
    <row r="219" spans="1:8" x14ac:dyDescent="0.25">
      <c r="E219" t="str">
        <f>""</f>
        <v/>
      </c>
      <c r="F219" t="str">
        <f>""</f>
        <v/>
      </c>
      <c r="H219" t="str">
        <f t="shared" si="7"/>
        <v>ACCT#287290524359</v>
      </c>
    </row>
    <row r="220" spans="1:8" x14ac:dyDescent="0.25">
      <c r="A220" t="s">
        <v>36</v>
      </c>
      <c r="B220">
        <v>131658</v>
      </c>
      <c r="C220" s="5">
        <v>1520.16</v>
      </c>
      <c r="D220" s="1">
        <v>43948</v>
      </c>
      <c r="E220" t="str">
        <f>"263291654X04202020"</f>
        <v>263291654X04202020</v>
      </c>
      <c r="F220" t="str">
        <f>"ACCT#287263291654"</f>
        <v>ACCT#287263291654</v>
      </c>
      <c r="G220" s="5">
        <v>1302.67</v>
      </c>
      <c r="H220" t="str">
        <f t="shared" ref="H220:H233" si="8">"ACCT#287263291654"</f>
        <v>ACCT#287263291654</v>
      </c>
    </row>
    <row r="221" spans="1:8" x14ac:dyDescent="0.25">
      <c r="E221" t="str">
        <f>""</f>
        <v/>
      </c>
      <c r="F221" t="str">
        <f>""</f>
        <v/>
      </c>
      <c r="H221" t="str">
        <f t="shared" si="8"/>
        <v>ACCT#287263291654</v>
      </c>
    </row>
    <row r="222" spans="1:8" x14ac:dyDescent="0.25">
      <c r="E222" t="str">
        <f>""</f>
        <v/>
      </c>
      <c r="F222" t="str">
        <f>""</f>
        <v/>
      </c>
      <c r="H222" t="str">
        <f t="shared" si="8"/>
        <v>ACCT#287263291654</v>
      </c>
    </row>
    <row r="223" spans="1:8" x14ac:dyDescent="0.25">
      <c r="E223" t="str">
        <f>""</f>
        <v/>
      </c>
      <c r="F223" t="str">
        <f>""</f>
        <v/>
      </c>
      <c r="H223" t="str">
        <f t="shared" si="8"/>
        <v>ACCT#287263291654</v>
      </c>
    </row>
    <row r="224" spans="1:8" x14ac:dyDescent="0.25">
      <c r="E224" t="str">
        <f>""</f>
        <v/>
      </c>
      <c r="F224" t="str">
        <f>""</f>
        <v/>
      </c>
      <c r="H224" t="str">
        <f t="shared" si="8"/>
        <v>ACCT#287263291654</v>
      </c>
    </row>
    <row r="225" spans="1:8" x14ac:dyDescent="0.25">
      <c r="E225" t="str">
        <f>""</f>
        <v/>
      </c>
      <c r="F225" t="str">
        <f>""</f>
        <v/>
      </c>
      <c r="H225" t="str">
        <f t="shared" si="8"/>
        <v>ACCT#287263291654</v>
      </c>
    </row>
    <row r="226" spans="1:8" x14ac:dyDescent="0.25">
      <c r="E226" t="str">
        <f>""</f>
        <v/>
      </c>
      <c r="F226" t="str">
        <f>""</f>
        <v/>
      </c>
      <c r="H226" t="str">
        <f t="shared" si="8"/>
        <v>ACCT#287263291654</v>
      </c>
    </row>
    <row r="227" spans="1:8" x14ac:dyDescent="0.25">
      <c r="E227" t="str">
        <f>""</f>
        <v/>
      </c>
      <c r="F227" t="str">
        <f>""</f>
        <v/>
      </c>
      <c r="H227" t="str">
        <f t="shared" si="8"/>
        <v>ACCT#287263291654</v>
      </c>
    </row>
    <row r="228" spans="1:8" x14ac:dyDescent="0.25">
      <c r="E228" t="str">
        <f>""</f>
        <v/>
      </c>
      <c r="F228" t="str">
        <f>""</f>
        <v/>
      </c>
      <c r="H228" t="str">
        <f t="shared" si="8"/>
        <v>ACCT#287263291654</v>
      </c>
    </row>
    <row r="229" spans="1:8" x14ac:dyDescent="0.25">
      <c r="E229" t="str">
        <f>""</f>
        <v/>
      </c>
      <c r="F229" t="str">
        <f>""</f>
        <v/>
      </c>
      <c r="H229" t="str">
        <f t="shared" si="8"/>
        <v>ACCT#287263291654</v>
      </c>
    </row>
    <row r="230" spans="1:8" x14ac:dyDescent="0.25">
      <c r="E230" t="str">
        <f>""</f>
        <v/>
      </c>
      <c r="F230" t="str">
        <f>""</f>
        <v/>
      </c>
      <c r="H230" t="str">
        <f t="shared" si="8"/>
        <v>ACCT#287263291654</v>
      </c>
    </row>
    <row r="231" spans="1:8" x14ac:dyDescent="0.25">
      <c r="E231" t="str">
        <f>""</f>
        <v/>
      </c>
      <c r="F231" t="str">
        <f>""</f>
        <v/>
      </c>
      <c r="H231" t="str">
        <f t="shared" si="8"/>
        <v>ACCT#287263291654</v>
      </c>
    </row>
    <row r="232" spans="1:8" x14ac:dyDescent="0.25">
      <c r="E232" t="str">
        <f>""</f>
        <v/>
      </c>
      <c r="F232" t="str">
        <f>""</f>
        <v/>
      </c>
      <c r="H232" t="str">
        <f t="shared" si="8"/>
        <v>ACCT#287263291654</v>
      </c>
    </row>
    <row r="233" spans="1:8" x14ac:dyDescent="0.25">
      <c r="E233" t="str">
        <f>""</f>
        <v/>
      </c>
      <c r="F233" t="str">
        <f>""</f>
        <v/>
      </c>
      <c r="H233" t="str">
        <f t="shared" si="8"/>
        <v>ACCT#287263291654</v>
      </c>
    </row>
    <row r="234" spans="1:8" x14ac:dyDescent="0.25">
      <c r="E234" t="str">
        <f>"287280903541X042"</f>
        <v>287280903541X042</v>
      </c>
      <c r="F234" t="str">
        <f>"INV287280903541X04202020"</f>
        <v>INV287280903541X04202020</v>
      </c>
      <c r="G234" s="5">
        <v>217.49</v>
      </c>
      <c r="H234" t="str">
        <f>"INV287280903541X04202020"</f>
        <v>INV287280903541X04202020</v>
      </c>
    </row>
    <row r="235" spans="1:8" x14ac:dyDescent="0.25">
      <c r="A235" t="s">
        <v>37</v>
      </c>
      <c r="B235">
        <v>131659</v>
      </c>
      <c r="C235" s="5">
        <v>102.96</v>
      </c>
      <c r="D235" s="1">
        <v>43948</v>
      </c>
      <c r="E235" t="str">
        <f>"52857"</f>
        <v>52857</v>
      </c>
      <c r="F235" t="str">
        <f>"AUSTIN FLAG &amp; FLAGPOLE/PCT#4"</f>
        <v>AUSTIN FLAG &amp; FLAGPOLE/PCT#4</v>
      </c>
      <c r="G235" s="5">
        <v>102.96</v>
      </c>
      <c r="H235" t="str">
        <f>"AUSTIN FLAG &amp; FLAGPOLE/PCT#4"</f>
        <v>AUSTIN FLAG &amp; FLAGPOLE/PCT#4</v>
      </c>
    </row>
    <row r="236" spans="1:8" x14ac:dyDescent="0.25">
      <c r="A236" t="s">
        <v>38</v>
      </c>
      <c r="B236">
        <v>131660</v>
      </c>
      <c r="C236" s="5">
        <v>286.27999999999997</v>
      </c>
      <c r="D236" s="1">
        <v>43948</v>
      </c>
      <c r="E236" t="str">
        <f>"202004226577"</f>
        <v>202004226577</v>
      </c>
      <c r="F236" t="str">
        <f>"INDIGENT HEALTH"</f>
        <v>INDIGENT HEALTH</v>
      </c>
      <c r="G236" s="5">
        <v>286.27999999999997</v>
      </c>
      <c r="H236" t="str">
        <f>"INDIGENT HEALTH"</f>
        <v>INDIGENT HEALTH</v>
      </c>
    </row>
    <row r="237" spans="1:8" x14ac:dyDescent="0.25">
      <c r="A237" t="s">
        <v>39</v>
      </c>
      <c r="B237">
        <v>131661</v>
      </c>
      <c r="C237" s="5">
        <v>132.59</v>
      </c>
      <c r="D237" s="1">
        <v>43948</v>
      </c>
      <c r="E237" t="str">
        <f>"202004226578"</f>
        <v>202004226578</v>
      </c>
      <c r="F237" t="str">
        <f>"INDIGENT HEALTH"</f>
        <v>INDIGENT HEALTH</v>
      </c>
      <c r="G237" s="5">
        <v>132.59</v>
      </c>
      <c r="H237" t="str">
        <f>"INDIGENT HEALTH"</f>
        <v>INDIGENT HEALTH</v>
      </c>
    </row>
    <row r="238" spans="1:8" x14ac:dyDescent="0.25">
      <c r="A238" t="s">
        <v>40</v>
      </c>
      <c r="B238">
        <v>131662</v>
      </c>
      <c r="C238" s="5">
        <v>34.83</v>
      </c>
      <c r="D238" s="1">
        <v>43948</v>
      </c>
      <c r="E238" t="str">
        <f>"106598"</f>
        <v>106598</v>
      </c>
      <c r="F238" t="str">
        <f>"INV 106598"</f>
        <v>INV 106598</v>
      </c>
      <c r="G238" s="5">
        <v>34.83</v>
      </c>
      <c r="H238" t="str">
        <f>"INV 106598"</f>
        <v>INV 106598</v>
      </c>
    </row>
    <row r="239" spans="1:8" x14ac:dyDescent="0.25">
      <c r="A239" t="s">
        <v>41</v>
      </c>
      <c r="B239">
        <v>2443</v>
      </c>
      <c r="C239" s="5">
        <v>1605.95</v>
      </c>
      <c r="D239" s="1">
        <v>43935</v>
      </c>
      <c r="E239" t="str">
        <f>"202004036158"</f>
        <v>202004036158</v>
      </c>
      <c r="F239" t="str">
        <f>"CUST ID:0009/PCT#1"</f>
        <v>CUST ID:0009/PCT#1</v>
      </c>
      <c r="G239" s="5">
        <v>621.99</v>
      </c>
      <c r="H239" t="str">
        <f>"CUST ID:0009/PCT#1"</f>
        <v>CUST ID:0009/PCT#1</v>
      </c>
    </row>
    <row r="240" spans="1:8" x14ac:dyDescent="0.25">
      <c r="E240" t="str">
        <f>"202004036163"</f>
        <v>202004036163</v>
      </c>
      <c r="F240" t="str">
        <f>"CUST ID:0010/PCT#2"</f>
        <v>CUST ID:0010/PCT#2</v>
      </c>
      <c r="G240" s="5">
        <v>152</v>
      </c>
      <c r="H240" t="str">
        <f>"CUST ID:0010/PCT#2"</f>
        <v>CUST ID:0010/PCT#2</v>
      </c>
    </row>
    <row r="241" spans="1:8" x14ac:dyDescent="0.25">
      <c r="E241" t="str">
        <f>"202004036167"</f>
        <v>202004036167</v>
      </c>
      <c r="F241" t="str">
        <f>"CUST ID:0011/PCT#3"</f>
        <v>CUST ID:0011/PCT#3</v>
      </c>
      <c r="G241" s="5">
        <v>396.98</v>
      </c>
      <c r="H241" t="str">
        <f>"CUST ID:0011/PCT#3"</f>
        <v>CUST ID:0011/PCT#3</v>
      </c>
    </row>
    <row r="242" spans="1:8" x14ac:dyDescent="0.25">
      <c r="E242" t="str">
        <f>"370150"</f>
        <v>370150</v>
      </c>
      <c r="F242" t="str">
        <f>"CUST#0017/ANIMAL CONTROL"</f>
        <v>CUST#0017/ANIMAL CONTROL</v>
      </c>
      <c r="G242" s="5">
        <v>434.98</v>
      </c>
      <c r="H242" t="str">
        <f>"CUST#0017/ANIMAL CONTROL"</f>
        <v>CUST#0017/ANIMAL CONTROL</v>
      </c>
    </row>
    <row r="243" spans="1:8" x14ac:dyDescent="0.25">
      <c r="A243" t="s">
        <v>42</v>
      </c>
      <c r="B243">
        <v>2405</v>
      </c>
      <c r="C243" s="5">
        <v>3000</v>
      </c>
      <c r="D243" s="1">
        <v>43935</v>
      </c>
      <c r="E243" t="str">
        <f>"1557"</f>
        <v>1557</v>
      </c>
      <c r="F243" t="str">
        <f>"TREE REMOVAL/PCT#2"</f>
        <v>TREE REMOVAL/PCT#2</v>
      </c>
      <c r="G243" s="5">
        <v>3000</v>
      </c>
      <c r="H243" t="str">
        <f>"TREE REMOVAL/PCT#2"</f>
        <v>TREE REMOVAL/PCT#2</v>
      </c>
    </row>
    <row r="244" spans="1:8" x14ac:dyDescent="0.25">
      <c r="A244" t="s">
        <v>43</v>
      </c>
      <c r="B244">
        <v>131492</v>
      </c>
      <c r="C244" s="5">
        <v>675</v>
      </c>
      <c r="D244" s="1">
        <v>43934</v>
      </c>
      <c r="E244" t="str">
        <f>"1560"</f>
        <v>1560</v>
      </c>
      <c r="F244" t="str">
        <f>"INV 1560 / UNIT 7455"</f>
        <v>INV 1560 / UNIT 7455</v>
      </c>
      <c r="G244" s="5">
        <v>675</v>
      </c>
      <c r="H244" t="str">
        <f>"INV 1560 / UNIT 7455"</f>
        <v>INV 1560 / UNIT 7455</v>
      </c>
    </row>
    <row r="245" spans="1:8" x14ac:dyDescent="0.25">
      <c r="A245" t="s">
        <v>44</v>
      </c>
      <c r="B245">
        <v>131663</v>
      </c>
      <c r="C245" s="5">
        <v>315</v>
      </c>
      <c r="D245" s="1">
        <v>43948</v>
      </c>
      <c r="E245" t="str">
        <f>"202004206482"</f>
        <v>202004206482</v>
      </c>
      <c r="F245" t="str">
        <f>"REIMBURSE BAIL BOND COUPONS"</f>
        <v>REIMBURSE BAIL BOND COUPONS</v>
      </c>
      <c r="G245" s="5">
        <v>315</v>
      </c>
      <c r="H245" t="str">
        <f>"REIMBURSE BAIL BOND COUPONS"</f>
        <v>REIMBURSE BAIL BOND COUPONS</v>
      </c>
    </row>
    <row r="246" spans="1:8" x14ac:dyDescent="0.25">
      <c r="A246" t="s">
        <v>45</v>
      </c>
      <c r="B246">
        <v>131493</v>
      </c>
      <c r="C246" s="5">
        <v>1100</v>
      </c>
      <c r="D246" s="1">
        <v>43934</v>
      </c>
      <c r="E246" t="str">
        <f>"13000"</f>
        <v>13000</v>
      </c>
      <c r="F246" t="str">
        <f>"SERVICE  12/19/2020"</f>
        <v>SERVICE  12/19/2020</v>
      </c>
      <c r="G246" s="5">
        <v>325</v>
      </c>
      <c r="H246" t="str">
        <f>"SERVICE  12/19/2020"</f>
        <v>SERVICE  12/19/2020</v>
      </c>
    </row>
    <row r="247" spans="1:8" x14ac:dyDescent="0.25">
      <c r="E247" t="str">
        <f>"13100"</f>
        <v>13100</v>
      </c>
      <c r="F247" t="str">
        <f>"SERVICE  02/25/2020"</f>
        <v>SERVICE  02/25/2020</v>
      </c>
      <c r="G247" s="5">
        <v>325</v>
      </c>
      <c r="H247" t="str">
        <f>"SERVICE  02/25/2020"</f>
        <v>SERVICE  02/25/2020</v>
      </c>
    </row>
    <row r="248" spans="1:8" x14ac:dyDescent="0.25">
      <c r="E248" t="str">
        <f>"13128"</f>
        <v>13128</v>
      </c>
      <c r="F248" t="str">
        <f>"SERVICE  02/26/2020"</f>
        <v>SERVICE  02/26/2020</v>
      </c>
      <c r="G248" s="5">
        <v>225</v>
      </c>
      <c r="H248" t="str">
        <f>"SERVICE  02/26/2020"</f>
        <v>SERVICE  02/26/2020</v>
      </c>
    </row>
    <row r="249" spans="1:8" x14ac:dyDescent="0.25">
      <c r="E249" t="str">
        <f>"13354"</f>
        <v>13354</v>
      </c>
      <c r="F249" t="str">
        <f>"SERVICE  02/19/2020"</f>
        <v>SERVICE  02/19/2020</v>
      </c>
      <c r="G249" s="5">
        <v>150</v>
      </c>
      <c r="H249" t="str">
        <f>"SERVICE  02/19/2020"</f>
        <v>SERVICE  02/19/2020</v>
      </c>
    </row>
    <row r="250" spans="1:8" x14ac:dyDescent="0.25">
      <c r="E250" t="str">
        <f>"13361"</f>
        <v>13361</v>
      </c>
      <c r="F250" t="str">
        <f>"SERVICE  02/21/2020"</f>
        <v>SERVICE  02/21/2020</v>
      </c>
      <c r="G250" s="5">
        <v>75</v>
      </c>
      <c r="H250" t="str">
        <f>"SERVICE  02/21/2020"</f>
        <v>SERVICE  02/21/2020</v>
      </c>
    </row>
    <row r="251" spans="1:8" x14ac:dyDescent="0.25">
      <c r="A251" t="s">
        <v>45</v>
      </c>
      <c r="B251">
        <v>131664</v>
      </c>
      <c r="C251" s="5">
        <v>3777</v>
      </c>
      <c r="D251" s="1">
        <v>43948</v>
      </c>
      <c r="E251" t="str">
        <f>"11896  03/02/20"</f>
        <v>11896  03/02/20</v>
      </c>
      <c r="F251" t="str">
        <f>"SERVICE"</f>
        <v>SERVICE</v>
      </c>
      <c r="G251" s="5">
        <v>20</v>
      </c>
      <c r="H251" t="str">
        <f>"SERVICE"</f>
        <v>SERVICE</v>
      </c>
    </row>
    <row r="252" spans="1:8" x14ac:dyDescent="0.25">
      <c r="E252" t="str">
        <f>"12431"</f>
        <v>12431</v>
      </c>
      <c r="F252" t="str">
        <f>"SERVICE  02/27/2020"</f>
        <v>SERVICE  02/27/2020</v>
      </c>
      <c r="G252" s="5">
        <v>75</v>
      </c>
      <c r="H252" t="str">
        <f>"SERVICE  02/27/2020"</f>
        <v>SERVICE  02/27/2020</v>
      </c>
    </row>
    <row r="253" spans="1:8" x14ac:dyDescent="0.25">
      <c r="E253" t="str">
        <f>"12805"</f>
        <v>12805</v>
      </c>
      <c r="F253" t="str">
        <f>"SERVICE"</f>
        <v>SERVICE</v>
      </c>
      <c r="G253" s="5">
        <v>325</v>
      </c>
      <c r="H253" t="str">
        <f>"SERVICE"</f>
        <v>SERVICE</v>
      </c>
    </row>
    <row r="254" spans="1:8" x14ac:dyDescent="0.25">
      <c r="E254" t="str">
        <f>"12833"</f>
        <v>12833</v>
      </c>
      <c r="F254" t="str">
        <f>"SERVICE  02/27/2020"</f>
        <v>SERVICE  02/27/2020</v>
      </c>
      <c r="G254" s="5">
        <v>775</v>
      </c>
      <c r="H254" t="str">
        <f>"SERVICE  02/27/2020"</f>
        <v>SERVICE  02/27/2020</v>
      </c>
    </row>
    <row r="255" spans="1:8" x14ac:dyDescent="0.25">
      <c r="E255" t="str">
        <f>"12923"</f>
        <v>12923</v>
      </c>
      <c r="F255" t="str">
        <f>"SERVICE"</f>
        <v>SERVICE</v>
      </c>
      <c r="G255" s="5">
        <v>400</v>
      </c>
      <c r="H255" t="str">
        <f>"SERVICE"</f>
        <v>SERVICE</v>
      </c>
    </row>
    <row r="256" spans="1:8" x14ac:dyDescent="0.25">
      <c r="E256" t="str">
        <f>"12929"</f>
        <v>12929</v>
      </c>
      <c r="F256" t="str">
        <f>"SERVICE"</f>
        <v>SERVICE</v>
      </c>
      <c r="G256" s="5">
        <v>325</v>
      </c>
      <c r="H256" t="str">
        <f>"SERVICE"</f>
        <v>SERVICE</v>
      </c>
    </row>
    <row r="257" spans="1:8" x14ac:dyDescent="0.25">
      <c r="E257" t="s">
        <v>46</v>
      </c>
      <c r="F257" t="str">
        <f>"SERVICE"</f>
        <v>SERVICE</v>
      </c>
      <c r="G257" s="5">
        <v>75</v>
      </c>
      <c r="H257" t="str">
        <f>"SERVICE"</f>
        <v>SERVICE</v>
      </c>
    </row>
    <row r="258" spans="1:8" x14ac:dyDescent="0.25">
      <c r="E258" t="str">
        <f>"13019"</f>
        <v>13019</v>
      </c>
      <c r="F258" t="str">
        <f t="shared" ref="F258:F264" si="9">"SERVICE"</f>
        <v>SERVICE</v>
      </c>
      <c r="G258" s="5">
        <v>325</v>
      </c>
      <c r="H258" t="str">
        <f t="shared" ref="H258:H264" si="10">"SERVICE"</f>
        <v>SERVICE</v>
      </c>
    </row>
    <row r="259" spans="1:8" x14ac:dyDescent="0.25">
      <c r="E259" t="str">
        <f>"13095"</f>
        <v>13095</v>
      </c>
      <c r="F259" t="str">
        <f t="shared" si="9"/>
        <v>SERVICE</v>
      </c>
      <c r="G259" s="5">
        <v>400</v>
      </c>
      <c r="H259" t="str">
        <f t="shared" si="10"/>
        <v>SERVICE</v>
      </c>
    </row>
    <row r="260" spans="1:8" x14ac:dyDescent="0.25">
      <c r="E260" t="str">
        <f>"13111"</f>
        <v>13111</v>
      </c>
      <c r="F260" t="str">
        <f t="shared" si="9"/>
        <v>SERVICE</v>
      </c>
      <c r="G260" s="5">
        <v>250</v>
      </c>
      <c r="H260" t="str">
        <f t="shared" si="10"/>
        <v>SERVICE</v>
      </c>
    </row>
    <row r="261" spans="1:8" x14ac:dyDescent="0.25">
      <c r="E261" t="str">
        <f>"13176"</f>
        <v>13176</v>
      </c>
      <c r="F261" t="str">
        <f t="shared" si="9"/>
        <v>SERVICE</v>
      </c>
      <c r="G261" s="5">
        <v>300</v>
      </c>
      <c r="H261" t="str">
        <f t="shared" si="10"/>
        <v>SERVICE</v>
      </c>
    </row>
    <row r="262" spans="1:8" x14ac:dyDescent="0.25">
      <c r="E262" t="str">
        <f>"13266"</f>
        <v>13266</v>
      </c>
      <c r="F262" t="str">
        <f t="shared" si="9"/>
        <v>SERVICE</v>
      </c>
      <c r="G262" s="5">
        <v>250</v>
      </c>
      <c r="H262" t="str">
        <f t="shared" si="10"/>
        <v>SERVICE</v>
      </c>
    </row>
    <row r="263" spans="1:8" x14ac:dyDescent="0.25">
      <c r="E263" t="str">
        <f>"13347"</f>
        <v>13347</v>
      </c>
      <c r="F263" t="str">
        <f t="shared" si="9"/>
        <v>SERVICE</v>
      </c>
      <c r="G263" s="5">
        <v>150</v>
      </c>
      <c r="H263" t="str">
        <f t="shared" si="10"/>
        <v>SERVICE</v>
      </c>
    </row>
    <row r="264" spans="1:8" x14ac:dyDescent="0.25">
      <c r="E264" t="str">
        <f>"13353"</f>
        <v>13353</v>
      </c>
      <c r="F264" t="str">
        <f t="shared" si="9"/>
        <v>SERVICE</v>
      </c>
      <c r="G264" s="5">
        <v>50</v>
      </c>
      <c r="H264" t="str">
        <f t="shared" si="10"/>
        <v>SERVICE</v>
      </c>
    </row>
    <row r="265" spans="1:8" x14ac:dyDescent="0.25">
      <c r="E265" t="str">
        <f>"13359"</f>
        <v>13359</v>
      </c>
      <c r="F265" t="str">
        <f>"SERVICE  02/28/20"</f>
        <v>SERVICE  02/28/20</v>
      </c>
      <c r="G265" s="5">
        <v>57</v>
      </c>
      <c r="H265" t="str">
        <f>"SERVICE  02/28/20"</f>
        <v>SERVICE  02/28/20</v>
      </c>
    </row>
    <row r="266" spans="1:8" x14ac:dyDescent="0.25">
      <c r="A266" t="s">
        <v>47</v>
      </c>
      <c r="B266">
        <v>131494</v>
      </c>
      <c r="C266" s="5">
        <v>801</v>
      </c>
      <c r="D266" s="1">
        <v>43934</v>
      </c>
      <c r="E266" t="str">
        <f>"202003256100"</f>
        <v>202003256100</v>
      </c>
      <c r="F266" t="str">
        <f>"ACCT#BC01/OFFICE SUPPLIES"</f>
        <v>ACCT#BC01/OFFICE SUPPLIES</v>
      </c>
      <c r="G266" s="5">
        <v>801</v>
      </c>
      <c r="H266" t="str">
        <f>"ACCT#BC01/OFFICE SUPPLIES"</f>
        <v>ACCT#BC01/OFFICE SUPPLIES</v>
      </c>
    </row>
    <row r="267" spans="1:8" x14ac:dyDescent="0.25">
      <c r="E267" t="str">
        <f>""</f>
        <v/>
      </c>
      <c r="F267" t="str">
        <f>""</f>
        <v/>
      </c>
      <c r="H267" t="str">
        <f>"ACCT#BC01/OFFICE SUPPLIES"</f>
        <v>ACCT#BC01/OFFICE SUPPLIES</v>
      </c>
    </row>
    <row r="268" spans="1:8" x14ac:dyDescent="0.25">
      <c r="E268" t="str">
        <f>""</f>
        <v/>
      </c>
      <c r="F268" t="str">
        <f>""</f>
        <v/>
      </c>
      <c r="H268" t="str">
        <f>"ACCT#BC01/OFFICE SUPPLIES"</f>
        <v>ACCT#BC01/OFFICE SUPPLIES</v>
      </c>
    </row>
    <row r="269" spans="1:8" x14ac:dyDescent="0.25">
      <c r="E269" t="str">
        <f>""</f>
        <v/>
      </c>
      <c r="F269" t="str">
        <f>""</f>
        <v/>
      </c>
      <c r="H269" t="str">
        <f>"ACCT#BC01/OFFICE SUPPLIES"</f>
        <v>ACCT#BC01/OFFICE SUPPLIES</v>
      </c>
    </row>
    <row r="270" spans="1:8" x14ac:dyDescent="0.25">
      <c r="A270" t="s">
        <v>47</v>
      </c>
      <c r="B270">
        <v>131665</v>
      </c>
      <c r="C270" s="5">
        <v>734.72</v>
      </c>
      <c r="D270" s="1">
        <v>43948</v>
      </c>
      <c r="E270" t="str">
        <f>"15592"</f>
        <v>15592</v>
      </c>
      <c r="F270" t="str">
        <f>"SALES RCPT 15592"</f>
        <v>SALES RCPT 15592</v>
      </c>
      <c r="G270" s="5">
        <v>66</v>
      </c>
      <c r="H270" t="str">
        <f>"SALES RCPT 15592"</f>
        <v>SALES RCPT 15592</v>
      </c>
    </row>
    <row r="271" spans="1:8" x14ac:dyDescent="0.25">
      <c r="E271" t="str">
        <f>"202004226575"</f>
        <v>202004226575</v>
      </c>
      <c r="F271" t="str">
        <f>"ACCT#BC01/OFFICE SUPPLIES"</f>
        <v>ACCT#BC01/OFFICE SUPPLIES</v>
      </c>
      <c r="G271" s="5">
        <v>668.72</v>
      </c>
      <c r="H271" t="str">
        <f t="shared" ref="H271:H276" si="11">"ACCT#BC01/OFFICE SUPPLIES"</f>
        <v>ACCT#BC01/OFFICE SUPPLIES</v>
      </c>
    </row>
    <row r="272" spans="1:8" x14ac:dyDescent="0.25">
      <c r="E272" t="str">
        <f>""</f>
        <v/>
      </c>
      <c r="F272" t="str">
        <f>""</f>
        <v/>
      </c>
      <c r="H272" t="str">
        <f t="shared" si="11"/>
        <v>ACCT#BC01/OFFICE SUPPLIES</v>
      </c>
    </row>
    <row r="273" spans="1:8" x14ac:dyDescent="0.25">
      <c r="E273" t="str">
        <f>""</f>
        <v/>
      </c>
      <c r="F273" t="str">
        <f>""</f>
        <v/>
      </c>
      <c r="H273" t="str">
        <f t="shared" si="11"/>
        <v>ACCT#BC01/OFFICE SUPPLIES</v>
      </c>
    </row>
    <row r="274" spans="1:8" x14ac:dyDescent="0.25">
      <c r="E274" t="str">
        <f>""</f>
        <v/>
      </c>
      <c r="F274" t="str">
        <f>""</f>
        <v/>
      </c>
      <c r="H274" t="str">
        <f t="shared" si="11"/>
        <v>ACCT#BC01/OFFICE SUPPLIES</v>
      </c>
    </row>
    <row r="275" spans="1:8" x14ac:dyDescent="0.25">
      <c r="E275" t="str">
        <f>""</f>
        <v/>
      </c>
      <c r="F275" t="str">
        <f>""</f>
        <v/>
      </c>
      <c r="H275" t="str">
        <f t="shared" si="11"/>
        <v>ACCT#BC01/OFFICE SUPPLIES</v>
      </c>
    </row>
    <row r="276" spans="1:8" x14ac:dyDescent="0.25">
      <c r="E276" t="str">
        <f>""</f>
        <v/>
      </c>
      <c r="F276" t="str">
        <f>""</f>
        <v/>
      </c>
      <c r="H276" t="str">
        <f t="shared" si="11"/>
        <v>ACCT#BC01/OFFICE SUPPLIES</v>
      </c>
    </row>
    <row r="277" spans="1:8" x14ac:dyDescent="0.25">
      <c r="A277" t="s">
        <v>48</v>
      </c>
      <c r="B277">
        <v>2432</v>
      </c>
      <c r="C277" s="5">
        <v>11861.73</v>
      </c>
      <c r="D277" s="1">
        <v>43935</v>
      </c>
      <c r="E277" t="str">
        <f>"202003256101"</f>
        <v>202003256101</v>
      </c>
      <c r="F277" t="str">
        <f>"GRANT REIMBURSEMENT"</f>
        <v>GRANT REIMBURSEMENT</v>
      </c>
      <c r="G277" s="5">
        <v>11861.73</v>
      </c>
      <c r="H277" t="str">
        <f>"GRANT REIMBURSEMENT"</f>
        <v>GRANT REIMBURSEMENT</v>
      </c>
    </row>
    <row r="278" spans="1:8" x14ac:dyDescent="0.25">
      <c r="A278" t="s">
        <v>48</v>
      </c>
      <c r="B278">
        <v>2503</v>
      </c>
      <c r="C278" s="5">
        <v>5397.13</v>
      </c>
      <c r="D278" s="1">
        <v>43949</v>
      </c>
      <c r="E278" t="str">
        <f>"202004206485"</f>
        <v>202004206485</v>
      </c>
      <c r="F278" t="str">
        <f>"GRANT REIMBURSEMENT"</f>
        <v>GRANT REIMBURSEMENT</v>
      </c>
      <c r="G278" s="5">
        <v>5397.13</v>
      </c>
      <c r="H278" t="str">
        <f>"GRANT REIMBURSEMENT"</f>
        <v>GRANT REIMBURSEMENT</v>
      </c>
    </row>
    <row r="279" spans="1:8" x14ac:dyDescent="0.25">
      <c r="A279" t="s">
        <v>49</v>
      </c>
      <c r="B279">
        <v>2403</v>
      </c>
      <c r="C279" s="5">
        <v>3265</v>
      </c>
      <c r="D279" s="1">
        <v>43935</v>
      </c>
      <c r="E279" t="str">
        <f>"2020-048"</f>
        <v>2020-048</v>
      </c>
      <c r="F279" t="str">
        <f>"TRANSPORT-Z.J. SCOTT-HARKEY"</f>
        <v>TRANSPORT-Z.J. SCOTT-HARKEY</v>
      </c>
      <c r="G279" s="5">
        <v>695</v>
      </c>
      <c r="H279" t="str">
        <f>"TRANSPORT-Z.J. SCOTT-HARKEY"</f>
        <v>TRANSPORT-Z.J. SCOTT-HARKEY</v>
      </c>
    </row>
    <row r="280" spans="1:8" x14ac:dyDescent="0.25">
      <c r="E280" t="str">
        <f>"2020035"</f>
        <v>2020035</v>
      </c>
      <c r="F280" t="str">
        <f>"TRANSPORT-A. DISDIER"</f>
        <v>TRANSPORT-A. DISDIER</v>
      </c>
      <c r="G280" s="5">
        <v>495</v>
      </c>
      <c r="H280" t="str">
        <f>"TRANSPORT-A. DISDIER"</f>
        <v>TRANSPORT-A. DISDIER</v>
      </c>
    </row>
    <row r="281" spans="1:8" x14ac:dyDescent="0.25">
      <c r="E281" t="str">
        <f>"2020038"</f>
        <v>2020038</v>
      </c>
      <c r="F281" t="str">
        <f>"TRANSPORT-M. CARTER"</f>
        <v>TRANSPORT-M. CARTER</v>
      </c>
      <c r="G281" s="5">
        <v>495</v>
      </c>
      <c r="H281" t="str">
        <f>"TRANSPORT-M. CARTER"</f>
        <v>TRANSPORT-M. CARTER</v>
      </c>
    </row>
    <row r="282" spans="1:8" x14ac:dyDescent="0.25">
      <c r="E282" t="str">
        <f>"2020039"</f>
        <v>2020039</v>
      </c>
      <c r="F282" t="str">
        <f>"TRANSPORT-B.R. BREEDEN"</f>
        <v>TRANSPORT-B.R. BREEDEN</v>
      </c>
      <c r="G282" s="5">
        <v>295</v>
      </c>
      <c r="H282" t="str">
        <f>"TRANSPORT-B.R. BREEDEN"</f>
        <v>TRANSPORT-B.R. BREEDEN</v>
      </c>
    </row>
    <row r="283" spans="1:8" x14ac:dyDescent="0.25">
      <c r="E283" t="str">
        <f>"2020040"</f>
        <v>2020040</v>
      </c>
      <c r="F283" t="str">
        <f>"TRANSPORT-D. TANGUAY"</f>
        <v>TRANSPORT-D. TANGUAY</v>
      </c>
      <c r="G283" s="5">
        <v>495</v>
      </c>
      <c r="H283" t="str">
        <f>"TRANSPORT-D. TANGUAY"</f>
        <v>TRANSPORT-D. TANGUAY</v>
      </c>
    </row>
    <row r="284" spans="1:8" x14ac:dyDescent="0.25">
      <c r="E284" t="str">
        <f>"2020043"</f>
        <v>2020043</v>
      </c>
      <c r="F284" t="str">
        <f>"TRANSPORT-L. SHULTZ"</f>
        <v>TRANSPORT-L. SHULTZ</v>
      </c>
      <c r="G284" s="5">
        <v>295</v>
      </c>
      <c r="H284" t="str">
        <f>"TRANSPORT-L. SHULTZ"</f>
        <v>TRANSPORT-L. SHULTZ</v>
      </c>
    </row>
    <row r="285" spans="1:8" x14ac:dyDescent="0.25">
      <c r="E285" t="str">
        <f>"2020044"</f>
        <v>2020044</v>
      </c>
      <c r="F285" t="str">
        <f>"TRANSPORT-O. WEILERT"</f>
        <v>TRANSPORT-O. WEILERT</v>
      </c>
      <c r="G285" s="5">
        <v>495</v>
      </c>
      <c r="H285" t="str">
        <f>"TRANSPORT-O. WEILERT"</f>
        <v>TRANSPORT-O. WEILERT</v>
      </c>
    </row>
    <row r="286" spans="1:8" x14ac:dyDescent="0.25">
      <c r="A286" t="s">
        <v>50</v>
      </c>
      <c r="B286">
        <v>131495</v>
      </c>
      <c r="C286" s="5">
        <v>345.04</v>
      </c>
      <c r="D286" s="1">
        <v>43934</v>
      </c>
      <c r="E286" t="str">
        <f>"11312  1153732"</f>
        <v>11312  1153732</v>
      </c>
      <c r="F286" t="str">
        <f>"INV 1148312/1153732"</f>
        <v>INV 1148312/1153732</v>
      </c>
      <c r="G286" s="5">
        <v>345.04</v>
      </c>
      <c r="H286" t="str">
        <f>"INV 1148312"</f>
        <v>INV 1148312</v>
      </c>
    </row>
    <row r="287" spans="1:8" x14ac:dyDescent="0.25">
      <c r="E287" t="str">
        <f>""</f>
        <v/>
      </c>
      <c r="F287" t="str">
        <f>""</f>
        <v/>
      </c>
      <c r="H287" t="str">
        <f>"INV 1153732"</f>
        <v>INV 1153732</v>
      </c>
    </row>
    <row r="288" spans="1:8" x14ac:dyDescent="0.25">
      <c r="A288" t="s">
        <v>50</v>
      </c>
      <c r="B288">
        <v>131666</v>
      </c>
      <c r="C288" s="5">
        <v>302.37</v>
      </c>
      <c r="D288" s="1">
        <v>43948</v>
      </c>
      <c r="E288" t="str">
        <f>"1154251"</f>
        <v>1154251</v>
      </c>
      <c r="F288" t="str">
        <f>"INV 1154251"</f>
        <v>INV 1154251</v>
      </c>
      <c r="G288" s="5">
        <v>302.37</v>
      </c>
      <c r="H288" t="str">
        <f>"INV 1154251"</f>
        <v>INV 1154251</v>
      </c>
    </row>
    <row r="289" spans="1:8" x14ac:dyDescent="0.25">
      <c r="A289" t="s">
        <v>51</v>
      </c>
      <c r="B289">
        <v>2435</v>
      </c>
      <c r="C289" s="5">
        <v>221.99</v>
      </c>
      <c r="D289" s="1">
        <v>43935</v>
      </c>
      <c r="E289" t="str">
        <f>"6008417900"</f>
        <v>6008417900</v>
      </c>
      <c r="F289" t="str">
        <f>"ACCT#3422853/ANIMAL CONTROL"</f>
        <v>ACCT#3422853/ANIMAL CONTROL</v>
      </c>
      <c r="G289" s="5">
        <v>221.99</v>
      </c>
      <c r="H289" t="str">
        <f>"ACCT#3422853/ANIMAL CONTROL"</f>
        <v>ACCT#3422853/ANIMAL CONTROL</v>
      </c>
    </row>
    <row r="290" spans="1:8" x14ac:dyDescent="0.25">
      <c r="A290" t="s">
        <v>52</v>
      </c>
      <c r="B290">
        <v>2400</v>
      </c>
      <c r="C290" s="5">
        <v>1594.55</v>
      </c>
      <c r="D290" s="1">
        <v>43935</v>
      </c>
      <c r="E290" t="str">
        <f>"202004036144"</f>
        <v>202004036144</v>
      </c>
      <c r="F290" t="str">
        <f>"INV BACKGROUND SVCS-MARCH 2020"</f>
        <v>INV BACKGROUND SVCS-MARCH 2020</v>
      </c>
      <c r="G290" s="5">
        <v>315</v>
      </c>
      <c r="H290" t="str">
        <f>"INV BACKGROUND SVCS-MARCH 2020"</f>
        <v>INV BACKGROUND SVCS-MARCH 2020</v>
      </c>
    </row>
    <row r="291" spans="1:8" x14ac:dyDescent="0.25">
      <c r="E291" t="str">
        <f>"202004076239"</f>
        <v>202004076239</v>
      </c>
      <c r="F291" t="str">
        <f>"INV MARCH SERVICES"</f>
        <v>INV MARCH SERVICES</v>
      </c>
      <c r="G291" s="5">
        <v>1279.55</v>
      </c>
      <c r="H291" t="str">
        <f>"MARCH SERVICES - LE"</f>
        <v>MARCH SERVICES - LE</v>
      </c>
    </row>
    <row r="292" spans="1:8" x14ac:dyDescent="0.25">
      <c r="A292" t="s">
        <v>53</v>
      </c>
      <c r="B292">
        <v>131496</v>
      </c>
      <c r="C292" s="5">
        <v>2958</v>
      </c>
      <c r="D292" s="1">
        <v>43934</v>
      </c>
      <c r="E292" t="str">
        <f>"75461096 75467126"</f>
        <v>75461096 75467126</v>
      </c>
      <c r="F292" t="str">
        <f>"INV 75461096"</f>
        <v>INV 75461096</v>
      </c>
      <c r="G292" s="5">
        <v>2958</v>
      </c>
      <c r="H292" t="str">
        <f>"INV 75461096"</f>
        <v>INV 75461096</v>
      </c>
    </row>
    <row r="293" spans="1:8" x14ac:dyDescent="0.25">
      <c r="E293" t="str">
        <f>""</f>
        <v/>
      </c>
      <c r="F293" t="str">
        <f>""</f>
        <v/>
      </c>
      <c r="H293" t="str">
        <f>"INV 75467126"</f>
        <v>INV 75467126</v>
      </c>
    </row>
    <row r="294" spans="1:8" x14ac:dyDescent="0.25">
      <c r="E294" t="str">
        <f>""</f>
        <v/>
      </c>
      <c r="F294" t="str">
        <f>""</f>
        <v/>
      </c>
      <c r="H294" t="str">
        <f>"INV 75473889"</f>
        <v>INV 75473889</v>
      </c>
    </row>
    <row r="295" spans="1:8" x14ac:dyDescent="0.25">
      <c r="A295" t="s">
        <v>53</v>
      </c>
      <c r="B295">
        <v>131667</v>
      </c>
      <c r="C295" s="5">
        <v>1539.81</v>
      </c>
      <c r="D295" s="1">
        <v>43948</v>
      </c>
      <c r="E295" t="str">
        <f>"75480141 75487230"</f>
        <v>75480141 75487230</v>
      </c>
      <c r="F295" t="str">
        <f>"INV 75480141"</f>
        <v>INV 75480141</v>
      </c>
      <c r="G295" s="5">
        <v>1539.81</v>
      </c>
      <c r="H295" t="str">
        <f>"INV 75480141"</f>
        <v>INV 75480141</v>
      </c>
    </row>
    <row r="296" spans="1:8" x14ac:dyDescent="0.25">
      <c r="E296" t="str">
        <f>""</f>
        <v/>
      </c>
      <c r="F296" t="str">
        <f>""</f>
        <v/>
      </c>
      <c r="H296" t="str">
        <f>"INV 75487230"</f>
        <v>INV 75487230</v>
      </c>
    </row>
    <row r="297" spans="1:8" x14ac:dyDescent="0.25">
      <c r="A297" t="s">
        <v>54</v>
      </c>
      <c r="B297">
        <v>131497</v>
      </c>
      <c r="C297" s="5">
        <v>911.76</v>
      </c>
      <c r="D297" s="1">
        <v>43934</v>
      </c>
      <c r="E297" t="str">
        <f>"387850 - 387848"</f>
        <v>387850 - 387848</v>
      </c>
      <c r="F297" t="str">
        <f>"ACCT#7110/PCT#3"</f>
        <v>ACCT#7110/PCT#3</v>
      </c>
      <c r="G297" s="5">
        <v>911.76</v>
      </c>
      <c r="H297" t="str">
        <f>"ACCT#7110/PCT#3"</f>
        <v>ACCT#7110/PCT#3</v>
      </c>
    </row>
    <row r="298" spans="1:8" x14ac:dyDescent="0.25">
      <c r="A298" t="s">
        <v>55</v>
      </c>
      <c r="B298">
        <v>131668</v>
      </c>
      <c r="C298" s="5">
        <v>39.99</v>
      </c>
      <c r="D298" s="1">
        <v>43948</v>
      </c>
      <c r="E298" t="str">
        <f>"4478863"</f>
        <v>4478863</v>
      </c>
      <c r="F298" t="str">
        <f>"inv# 4478863"</f>
        <v>inv# 4478863</v>
      </c>
      <c r="G298" s="5">
        <v>39.99</v>
      </c>
      <c r="H298" t="str">
        <f>"inv# 4478863"</f>
        <v>inv# 4478863</v>
      </c>
    </row>
    <row r="299" spans="1:8" x14ac:dyDescent="0.25">
      <c r="A299" t="s">
        <v>56</v>
      </c>
      <c r="B299">
        <v>2460</v>
      </c>
      <c r="C299" s="5">
        <v>2955.92</v>
      </c>
      <c r="D299" s="1">
        <v>43935</v>
      </c>
      <c r="E299" t="str">
        <f>"24656"</f>
        <v>24656</v>
      </c>
      <c r="F299" t="str">
        <f>"INV 24656"</f>
        <v>INV 24656</v>
      </c>
      <c r="G299" s="5">
        <v>2955.92</v>
      </c>
      <c r="H299" t="str">
        <f>"INV 24656"</f>
        <v>INV 24656</v>
      </c>
    </row>
    <row r="300" spans="1:8" x14ac:dyDescent="0.25">
      <c r="A300" t="s">
        <v>57</v>
      </c>
      <c r="B300">
        <v>2463</v>
      </c>
      <c r="C300" s="5">
        <v>1000</v>
      </c>
      <c r="D300" s="1">
        <v>43935</v>
      </c>
      <c r="E300" t="str">
        <f>"202004076359"</f>
        <v>202004076359</v>
      </c>
      <c r="F300" t="str">
        <f>"MEDIATION 14-16734  01/10/2020"</f>
        <v>MEDIATION 14-16734  01/10/2020</v>
      </c>
      <c r="G300" s="5">
        <v>500</v>
      </c>
      <c r="H300" t="str">
        <f>"MEDIATION 14-16734"</f>
        <v>MEDIATION 14-16734</v>
      </c>
    </row>
    <row r="301" spans="1:8" x14ac:dyDescent="0.25">
      <c r="E301" t="str">
        <f>"202004076360"</f>
        <v>202004076360</v>
      </c>
      <c r="F301" t="str">
        <f>"MEDIATION 14-16734  01/06/2020"</f>
        <v>MEDIATION 14-16734  01/06/2020</v>
      </c>
      <c r="G301" s="5">
        <v>500</v>
      </c>
      <c r="H301" t="str">
        <f>"MEDIATION 14-16734  01/06/2020"</f>
        <v>MEDIATION 14-16734  01/06/2020</v>
      </c>
    </row>
    <row r="302" spans="1:8" x14ac:dyDescent="0.25">
      <c r="A302" t="s">
        <v>58</v>
      </c>
      <c r="B302">
        <v>131498</v>
      </c>
      <c r="C302" s="5">
        <v>199.96</v>
      </c>
      <c r="D302" s="1">
        <v>43934</v>
      </c>
      <c r="E302" t="str">
        <f>"202003256103"</f>
        <v>202003256103</v>
      </c>
      <c r="F302" t="str">
        <f>"RAMP SPRING/PCT#4"</f>
        <v>RAMP SPRING/PCT#4</v>
      </c>
      <c r="G302" s="5">
        <v>199.96</v>
      </c>
      <c r="H302" t="str">
        <f>"RAMP SPRING/PCT#4"</f>
        <v>RAMP SPRING/PCT#4</v>
      </c>
    </row>
    <row r="303" spans="1:8" x14ac:dyDescent="0.25">
      <c r="A303" t="s">
        <v>59</v>
      </c>
      <c r="B303">
        <v>2423</v>
      </c>
      <c r="C303" s="5">
        <v>639.45000000000005</v>
      </c>
      <c r="D303" s="1">
        <v>43935</v>
      </c>
      <c r="E303" t="str">
        <f>"5090"</f>
        <v>5090</v>
      </c>
      <c r="F303" t="str">
        <f>"2007 FRHT/PCT#4"</f>
        <v>2007 FRHT/PCT#4</v>
      </c>
      <c r="G303" s="5">
        <v>639.45000000000005</v>
      </c>
      <c r="H303" t="str">
        <f>"2007 FRHT/PCT#4"</f>
        <v>2007 FRHT/PCT#4</v>
      </c>
    </row>
    <row r="304" spans="1:8" x14ac:dyDescent="0.25">
      <c r="A304" t="s">
        <v>59</v>
      </c>
      <c r="B304">
        <v>2497</v>
      </c>
      <c r="C304" s="5">
        <v>722.9</v>
      </c>
      <c r="D304" s="1">
        <v>43949</v>
      </c>
      <c r="E304" t="str">
        <f>"5131"</f>
        <v>5131</v>
      </c>
      <c r="F304" t="str">
        <f>"CAT ROLLER / PCT#4"</f>
        <v>CAT ROLLER / PCT#4</v>
      </c>
      <c r="G304" s="5">
        <v>722.9</v>
      </c>
      <c r="H304" t="str">
        <f>"CAT ROLLER / PCT#4"</f>
        <v>CAT ROLLER / PCT#4</v>
      </c>
    </row>
    <row r="305" spans="1:8" x14ac:dyDescent="0.25">
      <c r="A305" t="s">
        <v>60</v>
      </c>
      <c r="B305">
        <v>131499</v>
      </c>
      <c r="C305" s="5">
        <v>860.26</v>
      </c>
      <c r="D305" s="1">
        <v>43934</v>
      </c>
      <c r="E305" t="str">
        <f>"84078904555 840789"</f>
        <v>84078904555 840789</v>
      </c>
      <c r="F305" t="str">
        <f>"INV 84078904555"</f>
        <v>INV 84078904555</v>
      </c>
      <c r="G305" s="5">
        <v>860.26</v>
      </c>
      <c r="H305" t="str">
        <f>"INV 84078904555"</f>
        <v>INV 84078904555</v>
      </c>
    </row>
    <row r="306" spans="1:8" x14ac:dyDescent="0.25">
      <c r="E306" t="str">
        <f>""</f>
        <v/>
      </c>
      <c r="F306" t="str">
        <f>""</f>
        <v/>
      </c>
      <c r="H306" t="str">
        <f>"INV 84078904624"</f>
        <v>INV 84078904624</v>
      </c>
    </row>
    <row r="307" spans="1:8" x14ac:dyDescent="0.25">
      <c r="E307" t="str">
        <f>""</f>
        <v/>
      </c>
      <c r="F307" t="str">
        <f>""</f>
        <v/>
      </c>
      <c r="H307" t="str">
        <f>"INV 84078904671"</f>
        <v>INV 84078904671</v>
      </c>
    </row>
    <row r="308" spans="1:8" x14ac:dyDescent="0.25">
      <c r="A308" t="s">
        <v>60</v>
      </c>
      <c r="B308">
        <v>131669</v>
      </c>
      <c r="C308" s="5">
        <v>446.64</v>
      </c>
      <c r="D308" s="1">
        <v>43948</v>
      </c>
      <c r="E308" t="str">
        <f>"84078904749 840789"</f>
        <v>84078904749 840789</v>
      </c>
      <c r="F308" t="str">
        <f>"INV 84078904749"</f>
        <v>INV 84078904749</v>
      </c>
      <c r="G308" s="5">
        <v>446.64</v>
      </c>
      <c r="H308" t="str">
        <f>"INV 84078904749"</f>
        <v>INV 84078904749</v>
      </c>
    </row>
    <row r="309" spans="1:8" x14ac:dyDescent="0.25">
      <c r="E309" t="str">
        <f>""</f>
        <v/>
      </c>
      <c r="F309" t="str">
        <f>""</f>
        <v/>
      </c>
      <c r="H309" t="str">
        <f>"INV 84078904819"</f>
        <v>INV 84078904819</v>
      </c>
    </row>
    <row r="310" spans="1:8" x14ac:dyDescent="0.25">
      <c r="A310" t="s">
        <v>61</v>
      </c>
      <c r="B310">
        <v>2420</v>
      </c>
      <c r="C310" s="5">
        <v>750</v>
      </c>
      <c r="D310" s="1">
        <v>43935</v>
      </c>
      <c r="E310" t="str">
        <f>"202004076304"</f>
        <v>202004076304</v>
      </c>
      <c r="F310" t="str">
        <f>"308152019A"</f>
        <v>308152019A</v>
      </c>
      <c r="G310" s="5">
        <v>250</v>
      </c>
      <c r="H310" t="str">
        <f>"308152019A"</f>
        <v>308152019A</v>
      </c>
    </row>
    <row r="311" spans="1:8" x14ac:dyDescent="0.25">
      <c r="E311" t="str">
        <f>"202004076305"</f>
        <v>202004076305</v>
      </c>
      <c r="F311" t="str">
        <f>"JP111282019A"</f>
        <v>JP111282019A</v>
      </c>
      <c r="G311" s="5">
        <v>250</v>
      </c>
      <c r="H311" t="str">
        <f>"JP111282019A"</f>
        <v>JP111282019A</v>
      </c>
    </row>
    <row r="312" spans="1:8" x14ac:dyDescent="0.25">
      <c r="E312" t="str">
        <f>"202004076306"</f>
        <v>202004076306</v>
      </c>
      <c r="F312" t="str">
        <f>"412109-1"</f>
        <v>412109-1</v>
      </c>
      <c r="G312" s="5">
        <v>250</v>
      </c>
      <c r="H312" t="str">
        <f>"412109-1"</f>
        <v>412109-1</v>
      </c>
    </row>
    <row r="313" spans="1:8" x14ac:dyDescent="0.25">
      <c r="A313" t="s">
        <v>62</v>
      </c>
      <c r="B313">
        <v>131670</v>
      </c>
      <c r="C313" s="5">
        <v>235.16</v>
      </c>
      <c r="D313" s="1">
        <v>43948</v>
      </c>
      <c r="E313" t="str">
        <f>"202004206495"</f>
        <v>202004206495</v>
      </c>
      <c r="F313" t="str">
        <f>"CRIME STOPPER FEES/MARCH 2020"</f>
        <v>CRIME STOPPER FEES/MARCH 2020</v>
      </c>
      <c r="G313" s="5">
        <v>235.16</v>
      </c>
      <c r="H313" t="str">
        <f>"CRIME STOPPER FEES/MARCH 2020"</f>
        <v>CRIME STOPPER FEES/MARCH 2020</v>
      </c>
    </row>
    <row r="314" spans="1:8" x14ac:dyDescent="0.25">
      <c r="A314" t="s">
        <v>63</v>
      </c>
      <c r="B314">
        <v>131640</v>
      </c>
      <c r="C314" s="5">
        <v>3324.48</v>
      </c>
      <c r="D314" s="1">
        <v>43936</v>
      </c>
      <c r="E314" t="str">
        <f>"202004156436"</f>
        <v>202004156436</v>
      </c>
      <c r="F314" t="str">
        <f>"ACCT#5000057374 / 04052020"</f>
        <v>ACCT#5000057374 / 04052020</v>
      </c>
      <c r="G314" s="5">
        <v>3324.48</v>
      </c>
      <c r="H314" t="str">
        <f>"ACCT#5000057374 / 04052020"</f>
        <v>ACCT#5000057374 / 04052020</v>
      </c>
    </row>
    <row r="315" spans="1:8" x14ac:dyDescent="0.25">
      <c r="E315" t="str">
        <f>""</f>
        <v/>
      </c>
      <c r="F315" t="str">
        <f>""</f>
        <v/>
      </c>
      <c r="H315" t="str">
        <f>"ACCT#5000057374 / 04052020"</f>
        <v>ACCT#5000057374 / 04052020</v>
      </c>
    </row>
    <row r="316" spans="1:8" x14ac:dyDescent="0.25">
      <c r="E316" t="str">
        <f>""</f>
        <v/>
      </c>
      <c r="F316" t="str">
        <f>""</f>
        <v/>
      </c>
      <c r="H316" t="str">
        <f>"ACCT#5000057374 / 04052020"</f>
        <v>ACCT#5000057374 / 04052020</v>
      </c>
    </row>
    <row r="317" spans="1:8" x14ac:dyDescent="0.25">
      <c r="E317" t="str">
        <f>""</f>
        <v/>
      </c>
      <c r="F317" t="str">
        <f>""</f>
        <v/>
      </c>
      <c r="H317" t="str">
        <f>"ACCT#5000057374 / 04052020"</f>
        <v>ACCT#5000057374 / 04052020</v>
      </c>
    </row>
    <row r="318" spans="1:8" x14ac:dyDescent="0.25">
      <c r="A318" t="s">
        <v>64</v>
      </c>
      <c r="B318">
        <v>2468</v>
      </c>
      <c r="C318" s="5">
        <v>758</v>
      </c>
      <c r="D318" s="1">
        <v>43935</v>
      </c>
      <c r="E318" t="str">
        <f>"25032020"</f>
        <v>25032020</v>
      </c>
      <c r="F318" t="str">
        <f>"INV 25032020"</f>
        <v>INV 25032020</v>
      </c>
      <c r="G318" s="5">
        <v>758</v>
      </c>
      <c r="H318" t="str">
        <f>"INV 25032020"</f>
        <v>INV 25032020</v>
      </c>
    </row>
    <row r="319" spans="1:8" x14ac:dyDescent="0.25">
      <c r="A319" t="s">
        <v>64</v>
      </c>
      <c r="B319">
        <v>2526</v>
      </c>
      <c r="C319" s="5">
        <v>18267.97</v>
      </c>
      <c r="D319" s="1">
        <v>43949</v>
      </c>
      <c r="E319" t="str">
        <f>"202004206486"</f>
        <v>202004206486</v>
      </c>
      <c r="F319" t="str">
        <f>"GRANT REIMBURSEMENT"</f>
        <v>GRANT REIMBURSEMENT</v>
      </c>
      <c r="G319" s="5">
        <v>18267.97</v>
      </c>
      <c r="H319" t="str">
        <f>"GRANT REIMBURSEMENT"</f>
        <v>GRANT REIMBURSEMENT</v>
      </c>
    </row>
    <row r="320" spans="1:8" x14ac:dyDescent="0.25">
      <c r="A320" t="s">
        <v>65</v>
      </c>
      <c r="B320">
        <v>131671</v>
      </c>
      <c r="C320" s="5">
        <v>158.54</v>
      </c>
      <c r="D320" s="1">
        <v>43948</v>
      </c>
      <c r="E320" t="str">
        <f>"CT184304"</f>
        <v>CT184304</v>
      </c>
      <c r="F320" t="str">
        <f>"ACCT#B02137/PCT#3"</f>
        <v>ACCT#B02137/PCT#3</v>
      </c>
      <c r="G320" s="5">
        <v>158.54</v>
      </c>
      <c r="H320" t="str">
        <f>"ACCT#B02137/PCT#3"</f>
        <v>ACCT#B02137/PCT#3</v>
      </c>
    </row>
    <row r="321" spans="1:8" x14ac:dyDescent="0.25">
      <c r="A321" t="s">
        <v>66</v>
      </c>
      <c r="B321">
        <v>131500</v>
      </c>
      <c r="C321" s="5">
        <v>7005.98</v>
      </c>
      <c r="D321" s="1">
        <v>43934</v>
      </c>
      <c r="E321" t="str">
        <f>"108498"</f>
        <v>108498</v>
      </c>
      <c r="F321" t="str">
        <f>"ACCT#1268/COMM BASE/PCT#3"</f>
        <v>ACCT#1268/COMM BASE/PCT#3</v>
      </c>
      <c r="G321" s="5">
        <v>849.76</v>
      </c>
      <c r="H321" t="str">
        <f>"ACCT#1268/COMM BASE/PCT#3"</f>
        <v>ACCT#1268/COMM BASE/PCT#3</v>
      </c>
    </row>
    <row r="322" spans="1:8" x14ac:dyDescent="0.25">
      <c r="E322" t="str">
        <f>"108658"</f>
        <v>108658</v>
      </c>
      <c r="F322" t="str">
        <f>"ACCT#1268/PCT#3"</f>
        <v>ACCT#1268/PCT#3</v>
      </c>
      <c r="G322" s="5">
        <v>2720.56</v>
      </c>
      <c r="H322" t="str">
        <f>"ACCT#1268/PCT#3"</f>
        <v>ACCT#1268/PCT#3</v>
      </c>
    </row>
    <row r="323" spans="1:8" x14ac:dyDescent="0.25">
      <c r="E323" t="str">
        <f>"108810"</f>
        <v>108810</v>
      </c>
      <c r="F323" t="str">
        <f>"ACCT#1268/PCT#3"</f>
        <v>ACCT#1268/PCT#3</v>
      </c>
      <c r="G323" s="5">
        <v>1933.12</v>
      </c>
      <c r="H323" t="str">
        <f>"ACCT#1268/PCT#3"</f>
        <v>ACCT#1268/PCT#3</v>
      </c>
    </row>
    <row r="324" spans="1:8" x14ac:dyDescent="0.25">
      <c r="E324" t="str">
        <f>"108916"</f>
        <v>108916</v>
      </c>
      <c r="F324" t="str">
        <f>"ACCT#1268/PCT#3"</f>
        <v>ACCT#1268/PCT#3</v>
      </c>
      <c r="G324" s="5">
        <v>1502.54</v>
      </c>
      <c r="H324" t="str">
        <f>"ACCT#1268/PCT#3"</f>
        <v>ACCT#1268/PCT#3</v>
      </c>
    </row>
    <row r="325" spans="1:8" x14ac:dyDescent="0.25">
      <c r="A325" t="s">
        <v>66</v>
      </c>
      <c r="B325">
        <v>131672</v>
      </c>
      <c r="C325" s="5">
        <v>3622</v>
      </c>
      <c r="D325" s="1">
        <v>43948</v>
      </c>
      <c r="E325" t="str">
        <f>"109021"</f>
        <v>109021</v>
      </c>
      <c r="F325" t="str">
        <f>"ACCT#1268/PCT#3"</f>
        <v>ACCT#1268/PCT#3</v>
      </c>
      <c r="G325" s="5">
        <v>1875.9</v>
      </c>
      <c r="H325" t="str">
        <f>"ACCT#1268/PCT#3"</f>
        <v>ACCT#1268/PCT#3</v>
      </c>
    </row>
    <row r="326" spans="1:8" x14ac:dyDescent="0.25">
      <c r="E326" t="str">
        <f>"109161"</f>
        <v>109161</v>
      </c>
      <c r="F326" t="str">
        <f>"COMM BASE / PCT #3"</f>
        <v>COMM BASE / PCT #3</v>
      </c>
      <c r="G326" s="5">
        <v>1746.1</v>
      </c>
      <c r="H326" t="str">
        <f>"COMM BASE / PCT #3"</f>
        <v>COMM BASE / PCT #3</v>
      </c>
    </row>
    <row r="327" spans="1:8" x14ac:dyDescent="0.25">
      <c r="A327" t="s">
        <v>67</v>
      </c>
      <c r="B327">
        <v>131673</v>
      </c>
      <c r="C327" s="5">
        <v>150</v>
      </c>
      <c r="D327" s="1">
        <v>43948</v>
      </c>
      <c r="E327" t="str">
        <f>"12929"</f>
        <v>12929</v>
      </c>
      <c r="F327" t="str">
        <f>"SERVICE"</f>
        <v>SERVICE</v>
      </c>
      <c r="G327" s="5">
        <v>150</v>
      </c>
      <c r="H327" t="str">
        <f>"SERVICE"</f>
        <v>SERVICE</v>
      </c>
    </row>
    <row r="328" spans="1:8" x14ac:dyDescent="0.25">
      <c r="A328" t="s">
        <v>68</v>
      </c>
      <c r="B328">
        <v>2474</v>
      </c>
      <c r="C328" s="5">
        <v>250</v>
      </c>
      <c r="D328" s="1">
        <v>43935</v>
      </c>
      <c r="E328" t="str">
        <f>"202004076302"</f>
        <v>202004076302</v>
      </c>
      <c r="F328" t="str">
        <f>"3020191016  925-354-9513A002"</f>
        <v>3020191016  925-354-9513A002</v>
      </c>
      <c r="G328" s="5">
        <v>125</v>
      </c>
      <c r="H328" t="str">
        <f>"3020191016  925-354-9513A002"</f>
        <v>3020191016  925-354-9513A002</v>
      </c>
    </row>
    <row r="329" spans="1:8" x14ac:dyDescent="0.25">
      <c r="E329" t="str">
        <f>"202004076303"</f>
        <v>202004076303</v>
      </c>
      <c r="F329" t="str">
        <f>"2019-0709A"</f>
        <v>2019-0709A</v>
      </c>
      <c r="G329" s="5">
        <v>125</v>
      </c>
      <c r="H329" t="str">
        <f>"2019-0709A"</f>
        <v>2019-0709A</v>
      </c>
    </row>
    <row r="330" spans="1:8" x14ac:dyDescent="0.25">
      <c r="A330" t="s">
        <v>69</v>
      </c>
      <c r="B330">
        <v>131501</v>
      </c>
      <c r="C330" s="5">
        <v>30</v>
      </c>
      <c r="D330" s="1">
        <v>43934</v>
      </c>
      <c r="E330" t="str">
        <f>"20-20173"</f>
        <v>20-20173</v>
      </c>
      <c r="F330" t="str">
        <f>"CENTRAL ADOPTION REGISTRY FUND"</f>
        <v>CENTRAL ADOPTION REGISTRY FUND</v>
      </c>
      <c r="G330" s="5">
        <v>15</v>
      </c>
      <c r="H330" t="str">
        <f>"CENTRAL ADOPTION REGISTRY FUND"</f>
        <v>CENTRAL ADOPTION REGISTRY FUND</v>
      </c>
    </row>
    <row r="331" spans="1:8" x14ac:dyDescent="0.25">
      <c r="E331" t="str">
        <f>"423-7182"</f>
        <v>423-7182</v>
      </c>
      <c r="F331" t="str">
        <f>"CENTRAL ADOPTION REGISTRY FUND"</f>
        <v>CENTRAL ADOPTION REGISTRY FUND</v>
      </c>
      <c r="G331" s="5">
        <v>15</v>
      </c>
      <c r="H331" t="str">
        <f>"CENTRAL ADOPTION REGISTRY FUND"</f>
        <v>CENTRAL ADOPTION REGISTRY FUND</v>
      </c>
    </row>
    <row r="332" spans="1:8" x14ac:dyDescent="0.25">
      <c r="A332" t="s">
        <v>69</v>
      </c>
      <c r="B332">
        <v>131674</v>
      </c>
      <c r="C332" s="5">
        <v>75</v>
      </c>
      <c r="D332" s="1">
        <v>43948</v>
      </c>
      <c r="E332" t="str">
        <f>"20-20185"</f>
        <v>20-20185</v>
      </c>
      <c r="F332" t="str">
        <f>"CENTRAL ADOPTION REGISTRY FUND"</f>
        <v>CENTRAL ADOPTION REGISTRY FUND</v>
      </c>
      <c r="G332" s="5">
        <v>15</v>
      </c>
      <c r="H332" t="str">
        <f>"CENTRAL ADOPTION REGISTRY FUND"</f>
        <v>CENTRAL ADOPTION REGISTRY FUND</v>
      </c>
    </row>
    <row r="333" spans="1:8" x14ac:dyDescent="0.25">
      <c r="E333" t="str">
        <f>"20-20189"</f>
        <v>20-20189</v>
      </c>
      <c r="F333" t="str">
        <f>"CAR FUND"</f>
        <v>CAR FUND</v>
      </c>
      <c r="G333" s="5">
        <v>15</v>
      </c>
      <c r="H333" t="str">
        <f>"CAR FUND"</f>
        <v>CAR FUND</v>
      </c>
    </row>
    <row r="334" spans="1:8" x14ac:dyDescent="0.25">
      <c r="E334" t="str">
        <f>"20-20190"</f>
        <v>20-20190</v>
      </c>
      <c r="F334" t="str">
        <f>"CENTRAL ADOPTION REGISTRY FUND"</f>
        <v>CENTRAL ADOPTION REGISTRY FUND</v>
      </c>
      <c r="G334" s="5">
        <v>15</v>
      </c>
      <c r="H334" t="str">
        <f>"CENTRAL ADOPTION REGISTRY FUND"</f>
        <v>CENTRAL ADOPTION REGISTRY FUND</v>
      </c>
    </row>
    <row r="335" spans="1:8" x14ac:dyDescent="0.25">
      <c r="E335" t="str">
        <f>"20-20200"</f>
        <v>20-20200</v>
      </c>
      <c r="F335" t="str">
        <f>"CENTRAL ADOPTION REGISTRY FUND"</f>
        <v>CENTRAL ADOPTION REGISTRY FUND</v>
      </c>
      <c r="G335" s="5">
        <v>15</v>
      </c>
      <c r="H335" t="str">
        <f>"CENTRAL ADOPTION REGISTRY FUND"</f>
        <v>CENTRAL ADOPTION REGISTRY FUND</v>
      </c>
    </row>
    <row r="336" spans="1:8" x14ac:dyDescent="0.25">
      <c r="E336" t="str">
        <f>"423-7204"</f>
        <v>423-7204</v>
      </c>
      <c r="F336" t="str">
        <f>"CENTRAL ADOPTION REGISTRY FUND"</f>
        <v>CENTRAL ADOPTION REGISTRY FUND</v>
      </c>
      <c r="G336" s="5">
        <v>15</v>
      </c>
      <c r="H336" t="str">
        <f>"CENTRAL ADOPTION REGISTRY FUND"</f>
        <v>CENTRAL ADOPTION REGISTRY FUND</v>
      </c>
    </row>
    <row r="337" spans="1:8" x14ac:dyDescent="0.25">
      <c r="A337" t="s">
        <v>70</v>
      </c>
      <c r="B337">
        <v>2444</v>
      </c>
      <c r="C337" s="5">
        <v>95.28</v>
      </c>
      <c r="D337" s="1">
        <v>43935</v>
      </c>
      <c r="E337" t="str">
        <f>"01800703"</f>
        <v>01800703</v>
      </c>
      <c r="F337" t="str">
        <f>"ACCT#000690/ORD#01404560/PCT#2"</f>
        <v>ACCT#000690/ORD#01404560/PCT#2</v>
      </c>
      <c r="G337" s="5">
        <v>95.28</v>
      </c>
      <c r="H337" t="str">
        <f>"ACCT#000690/ORD#01404560/PCT#2"</f>
        <v>ACCT#000690/ORD#01404560/PCT#2</v>
      </c>
    </row>
    <row r="338" spans="1:8" x14ac:dyDescent="0.25">
      <c r="A338" t="s">
        <v>70</v>
      </c>
      <c r="B338">
        <v>2507</v>
      </c>
      <c r="C338" s="5">
        <v>973.6</v>
      </c>
      <c r="D338" s="1">
        <v>43949</v>
      </c>
      <c r="E338" t="str">
        <f>"04001276"</f>
        <v>04001276</v>
      </c>
      <c r="F338" t="str">
        <f>"ORDER#00432614/PCT#2"</f>
        <v>ORDER#00432614/PCT#2</v>
      </c>
      <c r="G338" s="5">
        <v>567.70000000000005</v>
      </c>
      <c r="H338" t="str">
        <f>"ORDER#00432614/PCT#2"</f>
        <v>ORDER#00432614/PCT#2</v>
      </c>
    </row>
    <row r="339" spans="1:8" x14ac:dyDescent="0.25">
      <c r="E339" t="str">
        <f>"04001364"</f>
        <v>04001364</v>
      </c>
      <c r="F339" t="str">
        <f>"ORDER#00423699/PCT#2"</f>
        <v>ORDER#00423699/PCT#2</v>
      </c>
      <c r="G339" s="5">
        <v>405.9</v>
      </c>
      <c r="H339" t="str">
        <f>"ORDER#00423699/PCT#2"</f>
        <v>ORDER#00423699/PCT#2</v>
      </c>
    </row>
    <row r="340" spans="1:8" x14ac:dyDescent="0.25">
      <c r="A340" t="s">
        <v>71</v>
      </c>
      <c r="B340">
        <v>471</v>
      </c>
      <c r="C340" s="5">
        <v>4132.25</v>
      </c>
      <c r="D340" s="1">
        <v>43934</v>
      </c>
      <c r="E340" t="str">
        <f>"202004086364"</f>
        <v>202004086364</v>
      </c>
      <c r="F340" t="str">
        <f>"TIB-THE INDEPENDENT BANKERS BA"</f>
        <v>TIB-THE INDEPENDENT BANKERS BA</v>
      </c>
      <c r="G340" s="5">
        <v>4132.25</v>
      </c>
      <c r="H340" t="str">
        <f>"Child Protection"</f>
        <v>Child Protection</v>
      </c>
    </row>
    <row r="341" spans="1:8" x14ac:dyDescent="0.25">
      <c r="E341" t="str">
        <f>""</f>
        <v/>
      </c>
      <c r="F341" t="str">
        <f>""</f>
        <v/>
      </c>
      <c r="H341" t="str">
        <f>"UT Training"</f>
        <v>UT Training</v>
      </c>
    </row>
    <row r="342" spans="1:8" x14ac:dyDescent="0.25">
      <c r="E342" t="str">
        <f>""</f>
        <v/>
      </c>
      <c r="F342" t="str">
        <f>""</f>
        <v/>
      </c>
      <c r="H342" t="str">
        <f>"UT Training"</f>
        <v>UT Training</v>
      </c>
    </row>
    <row r="343" spans="1:8" x14ac:dyDescent="0.25">
      <c r="E343" t="str">
        <f>""</f>
        <v/>
      </c>
      <c r="F343" t="str">
        <f>""</f>
        <v/>
      </c>
      <c r="H343" t="str">
        <f>"Ring Refund"</f>
        <v>Ring Refund</v>
      </c>
    </row>
    <row r="344" spans="1:8" x14ac:dyDescent="0.25">
      <c r="E344" t="str">
        <f>""</f>
        <v/>
      </c>
      <c r="F344" t="str">
        <f>""</f>
        <v/>
      </c>
      <c r="H344" t="str">
        <f>"Labels Refund"</f>
        <v>Labels Refund</v>
      </c>
    </row>
    <row r="345" spans="1:8" x14ac:dyDescent="0.25">
      <c r="E345" t="str">
        <f>""</f>
        <v/>
      </c>
      <c r="F345" t="str">
        <f>""</f>
        <v/>
      </c>
      <c r="H345" t="str">
        <f>"Online Label"</f>
        <v>Online Label</v>
      </c>
    </row>
    <row r="346" spans="1:8" x14ac:dyDescent="0.25">
      <c r="E346" t="str">
        <f>""</f>
        <v/>
      </c>
      <c r="F346" t="str">
        <f>""</f>
        <v/>
      </c>
      <c r="H346" t="str">
        <f>"GO Daddy"</f>
        <v>GO Daddy</v>
      </c>
    </row>
    <row r="347" spans="1:8" x14ac:dyDescent="0.25">
      <c r="E347" t="str">
        <f>""</f>
        <v/>
      </c>
      <c r="F347" t="str">
        <f>""</f>
        <v/>
      </c>
      <c r="H347" t="str">
        <f>"Google"</f>
        <v>Google</v>
      </c>
    </row>
    <row r="348" spans="1:8" x14ac:dyDescent="0.25">
      <c r="E348" t="str">
        <f>""</f>
        <v/>
      </c>
      <c r="F348" t="str">
        <f>""</f>
        <v/>
      </c>
      <c r="H348" t="str">
        <f>"webex"</f>
        <v>webex</v>
      </c>
    </row>
    <row r="349" spans="1:8" x14ac:dyDescent="0.25">
      <c r="E349" t="str">
        <f>""</f>
        <v/>
      </c>
      <c r="F349" t="str">
        <f>""</f>
        <v/>
      </c>
      <c r="H349" t="str">
        <f>"Best Buy"</f>
        <v>Best Buy</v>
      </c>
    </row>
    <row r="350" spans="1:8" x14ac:dyDescent="0.25">
      <c r="E350" t="str">
        <f>""</f>
        <v/>
      </c>
      <c r="F350" t="str">
        <f>""</f>
        <v/>
      </c>
      <c r="H350" t="str">
        <f>"Vistaprint REFUND"</f>
        <v>Vistaprint REFUND</v>
      </c>
    </row>
    <row r="351" spans="1:8" x14ac:dyDescent="0.25">
      <c r="E351" t="str">
        <f>""</f>
        <v/>
      </c>
      <c r="F351" t="str">
        <f>""</f>
        <v/>
      </c>
      <c r="H351" t="str">
        <f>"Vistaprint"</f>
        <v>Vistaprint</v>
      </c>
    </row>
    <row r="352" spans="1:8" x14ac:dyDescent="0.25">
      <c r="E352" t="str">
        <f>""</f>
        <v/>
      </c>
      <c r="F352" t="str">
        <f>""</f>
        <v/>
      </c>
      <c r="H352" t="str">
        <f>"Home Depot"</f>
        <v>Home Depot</v>
      </c>
    </row>
    <row r="353" spans="5:8" x14ac:dyDescent="0.25">
      <c r="E353" t="str">
        <f>""</f>
        <v/>
      </c>
      <c r="F353" t="str">
        <f>""</f>
        <v/>
      </c>
      <c r="H353" t="str">
        <f>"RMA Toll"</f>
        <v>RMA Toll</v>
      </c>
    </row>
    <row r="354" spans="5:8" x14ac:dyDescent="0.25">
      <c r="E354" t="str">
        <f>""</f>
        <v/>
      </c>
      <c r="F354" t="str">
        <f>""</f>
        <v/>
      </c>
      <c r="H354" t="str">
        <f>"RMA Toll"</f>
        <v>RMA Toll</v>
      </c>
    </row>
    <row r="355" spans="5:8" x14ac:dyDescent="0.25">
      <c r="E355" t="str">
        <f>""</f>
        <v/>
      </c>
      <c r="F355" t="str">
        <f>""</f>
        <v/>
      </c>
      <c r="H355" t="str">
        <f>"autozone"</f>
        <v>autozone</v>
      </c>
    </row>
    <row r="356" spans="5:8" x14ac:dyDescent="0.25">
      <c r="E356" t="str">
        <f>""</f>
        <v/>
      </c>
      <c r="F356" t="str">
        <f>""</f>
        <v/>
      </c>
      <c r="H356" t="str">
        <f>"CVS"</f>
        <v>CVS</v>
      </c>
    </row>
    <row r="357" spans="5:8" x14ac:dyDescent="0.25">
      <c r="E357" t="str">
        <f>""</f>
        <v/>
      </c>
      <c r="F357" t="str">
        <f>""</f>
        <v/>
      </c>
      <c r="H357" t="str">
        <f>"Zimmerhanzel"</f>
        <v>Zimmerhanzel</v>
      </c>
    </row>
    <row r="358" spans="5:8" x14ac:dyDescent="0.25">
      <c r="E358" t="str">
        <f>""</f>
        <v/>
      </c>
      <c r="F358" t="str">
        <f>""</f>
        <v/>
      </c>
      <c r="H358" t="str">
        <f>"CapCog"</f>
        <v>CapCog</v>
      </c>
    </row>
    <row r="359" spans="5:8" x14ac:dyDescent="0.25">
      <c r="E359" t="str">
        <f>""</f>
        <v/>
      </c>
      <c r="F359" t="str">
        <f>""</f>
        <v/>
      </c>
      <c r="H359" t="str">
        <f>"Comfort"</f>
        <v>Comfort</v>
      </c>
    </row>
    <row r="360" spans="5:8" x14ac:dyDescent="0.25">
      <c r="E360" t="str">
        <f>""</f>
        <v/>
      </c>
      <c r="F360" t="str">
        <f>""</f>
        <v/>
      </c>
      <c r="H360" t="str">
        <f>"Comfort"</f>
        <v>Comfort</v>
      </c>
    </row>
    <row r="361" spans="5:8" x14ac:dyDescent="0.25">
      <c r="E361" t="str">
        <f>""</f>
        <v/>
      </c>
      <c r="F361" t="str">
        <f>""</f>
        <v/>
      </c>
      <c r="H361" t="str">
        <f>"Erika DeJesus"</f>
        <v>Erika DeJesus</v>
      </c>
    </row>
    <row r="362" spans="5:8" x14ac:dyDescent="0.25">
      <c r="E362" t="str">
        <f>""</f>
        <v/>
      </c>
      <c r="F362" t="str">
        <f>""</f>
        <v/>
      </c>
      <c r="H362" t="str">
        <f>"Rosanna Garza"</f>
        <v>Rosanna Garza</v>
      </c>
    </row>
    <row r="363" spans="5:8" x14ac:dyDescent="0.25">
      <c r="E363" t="str">
        <f>""</f>
        <v/>
      </c>
      <c r="F363" t="str">
        <f>""</f>
        <v/>
      </c>
      <c r="H363" t="str">
        <f>"Robert Bennett"</f>
        <v>Robert Bennett</v>
      </c>
    </row>
    <row r="364" spans="5:8" x14ac:dyDescent="0.25">
      <c r="E364" t="str">
        <f>""</f>
        <v/>
      </c>
      <c r="F364" t="str">
        <f>""</f>
        <v/>
      </c>
      <c r="H364" t="str">
        <f>"Annette Murley"</f>
        <v>Annette Murley</v>
      </c>
    </row>
    <row r="365" spans="5:8" x14ac:dyDescent="0.25">
      <c r="E365" t="str">
        <f>""</f>
        <v/>
      </c>
      <c r="F365" t="str">
        <f>""</f>
        <v/>
      </c>
      <c r="H365" t="str">
        <f>"Human Educator"</f>
        <v>Human Educator</v>
      </c>
    </row>
    <row r="366" spans="5:8" x14ac:dyDescent="0.25">
      <c r="E366" t="str">
        <f>""</f>
        <v/>
      </c>
      <c r="F366" t="str">
        <f>""</f>
        <v/>
      </c>
      <c r="H366" t="str">
        <f>"Walmart"</f>
        <v>Walmart</v>
      </c>
    </row>
    <row r="367" spans="5:8" x14ac:dyDescent="0.25">
      <c r="E367" t="str">
        <f>""</f>
        <v/>
      </c>
      <c r="F367" t="str">
        <f>""</f>
        <v/>
      </c>
      <c r="H367" t="str">
        <f>"HSUS"</f>
        <v>HSUS</v>
      </c>
    </row>
    <row r="368" spans="5:8" x14ac:dyDescent="0.25">
      <c r="E368" t="str">
        <f>""</f>
        <v/>
      </c>
      <c r="F368" t="str">
        <f>""</f>
        <v/>
      </c>
      <c r="H368" t="str">
        <f>"HEB"</f>
        <v>HEB</v>
      </c>
    </row>
    <row r="369" spans="1:8" x14ac:dyDescent="0.25">
      <c r="E369" t="str">
        <f>""</f>
        <v/>
      </c>
      <c r="F369" t="str">
        <f>""</f>
        <v/>
      </c>
      <c r="H369" t="str">
        <f>"Walmart"</f>
        <v>Walmart</v>
      </c>
    </row>
    <row r="370" spans="1:8" x14ac:dyDescent="0.25">
      <c r="E370" t="str">
        <f>""</f>
        <v/>
      </c>
      <c r="F370" t="str">
        <f>""</f>
        <v/>
      </c>
      <c r="H370" t="str">
        <f>"Staples"</f>
        <v>Staples</v>
      </c>
    </row>
    <row r="371" spans="1:8" x14ac:dyDescent="0.25">
      <c r="E371" t="str">
        <f>""</f>
        <v/>
      </c>
      <c r="F371" t="str">
        <f>""</f>
        <v/>
      </c>
      <c r="H371" t="str">
        <f>"Walmart"</f>
        <v>Walmart</v>
      </c>
    </row>
    <row r="372" spans="1:8" x14ac:dyDescent="0.25">
      <c r="E372" t="str">
        <f>""</f>
        <v/>
      </c>
      <c r="F372" t="str">
        <f>""</f>
        <v/>
      </c>
      <c r="H372" t="str">
        <f>"VTX"</f>
        <v>VTX</v>
      </c>
    </row>
    <row r="373" spans="1:8" x14ac:dyDescent="0.25">
      <c r="E373" t="str">
        <f>""</f>
        <v/>
      </c>
      <c r="F373" t="str">
        <f>""</f>
        <v/>
      </c>
      <c r="H373" t="str">
        <f>"TxTag"</f>
        <v>TxTag</v>
      </c>
    </row>
    <row r="374" spans="1:8" x14ac:dyDescent="0.25">
      <c r="E374" t="str">
        <f>""</f>
        <v/>
      </c>
      <c r="F374" t="str">
        <f>""</f>
        <v/>
      </c>
      <c r="H374" t="str">
        <f>"RMA"</f>
        <v>RMA</v>
      </c>
    </row>
    <row r="375" spans="1:8" x14ac:dyDescent="0.25">
      <c r="E375" t="str">
        <f>""</f>
        <v/>
      </c>
      <c r="F375" t="str">
        <f>""</f>
        <v/>
      </c>
      <c r="H375" t="str">
        <f>"TxTag"</f>
        <v>TxTag</v>
      </c>
    </row>
    <row r="376" spans="1:8" x14ac:dyDescent="0.25">
      <c r="E376" t="str">
        <f>""</f>
        <v/>
      </c>
      <c r="F376" t="str">
        <f>""</f>
        <v/>
      </c>
      <c r="H376" t="str">
        <f>"HE_Payments"</f>
        <v>HE_Payments</v>
      </c>
    </row>
    <row r="377" spans="1:8" x14ac:dyDescent="0.25">
      <c r="E377" t="str">
        <f>""</f>
        <v/>
      </c>
      <c r="F377" t="str">
        <f>""</f>
        <v/>
      </c>
      <c r="H377" t="str">
        <f>"Hampton"</f>
        <v>Hampton</v>
      </c>
    </row>
    <row r="378" spans="1:8" x14ac:dyDescent="0.25">
      <c r="E378" t="str">
        <f>""</f>
        <v/>
      </c>
      <c r="F378" t="str">
        <f>""</f>
        <v/>
      </c>
      <c r="H378" t="str">
        <f>"Hampton"</f>
        <v>Hampton</v>
      </c>
    </row>
    <row r="379" spans="1:8" x14ac:dyDescent="0.25">
      <c r="A379" t="s">
        <v>71</v>
      </c>
      <c r="B379">
        <v>472</v>
      </c>
      <c r="C379" s="5">
        <v>3304.66</v>
      </c>
      <c r="D379" s="1">
        <v>43934</v>
      </c>
      <c r="E379" t="str">
        <f>"202004076244"</f>
        <v>202004076244</v>
      </c>
      <c r="F379" t="str">
        <f>"STMT 02/22-03/23  #0574"</f>
        <v>STMT 02/22-03/23  #0574</v>
      </c>
      <c r="G379" s="5">
        <v>2289.02</v>
      </c>
      <c r="H379" t="str">
        <f>"HARBOR FREIGHT"</f>
        <v>HARBOR FREIGHT</v>
      </c>
    </row>
    <row r="380" spans="1:8" x14ac:dyDescent="0.25">
      <c r="E380" t="str">
        <f>""</f>
        <v/>
      </c>
      <c r="F380" t="str">
        <f>""</f>
        <v/>
      </c>
      <c r="H380" t="str">
        <f>"LA QUINTA INN"</f>
        <v>LA QUINTA INN</v>
      </c>
    </row>
    <row r="381" spans="1:8" x14ac:dyDescent="0.25">
      <c r="E381" t="str">
        <f>""</f>
        <v/>
      </c>
      <c r="F381" t="str">
        <f>""</f>
        <v/>
      </c>
      <c r="H381" t="str">
        <f>"BEST WESTERN GARDEN"</f>
        <v>BEST WESTERN GARDEN</v>
      </c>
    </row>
    <row r="382" spans="1:8" x14ac:dyDescent="0.25">
      <c r="E382" t="str">
        <f>""</f>
        <v/>
      </c>
      <c r="F382" t="str">
        <f>""</f>
        <v/>
      </c>
      <c r="H382" t="str">
        <f>"SURESTAY PLUS"</f>
        <v>SURESTAY PLUS</v>
      </c>
    </row>
    <row r="383" spans="1:8" x14ac:dyDescent="0.25">
      <c r="E383" t="str">
        <f>""</f>
        <v/>
      </c>
      <c r="F383" t="str">
        <f>""</f>
        <v/>
      </c>
      <c r="H383" t="str">
        <f>"SURESTAY PLUS"</f>
        <v>SURESTAY PLUS</v>
      </c>
    </row>
    <row r="384" spans="1:8" x14ac:dyDescent="0.25">
      <c r="E384" t="str">
        <f>""</f>
        <v/>
      </c>
      <c r="F384" t="str">
        <f>""</f>
        <v/>
      </c>
      <c r="H384" t="str">
        <f>"AAACOG"</f>
        <v>AAACOG</v>
      </c>
    </row>
    <row r="385" spans="1:8" x14ac:dyDescent="0.25">
      <c r="E385" t="str">
        <f>""</f>
        <v/>
      </c>
      <c r="F385" t="str">
        <f>""</f>
        <v/>
      </c>
      <c r="H385" t="str">
        <f>"TXDPS TRAINING"</f>
        <v>TXDPS TRAINING</v>
      </c>
    </row>
    <row r="386" spans="1:8" x14ac:dyDescent="0.25">
      <c r="E386" t="str">
        <f>""</f>
        <v/>
      </c>
      <c r="F386" t="str">
        <f>""</f>
        <v/>
      </c>
      <c r="H386" t="str">
        <f>"LATE FEES"</f>
        <v>LATE FEES</v>
      </c>
    </row>
    <row r="387" spans="1:8" x14ac:dyDescent="0.25">
      <c r="E387" t="str">
        <f>""</f>
        <v/>
      </c>
      <c r="F387" t="str">
        <f>""</f>
        <v/>
      </c>
      <c r="H387" t="str">
        <f>"INTEREST"</f>
        <v>INTEREST</v>
      </c>
    </row>
    <row r="388" spans="1:8" x14ac:dyDescent="0.25">
      <c r="E388" t="str">
        <f>""</f>
        <v/>
      </c>
      <c r="F388" t="str">
        <f>""</f>
        <v/>
      </c>
      <c r="H388" t="str">
        <f>"MARATHON ENGINEERING"</f>
        <v>MARATHON ENGINEERING</v>
      </c>
    </row>
    <row r="389" spans="1:8" x14ac:dyDescent="0.25">
      <c r="E389" t="str">
        <f>"202004076245"</f>
        <v>202004076245</v>
      </c>
      <c r="F389" t="str">
        <f>"STMT 01/24-02/21 #0574"</f>
        <v>STMT 01/24-02/21 #0574</v>
      </c>
      <c r="G389" s="5">
        <v>1015.64</v>
      </c>
      <c r="H389" t="str">
        <f>"STAPLES"</f>
        <v>STAPLES</v>
      </c>
    </row>
    <row r="390" spans="1:8" x14ac:dyDescent="0.25">
      <c r="E390" t="str">
        <f>""</f>
        <v/>
      </c>
      <c r="F390" t="str">
        <f>""</f>
        <v/>
      </c>
      <c r="H390" t="str">
        <f>"INTEREST"</f>
        <v>INTEREST</v>
      </c>
    </row>
    <row r="391" spans="1:8" x14ac:dyDescent="0.25">
      <c r="E391" t="str">
        <f>""</f>
        <v/>
      </c>
      <c r="F391" t="str">
        <f>""</f>
        <v/>
      </c>
      <c r="H391" t="str">
        <f>"LATE FEES PROVIOUS"</f>
        <v>LATE FEES PROVIOUS</v>
      </c>
    </row>
    <row r="392" spans="1:8" x14ac:dyDescent="0.25">
      <c r="E392" t="str">
        <f>""</f>
        <v/>
      </c>
      <c r="F392" t="str">
        <f>""</f>
        <v/>
      </c>
      <c r="H392" t="str">
        <f>"STAPLES"</f>
        <v>STAPLES</v>
      </c>
    </row>
    <row r="393" spans="1:8" x14ac:dyDescent="0.25">
      <c r="E393" t="str">
        <f>""</f>
        <v/>
      </c>
      <c r="F393" t="str">
        <f>""</f>
        <v/>
      </c>
      <c r="H393" t="str">
        <f>"HARBOR FREIGHT"</f>
        <v>HARBOR FREIGHT</v>
      </c>
    </row>
    <row r="394" spans="1:8" x14ac:dyDescent="0.25">
      <c r="A394" t="s">
        <v>72</v>
      </c>
      <c r="B394">
        <v>2445</v>
      </c>
      <c r="C394" s="5">
        <v>269</v>
      </c>
      <c r="D394" s="1">
        <v>43935</v>
      </c>
      <c r="E394" t="str">
        <f>"24082"</f>
        <v>24082</v>
      </c>
      <c r="F394" t="str">
        <f>"CUST#5404-2/PCT#2"</f>
        <v>CUST#5404-2/PCT#2</v>
      </c>
      <c r="G394" s="5">
        <v>190</v>
      </c>
      <c r="H394" t="str">
        <f>"CUST#5404-2/PCT#2"</f>
        <v>CUST#5404-2/PCT#2</v>
      </c>
    </row>
    <row r="395" spans="1:8" x14ac:dyDescent="0.25">
      <c r="E395" t="str">
        <f>"24091"</f>
        <v>24091</v>
      </c>
      <c r="F395" t="str">
        <f>"CUST#5404-2/PCT#2"</f>
        <v>CUST#5404-2/PCT#2</v>
      </c>
      <c r="G395" s="5">
        <v>24</v>
      </c>
      <c r="H395" t="str">
        <f>"CUST#5404-2/PCT#2"</f>
        <v>CUST#5404-2/PCT#2</v>
      </c>
    </row>
    <row r="396" spans="1:8" x14ac:dyDescent="0.25">
      <c r="E396" t="str">
        <f>"24118"</f>
        <v>24118</v>
      </c>
      <c r="F396" t="str">
        <f>"CUST#5404-2/PCT#2"</f>
        <v>CUST#5404-2/PCT#2</v>
      </c>
      <c r="G396" s="5">
        <v>55</v>
      </c>
      <c r="H396" t="str">
        <f>"CUST#5404-2/PCT#2"</f>
        <v>CUST#5404-2/PCT#2</v>
      </c>
    </row>
    <row r="397" spans="1:8" x14ac:dyDescent="0.25">
      <c r="A397" t="s">
        <v>72</v>
      </c>
      <c r="B397">
        <v>2511</v>
      </c>
      <c r="C397" s="5">
        <v>23</v>
      </c>
      <c r="D397" s="1">
        <v>43949</v>
      </c>
      <c r="E397" t="str">
        <f>"24129"</f>
        <v>24129</v>
      </c>
      <c r="F397" t="str">
        <f>"CUST#5404-2/PCT#2"</f>
        <v>CUST#5404-2/PCT#2</v>
      </c>
      <c r="G397" s="5">
        <v>23</v>
      </c>
      <c r="H397" t="str">
        <f>"CUST#5404-2/PCT#2"</f>
        <v>CUST#5404-2/PCT#2</v>
      </c>
    </row>
    <row r="398" spans="1:8" x14ac:dyDescent="0.25">
      <c r="A398" t="s">
        <v>73</v>
      </c>
      <c r="B398">
        <v>131766</v>
      </c>
      <c r="C398" s="5">
        <v>1701.56</v>
      </c>
      <c r="D398" s="1">
        <v>43948</v>
      </c>
      <c r="E398" t="str">
        <f>"202004276606"</f>
        <v>202004276606</v>
      </c>
      <c r="F398" t="str">
        <f>"ACCT#8000081165-5 / 05042020"</f>
        <v>ACCT#8000081165-5 / 05042020</v>
      </c>
      <c r="G398" s="5">
        <v>1701.56</v>
      </c>
      <c r="H398" t="str">
        <f>"ACCT#8000081165-5 / 05042020"</f>
        <v>ACCT#8000081165-5 / 05042020</v>
      </c>
    </row>
    <row r="399" spans="1:8" x14ac:dyDescent="0.25">
      <c r="E399" t="str">
        <f>""</f>
        <v/>
      </c>
      <c r="F399" t="str">
        <f>""</f>
        <v/>
      </c>
      <c r="H399" t="str">
        <f>"ACCT#8000081165-5 / 05042020"</f>
        <v>ACCT#8000081165-5 / 05042020</v>
      </c>
    </row>
    <row r="400" spans="1:8" x14ac:dyDescent="0.25">
      <c r="A400" t="s">
        <v>74</v>
      </c>
      <c r="B400">
        <v>131502</v>
      </c>
      <c r="C400" s="5">
        <v>3347</v>
      </c>
      <c r="D400" s="1">
        <v>43934</v>
      </c>
      <c r="E400" t="str">
        <f>"CID2611754"</f>
        <v>CID2611754</v>
      </c>
      <c r="F400" t="str">
        <f>"ACCT#238567/ORD#CID2682626"</f>
        <v>ACCT#238567/ORD#CID2682626</v>
      </c>
      <c r="G400" s="5">
        <v>3347</v>
      </c>
      <c r="H400" t="str">
        <f>"ACCT#238567/ORD#CID2682626"</f>
        <v>ACCT#238567/ORD#CID2682626</v>
      </c>
    </row>
    <row r="401" spans="1:8" x14ac:dyDescent="0.25">
      <c r="A401" t="s">
        <v>75</v>
      </c>
      <c r="B401">
        <v>131503</v>
      </c>
      <c r="C401" s="5">
        <v>265.66000000000003</v>
      </c>
      <c r="D401" s="1">
        <v>43934</v>
      </c>
      <c r="E401" t="str">
        <f>"202004086380"</f>
        <v>202004086380</v>
      </c>
      <c r="F401" t="str">
        <f>"JAIL MEDICAL"</f>
        <v>JAIL MEDICAL</v>
      </c>
      <c r="G401" s="5">
        <v>265.66000000000003</v>
      </c>
      <c r="H401" t="str">
        <f>"JAIL MEDICAL"</f>
        <v>JAIL MEDICAL</v>
      </c>
    </row>
    <row r="402" spans="1:8" x14ac:dyDescent="0.25">
      <c r="A402" t="s">
        <v>76</v>
      </c>
      <c r="B402">
        <v>131504</v>
      </c>
      <c r="C402" s="5">
        <v>250</v>
      </c>
      <c r="D402" s="1">
        <v>43934</v>
      </c>
      <c r="E402" t="str">
        <f>"202004076307"</f>
        <v>202004076307</v>
      </c>
      <c r="F402" t="str">
        <f>"102152019E"</f>
        <v>102152019E</v>
      </c>
      <c r="G402" s="5">
        <v>250</v>
      </c>
      <c r="H402" t="str">
        <f>"102152019E"</f>
        <v>102152019E</v>
      </c>
    </row>
    <row r="403" spans="1:8" x14ac:dyDescent="0.25">
      <c r="A403" t="s">
        <v>77</v>
      </c>
      <c r="B403">
        <v>2462</v>
      </c>
      <c r="C403" s="5">
        <v>244.4</v>
      </c>
      <c r="D403" s="1">
        <v>43935</v>
      </c>
      <c r="E403" t="str">
        <f>"0208974-IN"</f>
        <v>0208974-IN</v>
      </c>
      <c r="F403" t="str">
        <f>"INV 0208974-IN"</f>
        <v>INV 0208974-IN</v>
      </c>
      <c r="G403" s="5">
        <v>244.4</v>
      </c>
      <c r="H403" t="str">
        <f>"INV 0208974-IN"</f>
        <v>INV 0208974-IN</v>
      </c>
    </row>
    <row r="404" spans="1:8" x14ac:dyDescent="0.25">
      <c r="A404" t="s">
        <v>77</v>
      </c>
      <c r="B404">
        <v>2522</v>
      </c>
      <c r="C404" s="5">
        <v>323</v>
      </c>
      <c r="D404" s="1">
        <v>43949</v>
      </c>
      <c r="E404" t="str">
        <f>"0216553-IN"</f>
        <v>0216553-IN</v>
      </c>
      <c r="F404" t="str">
        <f>"INV 0216553-IN"</f>
        <v>INV 0216553-IN</v>
      </c>
      <c r="G404" s="5">
        <v>323</v>
      </c>
      <c r="H404" t="str">
        <f>"INV 0216553-IN"</f>
        <v>INV 0216553-IN</v>
      </c>
    </row>
    <row r="405" spans="1:8" x14ac:dyDescent="0.25">
      <c r="A405" t="s">
        <v>78</v>
      </c>
      <c r="B405">
        <v>131675</v>
      </c>
      <c r="C405" s="5">
        <v>95</v>
      </c>
      <c r="D405" s="1">
        <v>43948</v>
      </c>
      <c r="E405" t="str">
        <f>"12929"</f>
        <v>12929</v>
      </c>
      <c r="F405" t="str">
        <f>"SERVICE"</f>
        <v>SERVICE</v>
      </c>
      <c r="G405" s="5">
        <v>95</v>
      </c>
      <c r="H405" t="str">
        <f>"SERVICE"</f>
        <v>SERVICE</v>
      </c>
    </row>
    <row r="406" spans="1:8" x14ac:dyDescent="0.25">
      <c r="A406" t="s">
        <v>79</v>
      </c>
      <c r="B406">
        <v>2473</v>
      </c>
      <c r="C406" s="5">
        <v>400</v>
      </c>
      <c r="D406" s="1">
        <v>43935</v>
      </c>
      <c r="E406" t="str">
        <f>"202003306121"</f>
        <v>202003306121</v>
      </c>
      <c r="F406" t="str">
        <f>"JP103132019J"</f>
        <v>JP103132019J</v>
      </c>
      <c r="G406" s="5">
        <v>400</v>
      </c>
      <c r="H406" t="str">
        <f>"JP103132019J"</f>
        <v>JP103132019J</v>
      </c>
    </row>
    <row r="407" spans="1:8" x14ac:dyDescent="0.25">
      <c r="A407" t="s">
        <v>79</v>
      </c>
      <c r="B407">
        <v>2531</v>
      </c>
      <c r="C407" s="5">
        <v>2425</v>
      </c>
      <c r="D407" s="1">
        <v>43949</v>
      </c>
      <c r="E407" t="str">
        <f>"202004206472"</f>
        <v>202004206472</v>
      </c>
      <c r="F407" t="str">
        <f>"16 772"</f>
        <v>16 772</v>
      </c>
      <c r="G407" s="5">
        <v>400</v>
      </c>
      <c r="H407" t="str">
        <f>"16 772"</f>
        <v>16 772</v>
      </c>
    </row>
    <row r="408" spans="1:8" x14ac:dyDescent="0.25">
      <c r="E408" t="str">
        <f>"202004206473"</f>
        <v>202004206473</v>
      </c>
      <c r="F408" t="str">
        <f>"311102019C"</f>
        <v>311102019C</v>
      </c>
      <c r="G408" s="5">
        <v>400</v>
      </c>
      <c r="H408" t="str">
        <f>"311102019C"</f>
        <v>311102019C</v>
      </c>
    </row>
    <row r="409" spans="1:8" x14ac:dyDescent="0.25">
      <c r="E409" t="str">
        <f>"202004216533"</f>
        <v>202004216533</v>
      </c>
      <c r="F409" t="str">
        <f>"20-20192 20-20154 20-20195"</f>
        <v>20-20192 20-20154 20-20195</v>
      </c>
      <c r="G409" s="5">
        <v>300</v>
      </c>
      <c r="H409" t="str">
        <f>"20-20192 20-20154 20-20195"</f>
        <v>20-20192 20-20154 20-20195</v>
      </c>
    </row>
    <row r="410" spans="1:8" x14ac:dyDescent="0.25">
      <c r="E410" t="str">
        <f>"202004216534"</f>
        <v>202004216534</v>
      </c>
      <c r="F410" t="str">
        <f>"DCPC20-047"</f>
        <v>DCPC20-047</v>
      </c>
      <c r="G410" s="5">
        <v>100</v>
      </c>
      <c r="H410" t="str">
        <f>"DCPC20-047"</f>
        <v>DCPC20-047</v>
      </c>
    </row>
    <row r="411" spans="1:8" x14ac:dyDescent="0.25">
      <c r="E411" t="str">
        <f>"202004216535"</f>
        <v>202004216535</v>
      </c>
      <c r="F411" t="str">
        <f>"1499-21"</f>
        <v>1499-21</v>
      </c>
      <c r="G411" s="5">
        <v>100</v>
      </c>
      <c r="H411" t="str">
        <f>"1499-21"</f>
        <v>1499-21</v>
      </c>
    </row>
    <row r="412" spans="1:8" x14ac:dyDescent="0.25">
      <c r="E412" t="str">
        <f>"202004216536"</f>
        <v>202004216536</v>
      </c>
      <c r="F412" t="str">
        <f>"JP102052000G"</f>
        <v>JP102052000G</v>
      </c>
      <c r="G412" s="5">
        <v>250</v>
      </c>
      <c r="H412" t="str">
        <f>"JP102052000G"</f>
        <v>JP102052000G</v>
      </c>
    </row>
    <row r="413" spans="1:8" x14ac:dyDescent="0.25">
      <c r="E413" t="str">
        <f>"202004216537"</f>
        <v>202004216537</v>
      </c>
      <c r="F413" t="str">
        <f>"1JP41518B  1JP41518C"</f>
        <v>1JP41518B  1JP41518C</v>
      </c>
      <c r="G413" s="5">
        <v>375</v>
      </c>
      <c r="H413" t="str">
        <f>"1JP41518B  1JP41518C"</f>
        <v>1JP41518B  1JP41518C</v>
      </c>
    </row>
    <row r="414" spans="1:8" x14ac:dyDescent="0.25">
      <c r="E414" t="str">
        <f>"202004216538"</f>
        <v>202004216538</v>
      </c>
      <c r="F414" t="str">
        <f>"1JP22184"</f>
        <v>1JP22184</v>
      </c>
      <c r="G414" s="5">
        <v>250</v>
      </c>
      <c r="H414" t="str">
        <f>"1JP22184"</f>
        <v>1JP22184</v>
      </c>
    </row>
    <row r="415" spans="1:8" x14ac:dyDescent="0.25">
      <c r="E415" t="str">
        <f>"202004216539"</f>
        <v>202004216539</v>
      </c>
      <c r="F415" t="str">
        <f>"BC20191025B"</f>
        <v>BC20191025B</v>
      </c>
      <c r="G415" s="5">
        <v>250</v>
      </c>
      <c r="H415" t="str">
        <f>"BC20191025B"</f>
        <v>BC20191025B</v>
      </c>
    </row>
    <row r="416" spans="1:8" x14ac:dyDescent="0.25">
      <c r="A416" t="s">
        <v>80</v>
      </c>
      <c r="B416">
        <v>2441</v>
      </c>
      <c r="C416" s="5">
        <v>199</v>
      </c>
      <c r="D416" s="1">
        <v>43935</v>
      </c>
      <c r="E416" t="str">
        <f>"202003256099"</f>
        <v>202003256099</v>
      </c>
      <c r="F416" t="str">
        <f>"REIMBURSE CONFERENCE REGISTRAT"</f>
        <v>REIMBURSE CONFERENCE REGISTRAT</v>
      </c>
      <c r="G416" s="5">
        <v>199</v>
      </c>
      <c r="H416" t="str">
        <f>"REIMBURSE CONFERENCE REGISTRAT"</f>
        <v>REIMBURSE CONFERENCE REGISTRAT</v>
      </c>
    </row>
    <row r="417" spans="1:8" x14ac:dyDescent="0.25">
      <c r="A417" t="s">
        <v>81</v>
      </c>
      <c r="B417">
        <v>131505</v>
      </c>
      <c r="C417" s="5">
        <v>1974</v>
      </c>
      <c r="D417" s="1">
        <v>43934</v>
      </c>
      <c r="E417" t="str">
        <f>"4503"</f>
        <v>4503</v>
      </c>
      <c r="F417" t="str">
        <f>"DOCUCLASS MAINT/SUPPORT"</f>
        <v>DOCUCLASS MAINT/SUPPORT</v>
      </c>
      <c r="G417" s="5">
        <v>1974</v>
      </c>
      <c r="H417" t="str">
        <f>"DOCUCLASS MAINT/SUPPORT"</f>
        <v>DOCUCLASS MAINT/SUPPORT</v>
      </c>
    </row>
    <row r="418" spans="1:8" x14ac:dyDescent="0.25">
      <c r="A418" t="s">
        <v>82</v>
      </c>
      <c r="B418">
        <v>131506</v>
      </c>
      <c r="C418" s="5">
        <v>150</v>
      </c>
      <c r="D418" s="1">
        <v>43934</v>
      </c>
      <c r="E418" t="str">
        <f>"9084412465"</f>
        <v>9084412465</v>
      </c>
      <c r="F418" t="str">
        <f>"INV 9084412465"</f>
        <v>INV 9084412465</v>
      </c>
      <c r="G418" s="5">
        <v>100</v>
      </c>
      <c r="H418" t="str">
        <f>"INV 9084412465"</f>
        <v>INV 9084412465</v>
      </c>
    </row>
    <row r="419" spans="1:8" x14ac:dyDescent="0.25">
      <c r="E419" t="str">
        <f>"9084412466"</f>
        <v>9084412466</v>
      </c>
      <c r="F419" t="str">
        <f>"INV 9084412466"</f>
        <v>INV 9084412466</v>
      </c>
      <c r="G419" s="5">
        <v>50</v>
      </c>
      <c r="H419" t="str">
        <f>"INV 9084412466"</f>
        <v>INV 9084412466</v>
      </c>
    </row>
    <row r="420" spans="1:8" x14ac:dyDescent="0.25">
      <c r="A420" t="s">
        <v>82</v>
      </c>
      <c r="B420">
        <v>131676</v>
      </c>
      <c r="C420" s="5">
        <v>97.37</v>
      </c>
      <c r="D420" s="1">
        <v>43948</v>
      </c>
      <c r="E420" t="str">
        <f>"5016532286"</f>
        <v>5016532286</v>
      </c>
      <c r="F420" t="str">
        <f>"PAYER#0011167181/PCT#1"</f>
        <v>PAYER#0011167181/PCT#1</v>
      </c>
      <c r="G420" s="5">
        <v>97.37</v>
      </c>
      <c r="H420" t="str">
        <f>"PAYER#0011167181/PCT#1"</f>
        <v>PAYER#0011167181/PCT#1</v>
      </c>
    </row>
    <row r="421" spans="1:8" x14ac:dyDescent="0.25">
      <c r="A421" t="s">
        <v>83</v>
      </c>
      <c r="B421">
        <v>131507</v>
      </c>
      <c r="C421" s="5">
        <v>517.69000000000005</v>
      </c>
      <c r="D421" s="1">
        <v>43934</v>
      </c>
      <c r="E421" t="str">
        <f>"8404562609"</f>
        <v>8404562609</v>
      </c>
      <c r="F421" t="str">
        <f>"CUST#10377368/PCT#3"</f>
        <v>CUST#10377368/PCT#3</v>
      </c>
      <c r="G421" s="5">
        <v>517.69000000000005</v>
      </c>
      <c r="H421" t="str">
        <f>"CUST#10377368/PCT#3"</f>
        <v>CUST#10377368/PCT#3</v>
      </c>
    </row>
    <row r="422" spans="1:8" x14ac:dyDescent="0.25">
      <c r="A422" t="s">
        <v>84</v>
      </c>
      <c r="B422">
        <v>131508</v>
      </c>
      <c r="C422" s="5">
        <v>407.38</v>
      </c>
      <c r="D422" s="1">
        <v>43934</v>
      </c>
      <c r="E422" t="str">
        <f>"202004086378"</f>
        <v>202004086378</v>
      </c>
      <c r="F422" t="str">
        <f>"PAYER#14108463"</f>
        <v>PAYER#14108463</v>
      </c>
      <c r="G422" s="5">
        <v>407.38</v>
      </c>
      <c r="H422" t="str">
        <f>"PAYER#14108463"</f>
        <v>PAYER#14108463</v>
      </c>
    </row>
    <row r="423" spans="1:8" x14ac:dyDescent="0.25">
      <c r="A423" t="s">
        <v>83</v>
      </c>
      <c r="B423">
        <v>131677</v>
      </c>
      <c r="C423" s="5">
        <v>80.72</v>
      </c>
      <c r="D423" s="1">
        <v>43948</v>
      </c>
      <c r="E423" t="str">
        <f>"8404587596"</f>
        <v>8404587596</v>
      </c>
      <c r="F423" t="str">
        <f>"CUST#10377368/PCT#2"</f>
        <v>CUST#10377368/PCT#2</v>
      </c>
      <c r="G423" s="5">
        <v>80.72</v>
      </c>
      <c r="H423" t="str">
        <f>"CUST#10377368/PCT#2"</f>
        <v>CUST#10377368/PCT#2</v>
      </c>
    </row>
    <row r="424" spans="1:8" x14ac:dyDescent="0.25">
      <c r="A424" t="s">
        <v>84</v>
      </c>
      <c r="B424">
        <v>131678</v>
      </c>
      <c r="C424" s="5">
        <v>4885.43</v>
      </c>
      <c r="D424" s="1">
        <v>43948</v>
      </c>
      <c r="E424" t="str">
        <f>"202004206444"</f>
        <v>202004206444</v>
      </c>
      <c r="F424" t="str">
        <f>"PAYER#14108430/PCT#4"</f>
        <v>PAYER#14108430/PCT#4</v>
      </c>
      <c r="G424" s="5">
        <v>994.51</v>
      </c>
      <c r="H424" t="str">
        <f>"PAYER#14108430/PCT#4"</f>
        <v>PAYER#14108430/PCT#4</v>
      </c>
    </row>
    <row r="425" spans="1:8" x14ac:dyDescent="0.25">
      <c r="E425" t="str">
        <f>"202004206448"</f>
        <v>202004206448</v>
      </c>
      <c r="F425" t="str">
        <f>"PAYER#14108367/PCT#2"</f>
        <v>PAYER#14108367/PCT#2</v>
      </c>
      <c r="G425" s="5">
        <v>626.33000000000004</v>
      </c>
      <c r="H425" t="str">
        <f>"PAYER#14108367/PCT#2"</f>
        <v>PAYER#14108367/PCT#2</v>
      </c>
    </row>
    <row r="426" spans="1:8" x14ac:dyDescent="0.25">
      <c r="E426" t="str">
        <f>"202004206451"</f>
        <v>202004206451</v>
      </c>
      <c r="F426" t="str">
        <f>"PAYER#14108431/PCT#1"</f>
        <v>PAYER#14108431/PCT#1</v>
      </c>
      <c r="G426" s="5">
        <v>962.44</v>
      </c>
      <c r="H426" t="str">
        <f>"PAYER#14108431/PCT#1"</f>
        <v>PAYER#14108431/PCT#1</v>
      </c>
    </row>
    <row r="427" spans="1:8" x14ac:dyDescent="0.25">
      <c r="E427" t="str">
        <f>"202004206493"</f>
        <v>202004206493</v>
      </c>
      <c r="F427" t="str">
        <f>"PAYER#14108431"</f>
        <v>PAYER#14108431</v>
      </c>
      <c r="G427" s="5">
        <v>56.32</v>
      </c>
      <c r="H427" t="str">
        <f>"PAYER#14108431"</f>
        <v>PAYER#14108431</v>
      </c>
    </row>
    <row r="428" spans="1:8" x14ac:dyDescent="0.25">
      <c r="E428" t="str">
        <f>"202004226560"</f>
        <v>202004226560</v>
      </c>
      <c r="F428" t="str">
        <f>"PAYER#14108375/GEN SVC"</f>
        <v>PAYER#14108375/GEN SVC</v>
      </c>
      <c r="G428" s="5">
        <v>2245.83</v>
      </c>
      <c r="H428" t="str">
        <f>"PAYER#14108375/GEN SVC"</f>
        <v>PAYER#14108375/GEN SVC</v>
      </c>
    </row>
    <row r="429" spans="1:8" x14ac:dyDescent="0.25">
      <c r="A429" t="s">
        <v>85</v>
      </c>
      <c r="B429">
        <v>131509</v>
      </c>
      <c r="C429" s="5">
        <v>150</v>
      </c>
      <c r="D429" s="1">
        <v>43934</v>
      </c>
      <c r="E429" t="s">
        <v>86</v>
      </c>
      <c r="F429" t="str">
        <f>"RESTITUTION-HOMER MALDONADO"</f>
        <v>RESTITUTION-HOMER MALDONADO</v>
      </c>
      <c r="G429" s="5">
        <v>150</v>
      </c>
      <c r="H429" t="str">
        <f>"RESTITUTION-HOMER MALDONADO"</f>
        <v>RESTITUTION-HOMER MALDONADO</v>
      </c>
    </row>
    <row r="430" spans="1:8" x14ac:dyDescent="0.25">
      <c r="A430" t="s">
        <v>87</v>
      </c>
      <c r="B430">
        <v>131642</v>
      </c>
      <c r="C430" s="5">
        <v>1316.02</v>
      </c>
      <c r="D430" s="1">
        <v>43939</v>
      </c>
      <c r="E430" t="str">
        <f>"202004186441"</f>
        <v>202004186441</v>
      </c>
      <c r="F430" t="str">
        <f>"ACCT#72-5613 / 04032020"</f>
        <v>ACCT#72-5613 / 04032020</v>
      </c>
      <c r="G430" s="5">
        <v>1316.02</v>
      </c>
      <c r="H430" t="str">
        <f>"ACCT#72-5613 / 04032020"</f>
        <v>ACCT#72-5613 / 04032020</v>
      </c>
    </row>
    <row r="431" spans="1:8" x14ac:dyDescent="0.25">
      <c r="A431" t="s">
        <v>88</v>
      </c>
      <c r="B431">
        <v>131471</v>
      </c>
      <c r="C431" s="5">
        <v>37022.49</v>
      </c>
      <c r="D431" s="1">
        <v>43930</v>
      </c>
      <c r="E431" t="str">
        <f>"202004096402"</f>
        <v>202004096402</v>
      </c>
      <c r="F431" t="str">
        <f>"ACCT#02-2083-04 / 03292020"</f>
        <v>ACCT#02-2083-04 / 03292020</v>
      </c>
      <c r="G431" s="5">
        <v>5266.38</v>
      </c>
      <c r="H431" t="str">
        <f>"ACCT#02-2083-04 / 03292020"</f>
        <v>ACCT#02-2083-04 / 03292020</v>
      </c>
    </row>
    <row r="432" spans="1:8" x14ac:dyDescent="0.25">
      <c r="E432" t="str">
        <f>"202004096403"</f>
        <v>202004096403</v>
      </c>
      <c r="F432" t="str">
        <f>"COUNTY DEV CTR / 03292020"</f>
        <v>COUNTY DEV CTR / 03292020</v>
      </c>
      <c r="G432" s="5">
        <v>1422.2</v>
      </c>
      <c r="H432" t="str">
        <f>"COUNTY DEV CTR / 03292020"</f>
        <v>COUNTY DEV CTR / 03292020</v>
      </c>
    </row>
    <row r="433" spans="1:8" x14ac:dyDescent="0.25">
      <c r="E433" t="str">
        <f>"202004096404"</f>
        <v>202004096404</v>
      </c>
      <c r="F433" t="str">
        <f>"COUNTY LAW ENF CTR / 03292020"</f>
        <v>COUNTY LAW ENF CTR / 03292020</v>
      </c>
      <c r="G433" s="5">
        <v>19904.63</v>
      </c>
      <c r="H433" t="str">
        <f>"COUNTY LAW ENF CTR / 03292020"</f>
        <v>COUNTY LAW ENF CTR / 03292020</v>
      </c>
    </row>
    <row r="434" spans="1:8" x14ac:dyDescent="0.25">
      <c r="E434" t="str">
        <f>"202004096405"</f>
        <v>202004096405</v>
      </c>
      <c r="F434" t="str">
        <f>"BASTROP COURTHOUSE / 03292020"</f>
        <v>BASTROP COURTHOUSE / 03292020</v>
      </c>
      <c r="G434" s="5">
        <v>10429.280000000001</v>
      </c>
      <c r="H434" t="str">
        <f>"BASTROP COURTHOUSE / 03292020"</f>
        <v>BASTROP COURTHOUSE / 03292020</v>
      </c>
    </row>
    <row r="435" spans="1:8" x14ac:dyDescent="0.25">
      <c r="A435" t="s">
        <v>88</v>
      </c>
      <c r="B435">
        <v>131679</v>
      </c>
      <c r="C435" s="5">
        <v>750</v>
      </c>
      <c r="D435" s="1">
        <v>43948</v>
      </c>
      <c r="E435" t="str">
        <f>"202004206491"</f>
        <v>202004206491</v>
      </c>
      <c r="F435" t="str">
        <f>"RENTAL-PARKING LOT"</f>
        <v>RENTAL-PARKING LOT</v>
      </c>
      <c r="G435" s="5">
        <v>750</v>
      </c>
      <c r="H435" t="str">
        <f>"RENTAL-PARKING LOT"</f>
        <v>RENTAL-PARKING LOT</v>
      </c>
    </row>
    <row r="436" spans="1:8" x14ac:dyDescent="0.25">
      <c r="A436" t="s">
        <v>89</v>
      </c>
      <c r="B436">
        <v>131472</v>
      </c>
      <c r="C436" s="5">
        <v>3279.49</v>
      </c>
      <c r="D436" s="1">
        <v>43930</v>
      </c>
      <c r="E436" t="str">
        <f>"202004096415"</f>
        <v>202004096415</v>
      </c>
      <c r="F436" t="str">
        <f>"ACCT#007-0000388-000/03252020"</f>
        <v>ACCT#007-0000388-000/03252020</v>
      </c>
      <c r="G436" s="5">
        <v>433.19</v>
      </c>
      <c r="H436" t="str">
        <f>"ACCT#007-0000388-000/03252020"</f>
        <v>ACCT#007-0000388-000/03252020</v>
      </c>
    </row>
    <row r="437" spans="1:8" x14ac:dyDescent="0.25">
      <c r="E437" t="str">
        <f>"202004096416"</f>
        <v>202004096416</v>
      </c>
      <c r="F437" t="str">
        <f>"ACCT#007-0000389-000/03252020"</f>
        <v>ACCT#007-0000389-000/03252020</v>
      </c>
      <c r="G437" s="5">
        <v>22.86</v>
      </c>
      <c r="H437" t="str">
        <f>"ACCT#007-0000389-000/03252020"</f>
        <v>ACCT#007-0000389-000/03252020</v>
      </c>
    </row>
    <row r="438" spans="1:8" x14ac:dyDescent="0.25">
      <c r="E438" t="str">
        <f>"202004096417"</f>
        <v>202004096417</v>
      </c>
      <c r="F438" t="str">
        <f>"ACCT#044-0001240-000/03252020"</f>
        <v>ACCT#044-0001240-000/03252020</v>
      </c>
      <c r="G438" s="5">
        <v>345.32</v>
      </c>
      <c r="H438" t="str">
        <f>"ACCT#044-0001240-000/03252020"</f>
        <v>ACCT#044-0001240-000/03252020</v>
      </c>
    </row>
    <row r="439" spans="1:8" x14ac:dyDescent="0.25">
      <c r="E439" t="str">
        <f>"202004096418"</f>
        <v>202004096418</v>
      </c>
      <c r="F439" t="str">
        <f>"ACCT#044-0001250-000/03252020"</f>
        <v>ACCT#044-0001250-000/03252020</v>
      </c>
      <c r="G439" s="5">
        <v>131.85</v>
      </c>
      <c r="H439" t="str">
        <f>"ACCT#044-0001250-000/03252020"</f>
        <v>ACCT#044-0001250-000/03252020</v>
      </c>
    </row>
    <row r="440" spans="1:8" x14ac:dyDescent="0.25">
      <c r="E440" t="str">
        <f>"202004096419"</f>
        <v>202004096419</v>
      </c>
      <c r="F440" t="str">
        <f>"ACCT#044-0001252-000/03252020"</f>
        <v>ACCT#044-0001252-000/03252020</v>
      </c>
      <c r="G440" s="5">
        <v>2043.12</v>
      </c>
      <c r="H440" t="str">
        <f>"ACCT#044-0001252-000/03252020"</f>
        <v>ACCT#044-0001252-000/03252020</v>
      </c>
    </row>
    <row r="441" spans="1:8" x14ac:dyDescent="0.25">
      <c r="E441" t="str">
        <f>"202004096420"</f>
        <v>202004096420</v>
      </c>
      <c r="F441" t="str">
        <f>"ACCT#044--0001253-000/03252020"</f>
        <v>ACCT#044--0001253-000/03252020</v>
      </c>
      <c r="G441" s="5">
        <v>303.14999999999998</v>
      </c>
      <c r="H441" t="str">
        <f>"ACCT#044--0001253-000/03252020"</f>
        <v>ACCT#044--0001253-000/03252020</v>
      </c>
    </row>
    <row r="442" spans="1:8" x14ac:dyDescent="0.25">
      <c r="A442" t="s">
        <v>90</v>
      </c>
      <c r="B442">
        <v>2409</v>
      </c>
      <c r="C442" s="5">
        <v>215</v>
      </c>
      <c r="D442" s="1">
        <v>43935</v>
      </c>
      <c r="E442" t="str">
        <f>"PMA-0061810"</f>
        <v>PMA-0061810</v>
      </c>
      <c r="F442" t="str">
        <f>"AGREEMENT#PMA-010644"</f>
        <v>AGREEMENT#PMA-010644</v>
      </c>
      <c r="G442" s="5">
        <v>100</v>
      </c>
      <c r="H442" t="str">
        <f>"AGREEMENT#PMA-010644"</f>
        <v>AGREEMENT#PMA-010644</v>
      </c>
    </row>
    <row r="443" spans="1:8" x14ac:dyDescent="0.25">
      <c r="E443" t="str">
        <f>"PMA-0061811"</f>
        <v>PMA-0061811</v>
      </c>
      <c r="F443" t="str">
        <f>"AGREEMENT# PMA-010648"</f>
        <v>AGREEMENT# PMA-010648</v>
      </c>
      <c r="G443" s="5">
        <v>115</v>
      </c>
      <c r="H443" t="str">
        <f>"AGREEMENT# PMA-010648"</f>
        <v>AGREEMENT# PMA-010648</v>
      </c>
    </row>
    <row r="444" spans="1:8" x14ac:dyDescent="0.25">
      <c r="A444" t="s">
        <v>90</v>
      </c>
      <c r="B444">
        <v>2488</v>
      </c>
      <c r="C444" s="5">
        <v>959</v>
      </c>
      <c r="D444" s="1">
        <v>43949</v>
      </c>
      <c r="E444" t="str">
        <f>"PMA-0062184"</f>
        <v>PMA-0062184</v>
      </c>
      <c r="F444" t="str">
        <f>"INV PMA-0062184"</f>
        <v>INV PMA-0062184</v>
      </c>
      <c r="G444" s="5">
        <v>459</v>
      </c>
      <c r="H444" t="str">
        <f>"INV PMA-0062184"</f>
        <v>INV PMA-0062184</v>
      </c>
    </row>
    <row r="445" spans="1:8" x14ac:dyDescent="0.25">
      <c r="E445" t="str">
        <f>"SVC-0099710"</f>
        <v>SVC-0099710</v>
      </c>
      <c r="F445" t="str">
        <f>"CUST#0020272/BATTERY CHARGER"</f>
        <v>CUST#0020272/BATTERY CHARGER</v>
      </c>
      <c r="G445" s="5">
        <v>500</v>
      </c>
      <c r="H445" t="str">
        <f>"CUST#0020272/BATTERY CHARGER"</f>
        <v>CUST#0020272/BATTERY CHARGER</v>
      </c>
    </row>
    <row r="446" spans="1:8" x14ac:dyDescent="0.25">
      <c r="A446" t="s">
        <v>91</v>
      </c>
      <c r="B446">
        <v>2510</v>
      </c>
      <c r="C446" s="5">
        <v>517.9</v>
      </c>
      <c r="D446" s="1">
        <v>43949</v>
      </c>
      <c r="E446" t="str">
        <f>"202003.0"</f>
        <v>202003.0</v>
      </c>
      <c r="F446" t="str">
        <f>"INV 202003.0"</f>
        <v>INV 202003.0</v>
      </c>
      <c r="G446" s="5">
        <v>314.68</v>
      </c>
      <c r="H446" t="str">
        <f>"INV 202003.0"</f>
        <v>INV 202003.0</v>
      </c>
    </row>
    <row r="447" spans="1:8" x14ac:dyDescent="0.25">
      <c r="E447" t="str">
        <f>"202004226581"</f>
        <v>202004226581</v>
      </c>
      <c r="F447" t="str">
        <f>"INDIGENT HEALTH"</f>
        <v>INDIGENT HEALTH</v>
      </c>
      <c r="G447" s="5">
        <v>203.22</v>
      </c>
      <c r="H447" t="str">
        <f>"INDIGENT HEALTH"</f>
        <v>INDIGENT HEALTH</v>
      </c>
    </row>
    <row r="448" spans="1:8" x14ac:dyDescent="0.25">
      <c r="E448" t="str">
        <f>""</f>
        <v/>
      </c>
      <c r="F448" t="str">
        <f>""</f>
        <v/>
      </c>
      <c r="H448" t="str">
        <f>"INDIGENT HEALTH"</f>
        <v>INDIGENT HEALTH</v>
      </c>
    </row>
    <row r="449" spans="1:8" x14ac:dyDescent="0.25">
      <c r="A449" t="s">
        <v>92</v>
      </c>
      <c r="B449">
        <v>131680</v>
      </c>
      <c r="C449" s="5">
        <v>29.67</v>
      </c>
      <c r="D449" s="1">
        <v>43948</v>
      </c>
      <c r="E449" t="str">
        <f>"202004226579"</f>
        <v>202004226579</v>
      </c>
      <c r="F449" t="str">
        <f>"INDIGENT HEALTH"</f>
        <v>INDIGENT HEALTH</v>
      </c>
      <c r="G449" s="5">
        <v>29.67</v>
      </c>
      <c r="H449" t="str">
        <f>"INDIGENT HEALTH"</f>
        <v>INDIGENT HEALTH</v>
      </c>
    </row>
    <row r="450" spans="1:8" x14ac:dyDescent="0.25">
      <c r="A450" t="s">
        <v>93</v>
      </c>
      <c r="B450">
        <v>131510</v>
      </c>
      <c r="C450" s="5">
        <v>1935</v>
      </c>
      <c r="D450" s="1">
        <v>43934</v>
      </c>
      <c r="E450" t="str">
        <f>"221345-11-001"</f>
        <v>221345-11-001</v>
      </c>
      <c r="F450" t="str">
        <f>"INV 221345-11-001"</f>
        <v>INV 221345-11-001</v>
      </c>
      <c r="G450" s="5">
        <v>1195</v>
      </c>
      <c r="H450" t="str">
        <f>"INV 221345-11-001"</f>
        <v>INV 221345-11-001</v>
      </c>
    </row>
    <row r="451" spans="1:8" x14ac:dyDescent="0.25">
      <c r="E451" t="str">
        <f>"221345-7-001 22134"</f>
        <v>221345-7-001 22134</v>
      </c>
      <c r="F451" t="str">
        <f>"INV 221345-7-001"</f>
        <v>INV 221345-7-001</v>
      </c>
      <c r="G451" s="5">
        <v>740</v>
      </c>
      <c r="H451" t="str">
        <f>"INV 221345-7-001"</f>
        <v>INV 221345-7-001</v>
      </c>
    </row>
    <row r="452" spans="1:8" x14ac:dyDescent="0.25">
      <c r="E452" t="str">
        <f>""</f>
        <v/>
      </c>
      <c r="F452" t="str">
        <f>""</f>
        <v/>
      </c>
      <c r="H452" t="str">
        <f>"INV 221345-8-001"</f>
        <v>INV 221345-8-001</v>
      </c>
    </row>
    <row r="453" spans="1:8" x14ac:dyDescent="0.25">
      <c r="A453" t="s">
        <v>94</v>
      </c>
      <c r="B453">
        <v>2413</v>
      </c>
      <c r="C453" s="5">
        <v>312</v>
      </c>
      <c r="D453" s="1">
        <v>43935</v>
      </c>
      <c r="E453" t="str">
        <f>"12457008551"</f>
        <v>12457008551</v>
      </c>
      <c r="F453" t="str">
        <f>"INV 12457008551"</f>
        <v>INV 12457008551</v>
      </c>
      <c r="G453" s="5">
        <v>312</v>
      </c>
      <c r="H453" t="str">
        <f>"INV 12457008551"</f>
        <v>INV 12457008551</v>
      </c>
    </row>
    <row r="454" spans="1:8" x14ac:dyDescent="0.25">
      <c r="A454" t="s">
        <v>95</v>
      </c>
      <c r="B454">
        <v>2495</v>
      </c>
      <c r="C454" s="5">
        <v>1623.74</v>
      </c>
      <c r="D454" s="1">
        <v>43949</v>
      </c>
      <c r="E454" t="str">
        <f>"202004226582"</f>
        <v>202004226582</v>
      </c>
      <c r="F454" t="str">
        <f>"INDIGENT HEALTH"</f>
        <v>INDIGENT HEALTH</v>
      </c>
      <c r="G454" s="5">
        <v>1623.74</v>
      </c>
      <c r="H454" t="str">
        <f>"INDIGENT HEALTH"</f>
        <v>INDIGENT HEALTH</v>
      </c>
    </row>
    <row r="455" spans="1:8" x14ac:dyDescent="0.25">
      <c r="E455" t="str">
        <f>""</f>
        <v/>
      </c>
      <c r="F455" t="str">
        <f>""</f>
        <v/>
      </c>
      <c r="H455" t="str">
        <f>"INDIGENT HEALTH"</f>
        <v>INDIGENT HEALTH</v>
      </c>
    </row>
    <row r="456" spans="1:8" x14ac:dyDescent="0.25">
      <c r="A456" t="s">
        <v>96</v>
      </c>
      <c r="B456">
        <v>131511</v>
      </c>
      <c r="C456" s="5">
        <v>662.4</v>
      </c>
      <c r="D456" s="1">
        <v>43934</v>
      </c>
      <c r="E456" t="str">
        <f>"20177941"</f>
        <v>20177941</v>
      </c>
      <c r="F456" t="str">
        <f>"ACCT#434304/PCT#4"</f>
        <v>ACCT#434304/PCT#4</v>
      </c>
      <c r="G456" s="5">
        <v>662.4</v>
      </c>
      <c r="H456" t="str">
        <f>"ACCT#434304/PCT#4"</f>
        <v>ACCT#434304/PCT#4</v>
      </c>
    </row>
    <row r="457" spans="1:8" x14ac:dyDescent="0.25">
      <c r="A457" t="s">
        <v>97</v>
      </c>
      <c r="B457">
        <v>131512</v>
      </c>
      <c r="C457" s="5">
        <v>360</v>
      </c>
      <c r="D457" s="1">
        <v>43934</v>
      </c>
      <c r="E457" t="str">
        <f>"20498"</f>
        <v>20498</v>
      </c>
      <c r="F457" t="str">
        <f>"PROJ:20498 RR JAIL ID 03/19/20"</f>
        <v>PROJ:20498 RR JAIL ID 03/19/20</v>
      </c>
      <c r="G457" s="5">
        <v>360</v>
      </c>
      <c r="H457" t="str">
        <f>"PROJ:20498 RR JAIL ID 03/19/20"</f>
        <v>PROJ:20498 RR JAIL ID 03/19/20</v>
      </c>
    </row>
    <row r="458" spans="1:8" x14ac:dyDescent="0.25">
      <c r="A458" t="s">
        <v>97</v>
      </c>
      <c r="B458">
        <v>131681</v>
      </c>
      <c r="C458" s="5">
        <v>1230</v>
      </c>
      <c r="D458" s="1">
        <v>43948</v>
      </c>
      <c r="E458" t="str">
        <f>"20507"</f>
        <v>20507</v>
      </c>
      <c r="F458" t="str">
        <f>"INV 20507"</f>
        <v>INV 20507</v>
      </c>
      <c r="G458" s="5">
        <v>1230</v>
      </c>
      <c r="H458" t="str">
        <f>"INV 20507"</f>
        <v>INV 20507</v>
      </c>
    </row>
    <row r="459" spans="1:8" x14ac:dyDescent="0.25">
      <c r="A459" t="s">
        <v>98</v>
      </c>
      <c r="B459">
        <v>2509</v>
      </c>
      <c r="C459" s="5">
        <v>65.27</v>
      </c>
      <c r="D459" s="1">
        <v>43949</v>
      </c>
      <c r="E459" t="str">
        <f>"IN51196"</f>
        <v>IN51196</v>
      </c>
      <c r="F459" t="str">
        <f>"PARTS / PCT#1"</f>
        <v>PARTS / PCT#1</v>
      </c>
      <c r="G459" s="5">
        <v>65.27</v>
      </c>
      <c r="H459" t="str">
        <f>"PARTS / PCT#1"</f>
        <v>PARTS / PCT#1</v>
      </c>
    </row>
    <row r="460" spans="1:8" x14ac:dyDescent="0.25">
      <c r="A460" t="s">
        <v>99</v>
      </c>
      <c r="B460">
        <v>2508</v>
      </c>
      <c r="C460" s="5">
        <v>41.76</v>
      </c>
      <c r="D460" s="1">
        <v>43949</v>
      </c>
      <c r="E460" t="str">
        <f>"247985 CVW"</f>
        <v>247985 CVW</v>
      </c>
      <c r="F460" t="str">
        <f>"PARTS PCT #3"</f>
        <v>PARTS PCT #3</v>
      </c>
      <c r="G460" s="5">
        <v>41.76</v>
      </c>
      <c r="H460" t="str">
        <f>"PARTS PCT #3"</f>
        <v>PARTS PCT #3</v>
      </c>
    </row>
    <row r="461" spans="1:8" x14ac:dyDescent="0.25">
      <c r="A461" t="s">
        <v>100</v>
      </c>
      <c r="B461">
        <v>131513</v>
      </c>
      <c r="C461" s="5">
        <v>500.81</v>
      </c>
      <c r="D461" s="1">
        <v>43934</v>
      </c>
      <c r="E461" t="str">
        <f>"SL17488"</f>
        <v>SL17488</v>
      </c>
      <c r="F461" t="str">
        <f>"ACCT#68930/ANIMAL SVCS"</f>
        <v>ACCT#68930/ANIMAL SVCS</v>
      </c>
      <c r="G461" s="5">
        <v>105.4</v>
      </c>
      <c r="H461" t="str">
        <f>"ACCT#68930/ANIMAL SVCS"</f>
        <v>ACCT#68930/ANIMAL SVCS</v>
      </c>
    </row>
    <row r="462" spans="1:8" x14ac:dyDescent="0.25">
      <c r="E462" t="str">
        <f>"SN49550"</f>
        <v>SN49550</v>
      </c>
      <c r="F462" t="str">
        <f>"ACCT#68930-000/ANIMAL SVCS"</f>
        <v>ACCT#68930-000/ANIMAL SVCS</v>
      </c>
      <c r="G462" s="5">
        <v>395.41</v>
      </c>
      <c r="H462" t="str">
        <f>"ACCT#68930-000/ANIMAL SVCS"</f>
        <v>ACCT#68930-000/ANIMAL SVCS</v>
      </c>
    </row>
    <row r="463" spans="1:8" x14ac:dyDescent="0.25">
      <c r="E463" t="str">
        <f>""</f>
        <v/>
      </c>
      <c r="F463" t="str">
        <f>""</f>
        <v/>
      </c>
      <c r="H463" t="str">
        <f>"ACCT#68930-000/ANIMAL SVCS"</f>
        <v>ACCT#68930-000/ANIMAL SVCS</v>
      </c>
    </row>
    <row r="464" spans="1:8" x14ac:dyDescent="0.25">
      <c r="E464" t="str">
        <f>""</f>
        <v/>
      </c>
      <c r="F464" t="str">
        <f>""</f>
        <v/>
      </c>
      <c r="H464" t="str">
        <f>"ACCT#68930-000/ANIMAL SVCS"</f>
        <v>ACCT#68930-000/ANIMAL SVCS</v>
      </c>
    </row>
    <row r="465" spans="1:8" x14ac:dyDescent="0.25">
      <c r="A465" t="s">
        <v>100</v>
      </c>
      <c r="B465">
        <v>131682</v>
      </c>
      <c r="C465" s="5">
        <v>208.82</v>
      </c>
      <c r="D465" s="1">
        <v>43948</v>
      </c>
      <c r="E465" t="str">
        <f>"SR26254"</f>
        <v>SR26254</v>
      </c>
      <c r="F465" t="str">
        <f>"ACCT#68930-000/ANIMAL SVCS"</f>
        <v>ACCT#68930-000/ANIMAL SVCS</v>
      </c>
      <c r="G465" s="5">
        <v>208.82</v>
      </c>
      <c r="H465" t="str">
        <f>"ACCT#68930-000/ANIMAL SVCS"</f>
        <v>ACCT#68930-000/ANIMAL SVCS</v>
      </c>
    </row>
    <row r="466" spans="1:8" x14ac:dyDescent="0.25">
      <c r="E466" t="str">
        <f>""</f>
        <v/>
      </c>
      <c r="F466" t="str">
        <f>""</f>
        <v/>
      </c>
      <c r="H466" t="str">
        <f>"ACCT#68930-000/ANIMAL SVCS"</f>
        <v>ACCT#68930-000/ANIMAL SVCS</v>
      </c>
    </row>
    <row r="467" spans="1:8" x14ac:dyDescent="0.25">
      <c r="A467" t="s">
        <v>101</v>
      </c>
      <c r="B467">
        <v>131514</v>
      </c>
      <c r="C467" s="5">
        <v>1250</v>
      </c>
      <c r="D467" s="1">
        <v>43934</v>
      </c>
      <c r="E467" t="str">
        <f>"202004076240"</f>
        <v>202004076240</v>
      </c>
      <c r="F467" t="str">
        <f>"INV FEBRUARY SERVICES"</f>
        <v>INV FEBRUARY SERVICES</v>
      </c>
      <c r="G467" s="5">
        <v>1250</v>
      </c>
      <c r="H467" t="str">
        <f>"INV FEBRUARY SERVICES"</f>
        <v>INV FEBRUARY SERVICES</v>
      </c>
    </row>
    <row r="468" spans="1:8" x14ac:dyDescent="0.25">
      <c r="A468" t="s">
        <v>101</v>
      </c>
      <c r="B468">
        <v>131683</v>
      </c>
      <c r="C468" s="5">
        <v>750</v>
      </c>
      <c r="D468" s="1">
        <v>43948</v>
      </c>
      <c r="E468" t="str">
        <f>"202004216556"</f>
        <v>202004216556</v>
      </c>
      <c r="F468" t="str">
        <f>"INV  APRIL 2020"</f>
        <v>INV  APRIL 2020</v>
      </c>
      <c r="G468" s="5">
        <v>750</v>
      </c>
      <c r="H468" t="str">
        <f>"INV  APRIL 2020"</f>
        <v>INV  APRIL 2020</v>
      </c>
    </row>
    <row r="469" spans="1:8" x14ac:dyDescent="0.25">
      <c r="A469" t="s">
        <v>102</v>
      </c>
      <c r="B469">
        <v>131515</v>
      </c>
      <c r="C469" s="5">
        <v>54.28</v>
      </c>
      <c r="D469" s="1">
        <v>43934</v>
      </c>
      <c r="E469" t="str">
        <f>"90067"</f>
        <v>90067</v>
      </c>
      <c r="F469" t="str">
        <f>"ACCT#1839/ANIMAL CONTROL"</f>
        <v>ACCT#1839/ANIMAL CONTROL</v>
      </c>
      <c r="G469" s="5">
        <v>27.14</v>
      </c>
      <c r="H469" t="str">
        <f>"ACCT#1839/ANIMAL CONTROL"</f>
        <v>ACCT#1839/ANIMAL CONTROL</v>
      </c>
    </row>
    <row r="470" spans="1:8" x14ac:dyDescent="0.25">
      <c r="E470" t="str">
        <f>"90265"</f>
        <v>90265</v>
      </c>
      <c r="F470" t="str">
        <f>"ACCT#1839/ANIMAL CONTROL"</f>
        <v>ACCT#1839/ANIMAL CONTROL</v>
      </c>
      <c r="G470" s="5">
        <v>27.14</v>
      </c>
      <c r="H470" t="str">
        <f>"ACCT#1839/ANIMAL CONTROL"</f>
        <v>ACCT#1839/ANIMAL CONTROL</v>
      </c>
    </row>
    <row r="471" spans="1:8" x14ac:dyDescent="0.25">
      <c r="A471" t="s">
        <v>102</v>
      </c>
      <c r="B471">
        <v>131684</v>
      </c>
      <c r="C471" s="5">
        <v>20.53</v>
      </c>
      <c r="D471" s="1">
        <v>43948</v>
      </c>
      <c r="E471" t="str">
        <f>"90925"</f>
        <v>90925</v>
      </c>
      <c r="F471" t="str">
        <f>"ACCT#1839/RABIES"</f>
        <v>ACCT#1839/RABIES</v>
      </c>
      <c r="G471" s="5">
        <v>20.53</v>
      </c>
      <c r="H471" t="str">
        <f>"ACCT#1839/RABIES"</f>
        <v>ACCT#1839/RABIES</v>
      </c>
    </row>
    <row r="472" spans="1:8" x14ac:dyDescent="0.25">
      <c r="A472" t="s">
        <v>103</v>
      </c>
      <c r="B472">
        <v>131516</v>
      </c>
      <c r="C472" s="5">
        <v>577.5</v>
      </c>
      <c r="D472" s="1">
        <v>43934</v>
      </c>
      <c r="E472" t="str">
        <f>"202004036173"</f>
        <v>202004036173</v>
      </c>
      <c r="F472" t="str">
        <f>"Sign Shop Equipment"</f>
        <v>Sign Shop Equipment</v>
      </c>
      <c r="G472" s="5">
        <v>577.5</v>
      </c>
      <c r="H472" t="str">
        <f>"RPEPJACKJJ0500"</f>
        <v>RPEPJACKJJ0500</v>
      </c>
    </row>
    <row r="473" spans="1:8" x14ac:dyDescent="0.25">
      <c r="E473" t="str">
        <f>""</f>
        <v/>
      </c>
      <c r="F473" t="str">
        <f>""</f>
        <v/>
      </c>
      <c r="H473" t="str">
        <f>"Freight"</f>
        <v>Freight</v>
      </c>
    </row>
    <row r="474" spans="1:8" x14ac:dyDescent="0.25">
      <c r="A474" t="s">
        <v>104</v>
      </c>
      <c r="B474">
        <v>131517</v>
      </c>
      <c r="C474" s="5">
        <v>1173.8</v>
      </c>
      <c r="D474" s="1">
        <v>43934</v>
      </c>
      <c r="E474" t="str">
        <f>"082086"</f>
        <v>082086</v>
      </c>
      <c r="F474" t="str">
        <f>"CUST#BCO001/PCT#2"</f>
        <v>CUST#BCO001/PCT#2</v>
      </c>
      <c r="G474" s="5">
        <v>1173.8</v>
      </c>
      <c r="H474" t="str">
        <f>"CUST#BCO001/PCT#2"</f>
        <v>CUST#BCO001/PCT#2</v>
      </c>
    </row>
    <row r="475" spans="1:8" x14ac:dyDescent="0.25">
      <c r="A475" t="s">
        <v>105</v>
      </c>
      <c r="B475">
        <v>131518</v>
      </c>
      <c r="C475" s="5">
        <v>160</v>
      </c>
      <c r="D475" s="1">
        <v>43934</v>
      </c>
      <c r="E475" t="str">
        <f>"13128"</f>
        <v>13128</v>
      </c>
      <c r="F475" t="str">
        <f>"SERVICE  02/26/2020"</f>
        <v>SERVICE  02/26/2020</v>
      </c>
      <c r="G475" s="5">
        <v>80</v>
      </c>
      <c r="H475" t="str">
        <f>"SERVICE  02/26/2020"</f>
        <v>SERVICE  02/26/2020</v>
      </c>
    </row>
    <row r="476" spans="1:8" x14ac:dyDescent="0.25">
      <c r="E476" t="str">
        <f>"13354"</f>
        <v>13354</v>
      </c>
      <c r="F476" t="str">
        <f>"SERVICE  02/19/2020"</f>
        <v>SERVICE  02/19/2020</v>
      </c>
      <c r="G476" s="5">
        <v>80</v>
      </c>
      <c r="H476" t="str">
        <f>"SERVICE  02/19/2020"</f>
        <v>SERVICE  02/19/2020</v>
      </c>
    </row>
    <row r="477" spans="1:8" x14ac:dyDescent="0.25">
      <c r="A477" t="s">
        <v>105</v>
      </c>
      <c r="B477">
        <v>131685</v>
      </c>
      <c r="C477" s="5">
        <v>160</v>
      </c>
      <c r="D477" s="1">
        <v>43948</v>
      </c>
      <c r="E477" t="str">
        <f>"12833"</f>
        <v>12833</v>
      </c>
      <c r="F477" t="str">
        <f>"SERVICE  02/27/20"</f>
        <v>SERVICE  02/27/20</v>
      </c>
      <c r="G477" s="5">
        <v>80</v>
      </c>
      <c r="H477" t="str">
        <f>"SERVICE  02/27/20"</f>
        <v>SERVICE  02/27/20</v>
      </c>
    </row>
    <row r="478" spans="1:8" x14ac:dyDescent="0.25">
      <c r="E478" t="str">
        <f>"13351"</f>
        <v>13351</v>
      </c>
      <c r="F478" t="str">
        <f>"SERVICE"</f>
        <v>SERVICE</v>
      </c>
      <c r="G478" s="5">
        <v>80</v>
      </c>
      <c r="H478" t="str">
        <f>"SERVICE"</f>
        <v>SERVICE</v>
      </c>
    </row>
    <row r="479" spans="1:8" x14ac:dyDescent="0.25">
      <c r="A479" t="s">
        <v>106</v>
      </c>
      <c r="B479">
        <v>131686</v>
      </c>
      <c r="C479" s="5">
        <v>2600</v>
      </c>
      <c r="D479" s="1">
        <v>43948</v>
      </c>
      <c r="E479" t="str">
        <f>"202004206454"</f>
        <v>202004206454</v>
      </c>
      <c r="F479" t="str">
        <f>"16047"</f>
        <v>16047</v>
      </c>
      <c r="G479" s="5">
        <v>400</v>
      </c>
      <c r="H479" t="str">
        <f>"16047"</f>
        <v>16047</v>
      </c>
    </row>
    <row r="480" spans="1:8" x14ac:dyDescent="0.25">
      <c r="E480" t="str">
        <f>"202004206455"</f>
        <v>202004206455</v>
      </c>
      <c r="F480" t="str">
        <f>"1487-335"</f>
        <v>1487-335</v>
      </c>
      <c r="G480" s="5">
        <v>100</v>
      </c>
      <c r="H480" t="str">
        <f>"1487-335"</f>
        <v>1487-335</v>
      </c>
    </row>
    <row r="481" spans="5:8" x14ac:dyDescent="0.25">
      <c r="E481" t="str">
        <f>"202004206456"</f>
        <v>202004206456</v>
      </c>
      <c r="F481" t="str">
        <f>"1483-21"</f>
        <v>1483-21</v>
      </c>
      <c r="G481" s="5">
        <v>100</v>
      </c>
      <c r="H481" t="str">
        <f>"1483-21"</f>
        <v>1483-21</v>
      </c>
    </row>
    <row r="482" spans="5:8" x14ac:dyDescent="0.25">
      <c r="E482" t="str">
        <f>"202004206457"</f>
        <v>202004206457</v>
      </c>
      <c r="F482" t="str">
        <f>"1421-21"</f>
        <v>1421-21</v>
      </c>
      <c r="G482" s="5">
        <v>100</v>
      </c>
      <c r="H482" t="str">
        <f>"1421-21"</f>
        <v>1421-21</v>
      </c>
    </row>
    <row r="483" spans="5:8" x14ac:dyDescent="0.25">
      <c r="E483" t="str">
        <f>"202004206458"</f>
        <v>202004206458</v>
      </c>
      <c r="F483" t="str">
        <f>"423-7193"</f>
        <v>423-7193</v>
      </c>
      <c r="G483" s="5">
        <v>100</v>
      </c>
      <c r="H483" t="str">
        <f>"423-7193"</f>
        <v>423-7193</v>
      </c>
    </row>
    <row r="484" spans="5:8" x14ac:dyDescent="0.25">
      <c r="E484" t="str">
        <f>"202004206459"</f>
        <v>202004206459</v>
      </c>
      <c r="F484" t="str">
        <f>"1468-21"</f>
        <v>1468-21</v>
      </c>
      <c r="G484" s="5">
        <v>100</v>
      </c>
      <c r="H484" t="str">
        <f>"1468-21"</f>
        <v>1468-21</v>
      </c>
    </row>
    <row r="485" spans="5:8" x14ac:dyDescent="0.25">
      <c r="E485" t="str">
        <f>"202004206460"</f>
        <v>202004206460</v>
      </c>
      <c r="F485" t="str">
        <f>"1472-335"</f>
        <v>1472-335</v>
      </c>
      <c r="G485" s="5">
        <v>100</v>
      </c>
      <c r="H485" t="str">
        <f>"1472-335"</f>
        <v>1472-335</v>
      </c>
    </row>
    <row r="486" spans="5:8" x14ac:dyDescent="0.25">
      <c r="E486" t="str">
        <f>"202004206461"</f>
        <v>202004206461</v>
      </c>
      <c r="F486" t="str">
        <f>"1469-21"</f>
        <v>1469-21</v>
      </c>
      <c r="G486" s="5">
        <v>100</v>
      </c>
      <c r="H486" t="str">
        <f>"1469-21"</f>
        <v>1469-21</v>
      </c>
    </row>
    <row r="487" spans="5:8" x14ac:dyDescent="0.25">
      <c r="E487" t="str">
        <f>"202004206462"</f>
        <v>202004206462</v>
      </c>
      <c r="F487" t="str">
        <f>"1473-335"</f>
        <v>1473-335</v>
      </c>
      <c r="G487" s="5">
        <v>100</v>
      </c>
      <c r="H487" t="str">
        <f>"1473-335"</f>
        <v>1473-335</v>
      </c>
    </row>
    <row r="488" spans="5:8" x14ac:dyDescent="0.25">
      <c r="E488" t="str">
        <f>"202004206463"</f>
        <v>202004206463</v>
      </c>
      <c r="F488" t="str">
        <f>"1488-335"</f>
        <v>1488-335</v>
      </c>
      <c r="G488" s="5">
        <v>100</v>
      </c>
      <c r="H488" t="str">
        <f>"1488-335"</f>
        <v>1488-335</v>
      </c>
    </row>
    <row r="489" spans="5:8" x14ac:dyDescent="0.25">
      <c r="E489" t="str">
        <f>"202004206464"</f>
        <v>202004206464</v>
      </c>
      <c r="F489" t="str">
        <f>"423-7070"</f>
        <v>423-7070</v>
      </c>
      <c r="G489" s="5">
        <v>200</v>
      </c>
      <c r="H489" t="str">
        <f>"423-7070"</f>
        <v>423-7070</v>
      </c>
    </row>
    <row r="490" spans="5:8" x14ac:dyDescent="0.25">
      <c r="E490" t="str">
        <f>"202004206465"</f>
        <v>202004206465</v>
      </c>
      <c r="F490" t="str">
        <f>"1466-335"</f>
        <v>1466-335</v>
      </c>
      <c r="G490" s="5">
        <v>100</v>
      </c>
      <c r="H490" t="str">
        <f>"1466-335"</f>
        <v>1466-335</v>
      </c>
    </row>
    <row r="491" spans="5:8" x14ac:dyDescent="0.25">
      <c r="E491" t="str">
        <f>"202004206466"</f>
        <v>202004206466</v>
      </c>
      <c r="F491" t="str">
        <f>"1447-21"</f>
        <v>1447-21</v>
      </c>
      <c r="G491" s="5">
        <v>100</v>
      </c>
      <c r="H491" t="str">
        <f>"1447-21"</f>
        <v>1447-21</v>
      </c>
    </row>
    <row r="492" spans="5:8" x14ac:dyDescent="0.25">
      <c r="E492" t="str">
        <f>"202004206467"</f>
        <v>202004206467</v>
      </c>
      <c r="F492" t="str">
        <f>"423-7171"</f>
        <v>423-7171</v>
      </c>
      <c r="G492" s="5">
        <v>100</v>
      </c>
      <c r="H492" t="str">
        <f>"423-7171"</f>
        <v>423-7171</v>
      </c>
    </row>
    <row r="493" spans="5:8" x14ac:dyDescent="0.25">
      <c r="E493" t="str">
        <f>"202004216505"</f>
        <v>202004216505</v>
      </c>
      <c r="F493" t="str">
        <f>"402012-11"</f>
        <v>402012-11</v>
      </c>
      <c r="G493" s="5">
        <v>200</v>
      </c>
      <c r="H493" t="str">
        <f>"402012-11"</f>
        <v>402012-11</v>
      </c>
    </row>
    <row r="494" spans="5:8" x14ac:dyDescent="0.25">
      <c r="E494" t="str">
        <f>"202004216506"</f>
        <v>202004216506</v>
      </c>
      <c r="F494" t="str">
        <f>"402012.13"</f>
        <v>402012.13</v>
      </c>
      <c r="G494" s="5">
        <v>200</v>
      </c>
      <c r="H494" t="str">
        <f>"402012.13"</f>
        <v>402012.13</v>
      </c>
    </row>
    <row r="495" spans="5:8" x14ac:dyDescent="0.25">
      <c r="E495" t="str">
        <f>"202004216507"</f>
        <v>202004216507</v>
      </c>
      <c r="F495" t="str">
        <f>"20-20154"</f>
        <v>20-20154</v>
      </c>
      <c r="G495" s="5">
        <v>100</v>
      </c>
      <c r="H495" t="str">
        <f>"20-20154"</f>
        <v>20-20154</v>
      </c>
    </row>
    <row r="496" spans="5:8" x14ac:dyDescent="0.25">
      <c r="E496" t="str">
        <f>"202004216508"</f>
        <v>202004216508</v>
      </c>
      <c r="F496" t="str">
        <f>"N/A"</f>
        <v>N/A</v>
      </c>
      <c r="G496" s="5">
        <v>100</v>
      </c>
      <c r="H496" t="str">
        <f>"N/A"</f>
        <v>N/A</v>
      </c>
    </row>
    <row r="497" spans="1:8" x14ac:dyDescent="0.25">
      <c r="E497" t="str">
        <f>"202004216510"</f>
        <v>202004216510</v>
      </c>
      <c r="F497" t="str">
        <f>"20-20170"</f>
        <v>20-20170</v>
      </c>
      <c r="G497" s="5">
        <v>100</v>
      </c>
      <c r="H497" t="str">
        <f>"20-20170"</f>
        <v>20-20170</v>
      </c>
    </row>
    <row r="498" spans="1:8" x14ac:dyDescent="0.25">
      <c r="E498" t="str">
        <f>"202004216511"</f>
        <v>202004216511</v>
      </c>
      <c r="F498" t="str">
        <f>"20-20153"</f>
        <v>20-20153</v>
      </c>
      <c r="G498" s="5">
        <v>100</v>
      </c>
      <c r="H498" t="str">
        <f>"20-20153"</f>
        <v>20-20153</v>
      </c>
    </row>
    <row r="499" spans="1:8" x14ac:dyDescent="0.25">
      <c r="A499" t="s">
        <v>107</v>
      </c>
      <c r="B499">
        <v>131519</v>
      </c>
      <c r="C499" s="5">
        <v>1198</v>
      </c>
      <c r="D499" s="1">
        <v>43934</v>
      </c>
      <c r="E499" t="str">
        <f>"1191086"</f>
        <v>1191086</v>
      </c>
      <c r="F499" t="str">
        <f>"INV 1191086"</f>
        <v>INV 1191086</v>
      </c>
      <c r="G499" s="5">
        <v>319.60000000000002</v>
      </c>
      <c r="H499" t="str">
        <f>"INV 1191086"</f>
        <v>INV 1191086</v>
      </c>
    </row>
    <row r="500" spans="1:8" x14ac:dyDescent="0.25">
      <c r="E500" t="str">
        <f>"INV1192109"</f>
        <v>INV1192109</v>
      </c>
      <c r="F500" t="str">
        <f>"INV1192109"</f>
        <v>INV1192109</v>
      </c>
      <c r="G500" s="5">
        <v>878.4</v>
      </c>
      <c r="H500" t="str">
        <f>"INV1192109"</f>
        <v>INV1192109</v>
      </c>
    </row>
    <row r="501" spans="1:8" x14ac:dyDescent="0.25">
      <c r="A501" t="s">
        <v>108</v>
      </c>
      <c r="B501">
        <v>131520</v>
      </c>
      <c r="C501" s="5">
        <v>100</v>
      </c>
      <c r="D501" s="1">
        <v>43934</v>
      </c>
      <c r="E501" t="str">
        <f>"202004036146"</f>
        <v>202004036146</v>
      </c>
      <c r="F501" t="str">
        <f>"LEGAL CONSULT SVCS-MARCH 2020"</f>
        <v>LEGAL CONSULT SVCS-MARCH 2020</v>
      </c>
      <c r="G501" s="5">
        <v>100</v>
      </c>
      <c r="H501" t="str">
        <f>"LEGAL CONSULT SVCS-MARCH 2020"</f>
        <v>LEGAL CONSULT SVCS-MARCH 2020</v>
      </c>
    </row>
    <row r="502" spans="1:8" x14ac:dyDescent="0.25">
      <c r="A502" t="s">
        <v>109</v>
      </c>
      <c r="B502">
        <v>131521</v>
      </c>
      <c r="C502" s="5">
        <v>124.08</v>
      </c>
      <c r="D502" s="1">
        <v>43934</v>
      </c>
      <c r="E502" t="str">
        <f>"10383361826"</f>
        <v>10383361826</v>
      </c>
      <c r="F502" t="str">
        <f>"External DVD Drive"</f>
        <v>External DVD Drive</v>
      </c>
      <c r="G502" s="5">
        <v>44.09</v>
      </c>
      <c r="H502" t="str">
        <f>"External DVD Drive"</f>
        <v>External DVD Drive</v>
      </c>
    </row>
    <row r="503" spans="1:8" x14ac:dyDescent="0.25">
      <c r="E503" t="str">
        <f>""</f>
        <v/>
      </c>
      <c r="F503" t="str">
        <f>""</f>
        <v/>
      </c>
      <c r="H503" t="str">
        <f>"Premier Discount"</f>
        <v>Premier Discount</v>
      </c>
    </row>
    <row r="504" spans="1:8" x14ac:dyDescent="0.25">
      <c r="E504" t="str">
        <f>"10383388241"</f>
        <v>10383388241</v>
      </c>
      <c r="F504" t="str">
        <f>"Dell Order"</f>
        <v>Dell Order</v>
      </c>
      <c r="G504" s="5">
        <v>79.989999999999995</v>
      </c>
      <c r="H504" t="str">
        <f>"MS14SSFRW"</f>
        <v>MS14SSFRW</v>
      </c>
    </row>
    <row r="505" spans="1:8" x14ac:dyDescent="0.25">
      <c r="A505" t="s">
        <v>110</v>
      </c>
      <c r="B505">
        <v>2446</v>
      </c>
      <c r="C505" s="5">
        <v>2110</v>
      </c>
      <c r="D505" s="1">
        <v>43935</v>
      </c>
      <c r="E505" t="str">
        <f>"BATX016716"</f>
        <v>BATX016716</v>
      </c>
      <c r="F505" t="str">
        <f>"INV BATX016716"</f>
        <v>INV BATX016716</v>
      </c>
      <c r="G505" s="5">
        <v>2110</v>
      </c>
      <c r="H505" t="str">
        <f>"INV BATX016716"</f>
        <v>INV BATX016716</v>
      </c>
    </row>
    <row r="506" spans="1:8" x14ac:dyDescent="0.25">
      <c r="A506" t="s">
        <v>111</v>
      </c>
      <c r="B506">
        <v>131522</v>
      </c>
      <c r="C506" s="5">
        <v>55</v>
      </c>
      <c r="D506" s="1">
        <v>43934</v>
      </c>
      <c r="E506" t="str">
        <f>"26406"</f>
        <v>26406</v>
      </c>
      <c r="F506" t="str">
        <f>"INV 26406"</f>
        <v>INV 26406</v>
      </c>
      <c r="G506" s="5">
        <v>45</v>
      </c>
      <c r="H506" t="str">
        <f>"INV 26406"</f>
        <v>INV 26406</v>
      </c>
    </row>
    <row r="507" spans="1:8" x14ac:dyDescent="0.25">
      <c r="E507" t="str">
        <f>"26469"</f>
        <v>26469</v>
      </c>
      <c r="F507" t="str">
        <f>"INV 26469"</f>
        <v>INV 26469</v>
      </c>
      <c r="G507" s="5">
        <v>10</v>
      </c>
      <c r="H507" t="str">
        <f>"INV 26469"</f>
        <v>INV 26469</v>
      </c>
    </row>
    <row r="508" spans="1:8" x14ac:dyDescent="0.25">
      <c r="A508" t="s">
        <v>112</v>
      </c>
      <c r="B508">
        <v>131523</v>
      </c>
      <c r="C508" s="5">
        <v>12545.34</v>
      </c>
      <c r="D508" s="1">
        <v>43934</v>
      </c>
      <c r="E508" t="str">
        <f>"20021123N"</f>
        <v>20021123N</v>
      </c>
      <c r="F508" t="str">
        <f>"CUST#PKE5000/FEBRUARY 2020"</f>
        <v>CUST#PKE5000/FEBRUARY 2020</v>
      </c>
      <c r="G508" s="5">
        <v>12545.34</v>
      </c>
      <c r="H508" t="str">
        <f>"CUST#PKE5000/FEBRUARY 2020"</f>
        <v>CUST#PKE5000/FEBRUARY 2020</v>
      </c>
    </row>
    <row r="509" spans="1:8" x14ac:dyDescent="0.25">
      <c r="E509" t="str">
        <f>""</f>
        <v/>
      </c>
      <c r="F509" t="str">
        <f>""</f>
        <v/>
      </c>
      <c r="H509" t="str">
        <f>"CUST#PKE5000/FEBRUARY 2020"</f>
        <v>CUST#PKE5000/FEBRUARY 2020</v>
      </c>
    </row>
    <row r="510" spans="1:8" x14ac:dyDescent="0.25">
      <c r="A510" t="s">
        <v>113</v>
      </c>
      <c r="B510">
        <v>131524</v>
      </c>
      <c r="C510" s="5">
        <v>50.41</v>
      </c>
      <c r="D510" s="1">
        <v>43934</v>
      </c>
      <c r="E510" t="str">
        <f>"15120"</f>
        <v>15120</v>
      </c>
      <c r="F510" t="str">
        <f>"CUTTING CHRG W/TORCH/PCT#3"</f>
        <v>CUTTING CHRG W/TORCH/PCT#3</v>
      </c>
      <c r="G510" s="5">
        <v>50.41</v>
      </c>
      <c r="H510" t="str">
        <f>"CUTTING CHRG W/TORCH/PCT#3"</f>
        <v>CUTTING CHRG W/TORCH/PCT#3</v>
      </c>
    </row>
    <row r="511" spans="1:8" x14ac:dyDescent="0.25">
      <c r="A511" t="s">
        <v>114</v>
      </c>
      <c r="B511">
        <v>131525</v>
      </c>
      <c r="C511" s="5">
        <v>1142</v>
      </c>
      <c r="D511" s="1">
        <v>43934</v>
      </c>
      <c r="E511" t="str">
        <f>"2835623"</f>
        <v>2835623</v>
      </c>
      <c r="F511" t="str">
        <f>"ACCT#27917/PCT#1"</f>
        <v>ACCT#27917/PCT#1</v>
      </c>
      <c r="G511" s="5">
        <v>84</v>
      </c>
      <c r="H511" t="str">
        <f>"ACCT#27917/PCT#1"</f>
        <v>ACCT#27917/PCT#1</v>
      </c>
    </row>
    <row r="512" spans="1:8" x14ac:dyDescent="0.25">
      <c r="E512" t="str">
        <f>"2837625"</f>
        <v>2837625</v>
      </c>
      <c r="F512" t="str">
        <f>"ACCT#27917/PCT#4"</f>
        <v>ACCT#27917/PCT#4</v>
      </c>
      <c r="G512" s="5">
        <v>1058</v>
      </c>
      <c r="H512" t="str">
        <f>"ACCT#27917/PCT#4"</f>
        <v>ACCT#27917/PCT#4</v>
      </c>
    </row>
    <row r="513" spans="1:8" x14ac:dyDescent="0.25">
      <c r="A513" t="s">
        <v>114</v>
      </c>
      <c r="B513">
        <v>131687</v>
      </c>
      <c r="C513" s="5">
        <v>878.5</v>
      </c>
      <c r="D513" s="1">
        <v>43948</v>
      </c>
      <c r="E513" t="str">
        <f>"202004206487"</f>
        <v>202004206487</v>
      </c>
      <c r="F513" t="str">
        <f>"ACCT#27917/TIRES"</f>
        <v>ACCT#27917/TIRES</v>
      </c>
      <c r="G513" s="5">
        <v>487</v>
      </c>
      <c r="H513" t="str">
        <f>"ACCT#27917/TIRES"</f>
        <v>ACCT#27917/TIRES</v>
      </c>
    </row>
    <row r="514" spans="1:8" x14ac:dyDescent="0.25">
      <c r="E514" t="str">
        <f>"2835987"</f>
        <v>2835987</v>
      </c>
      <c r="F514" t="str">
        <f>"ACCT#27917/2009 FORD"</f>
        <v>ACCT#27917/2009 FORD</v>
      </c>
      <c r="G514" s="5">
        <v>391.5</v>
      </c>
      <c r="H514" t="str">
        <f>"ACCT#27917/2009 FORD"</f>
        <v>ACCT#27917/2009 FORD</v>
      </c>
    </row>
    <row r="515" spans="1:8" x14ac:dyDescent="0.25">
      <c r="A515" t="s">
        <v>115</v>
      </c>
      <c r="B515">
        <v>131767</v>
      </c>
      <c r="C515" s="5">
        <v>749.4</v>
      </c>
      <c r="D515" s="1">
        <v>43948</v>
      </c>
      <c r="E515" t="str">
        <f>"202004276607"</f>
        <v>202004276607</v>
      </c>
      <c r="F515" t="str">
        <f>"ACCT#405900029213 / 05012020"</f>
        <v>ACCT#405900029213 / 05012020</v>
      </c>
      <c r="G515" s="5">
        <v>374.7</v>
      </c>
      <c r="H515" t="str">
        <f>"ACCT#405900029213 / 05012020"</f>
        <v>ACCT#405900029213 / 05012020</v>
      </c>
    </row>
    <row r="516" spans="1:8" x14ac:dyDescent="0.25">
      <c r="E516" t="str">
        <f>"202004276608"</f>
        <v>202004276608</v>
      </c>
      <c r="F516" t="str">
        <f>"ACCT#4059000029225 / 05012020"</f>
        <v>ACCT#4059000029225 / 05012020</v>
      </c>
      <c r="G516" s="5">
        <v>187.35</v>
      </c>
      <c r="H516" t="str">
        <f>"ACCT#4059000029225 / 05012020"</f>
        <v>ACCT#4059000029225 / 05012020</v>
      </c>
    </row>
    <row r="517" spans="1:8" x14ac:dyDescent="0.25">
      <c r="E517" t="str">
        <f>"202004276609"</f>
        <v>202004276609</v>
      </c>
      <c r="F517" t="str">
        <f>"ACCT#4059000028789 / 05012020"</f>
        <v>ACCT#4059000028789 / 05012020</v>
      </c>
      <c r="G517" s="5">
        <v>187.35</v>
      </c>
      <c r="H517" t="str">
        <f>"ACCT#4059000028789 / 05012020"</f>
        <v>ACCT#4059000028789 / 05012020</v>
      </c>
    </row>
    <row r="518" spans="1:8" x14ac:dyDescent="0.25">
      <c r="A518" t="s">
        <v>116</v>
      </c>
      <c r="B518">
        <v>2430</v>
      </c>
      <c r="C518" s="5">
        <v>2079.9499999999998</v>
      </c>
      <c r="D518" s="1">
        <v>43935</v>
      </c>
      <c r="E518" t="str">
        <f>"249484B"</f>
        <v>249484B</v>
      </c>
      <c r="F518" t="str">
        <f>"INV 29484B"</f>
        <v>INV 29484B</v>
      </c>
      <c r="G518" s="5">
        <v>2079.9499999999998</v>
      </c>
      <c r="H518" t="str">
        <f>"INV 29484B"</f>
        <v>INV 29484B</v>
      </c>
    </row>
    <row r="519" spans="1:8" x14ac:dyDescent="0.25">
      <c r="A519" t="s">
        <v>117</v>
      </c>
      <c r="B519">
        <v>131526</v>
      </c>
      <c r="C519" s="5">
        <v>225</v>
      </c>
      <c r="D519" s="1">
        <v>43934</v>
      </c>
      <c r="E519" t="str">
        <f>"202004086391"</f>
        <v>202004086391</v>
      </c>
      <c r="F519" t="str">
        <f>"3/16 PRESS CONFERENCE"</f>
        <v>3/16 PRESS CONFERENCE</v>
      </c>
      <c r="G519" s="5">
        <v>225</v>
      </c>
      <c r="H519" t="str">
        <f>"3/16 PRESS CONFERENCE"</f>
        <v>3/16 PRESS CONFERENCE</v>
      </c>
    </row>
    <row r="520" spans="1:8" x14ac:dyDescent="0.25">
      <c r="A520" t="s">
        <v>118</v>
      </c>
      <c r="B520">
        <v>2475</v>
      </c>
      <c r="C520" s="5">
        <v>3737.5</v>
      </c>
      <c r="D520" s="1">
        <v>43935</v>
      </c>
      <c r="E520" t="str">
        <f>"202003256080"</f>
        <v>202003256080</v>
      </c>
      <c r="F520" t="str">
        <f>"423-7184"</f>
        <v>423-7184</v>
      </c>
      <c r="G520" s="5">
        <v>100</v>
      </c>
      <c r="H520" t="str">
        <f>"423-7184"</f>
        <v>423-7184</v>
      </c>
    </row>
    <row r="521" spans="1:8" x14ac:dyDescent="0.25">
      <c r="E521" t="str">
        <f>"202003256081"</f>
        <v>202003256081</v>
      </c>
      <c r="F521" t="str">
        <f>"1481-335 1477-21 423-7185 1478"</f>
        <v>1481-335 1477-21 423-7185 1478</v>
      </c>
      <c r="G521" s="5">
        <v>400</v>
      </c>
      <c r="H521" t="str">
        <f>"1481-335 1477-21 423-7185 1478"</f>
        <v>1481-335 1477-21 423-7185 1478</v>
      </c>
    </row>
    <row r="522" spans="1:8" x14ac:dyDescent="0.25">
      <c r="E522" t="str">
        <f>"202003256082"</f>
        <v>202003256082</v>
      </c>
      <c r="F522" t="str">
        <f>"1480-335"</f>
        <v>1480-335</v>
      </c>
      <c r="G522" s="5">
        <v>100</v>
      </c>
      <c r="H522" t="str">
        <f>"1480-335"</f>
        <v>1480-335</v>
      </c>
    </row>
    <row r="523" spans="1:8" x14ac:dyDescent="0.25">
      <c r="E523" t="str">
        <f>"202003256083"</f>
        <v>202003256083</v>
      </c>
      <c r="F523" t="str">
        <f>"17078"</f>
        <v>17078</v>
      </c>
      <c r="G523" s="5">
        <v>400</v>
      </c>
      <c r="H523" t="str">
        <f>"17078"</f>
        <v>17078</v>
      </c>
    </row>
    <row r="524" spans="1:8" x14ac:dyDescent="0.25">
      <c r="E524" t="str">
        <f>"202003256084"</f>
        <v>202003256084</v>
      </c>
      <c r="F524" t="str">
        <f>"16705"</f>
        <v>16705</v>
      </c>
      <c r="G524" s="5">
        <v>400</v>
      </c>
      <c r="H524" t="str">
        <f>"16705"</f>
        <v>16705</v>
      </c>
    </row>
    <row r="525" spans="1:8" x14ac:dyDescent="0.25">
      <c r="E525" t="str">
        <f>"202003256085"</f>
        <v>202003256085</v>
      </c>
      <c r="F525" t="str">
        <f>"16949"</f>
        <v>16949</v>
      </c>
      <c r="G525" s="5">
        <v>400</v>
      </c>
      <c r="H525" t="str">
        <f>"16949"</f>
        <v>16949</v>
      </c>
    </row>
    <row r="526" spans="1:8" x14ac:dyDescent="0.25">
      <c r="E526" t="str">
        <f>"202003256086"</f>
        <v>202003256086</v>
      </c>
      <c r="F526" t="str">
        <f>"17105"</f>
        <v>17105</v>
      </c>
      <c r="G526" s="5">
        <v>400</v>
      </c>
      <c r="H526" t="str">
        <f>"17105"</f>
        <v>17105</v>
      </c>
    </row>
    <row r="527" spans="1:8" x14ac:dyDescent="0.25">
      <c r="E527" t="str">
        <f>"202003256087"</f>
        <v>202003256087</v>
      </c>
      <c r="F527" t="str">
        <f>"1476-21"</f>
        <v>1476-21</v>
      </c>
      <c r="G527" s="5">
        <v>100</v>
      </c>
      <c r="H527" t="str">
        <f>"1476-21"</f>
        <v>1476-21</v>
      </c>
    </row>
    <row r="528" spans="1:8" x14ac:dyDescent="0.25">
      <c r="E528" t="str">
        <f>"202003306115"</f>
        <v>202003306115</v>
      </c>
      <c r="F528" t="str">
        <f>"JP101152020F"</f>
        <v>JP101152020F</v>
      </c>
      <c r="G528" s="5">
        <v>400</v>
      </c>
      <c r="H528" t="str">
        <f>"JP101152020F"</f>
        <v>JP101152020F</v>
      </c>
    </row>
    <row r="529" spans="1:8" x14ac:dyDescent="0.25">
      <c r="E529" t="str">
        <f>"202004076334"</f>
        <v>202004076334</v>
      </c>
      <c r="F529" t="str">
        <f>"18-19166"</f>
        <v>18-19166</v>
      </c>
      <c r="G529" s="5">
        <v>400</v>
      </c>
      <c r="H529" t="str">
        <f>"18-19166"</f>
        <v>18-19166</v>
      </c>
    </row>
    <row r="530" spans="1:8" x14ac:dyDescent="0.25">
      <c r="E530" t="str">
        <f>"202004076335"</f>
        <v>202004076335</v>
      </c>
      <c r="F530" t="str">
        <f>"19-19567"</f>
        <v>19-19567</v>
      </c>
      <c r="G530" s="5">
        <v>187.5</v>
      </c>
      <c r="H530" t="str">
        <f>"19-19567"</f>
        <v>19-19567</v>
      </c>
    </row>
    <row r="531" spans="1:8" x14ac:dyDescent="0.25">
      <c r="E531" t="str">
        <f>"202004076336"</f>
        <v>202004076336</v>
      </c>
      <c r="F531" t="str">
        <f>"JP10115202DE"</f>
        <v>JP10115202DE</v>
      </c>
      <c r="G531" s="5">
        <v>250</v>
      </c>
      <c r="H531" t="str">
        <f>"JP10115202DE"</f>
        <v>JP10115202DE</v>
      </c>
    </row>
    <row r="532" spans="1:8" x14ac:dyDescent="0.25">
      <c r="E532" t="str">
        <f>"202004076337"</f>
        <v>202004076337</v>
      </c>
      <c r="F532" t="str">
        <f>"20-20164  20-20165"</f>
        <v>20-20164  20-20165</v>
      </c>
      <c r="G532" s="5">
        <v>200</v>
      </c>
      <c r="H532" t="str">
        <f>"20-20164  20-20165"</f>
        <v>20-20164  20-20165</v>
      </c>
    </row>
    <row r="533" spans="1:8" x14ac:dyDescent="0.25">
      <c r="A533" t="s">
        <v>118</v>
      </c>
      <c r="B533">
        <v>2532</v>
      </c>
      <c r="C533" s="5">
        <v>600</v>
      </c>
      <c r="D533" s="1">
        <v>43949</v>
      </c>
      <c r="E533" t="str">
        <f>"202004216502"</f>
        <v>202004216502</v>
      </c>
      <c r="F533" t="str">
        <f>"19-19940"</f>
        <v>19-19940</v>
      </c>
      <c r="G533" s="5">
        <v>150</v>
      </c>
      <c r="H533" t="str">
        <f>"19-19940"</f>
        <v>19-19940</v>
      </c>
    </row>
    <row r="534" spans="1:8" x14ac:dyDescent="0.25">
      <c r="E534" t="str">
        <f>"202004216503"</f>
        <v>202004216503</v>
      </c>
      <c r="F534" t="str">
        <f>"19-19963"</f>
        <v>19-19963</v>
      </c>
      <c r="G534" s="5">
        <v>225</v>
      </c>
      <c r="H534" t="str">
        <f>"19-19963"</f>
        <v>19-19963</v>
      </c>
    </row>
    <row r="535" spans="1:8" x14ac:dyDescent="0.25">
      <c r="E535" t="str">
        <f>"202004216504"</f>
        <v>202004216504</v>
      </c>
      <c r="F535" t="str">
        <f>"20-20130"</f>
        <v>20-20130</v>
      </c>
      <c r="G535" s="5">
        <v>225</v>
      </c>
      <c r="H535" t="str">
        <f>"20-20130"</f>
        <v>20-20130</v>
      </c>
    </row>
    <row r="536" spans="1:8" x14ac:dyDescent="0.25">
      <c r="A536" t="s">
        <v>119</v>
      </c>
      <c r="B536">
        <v>131527</v>
      </c>
      <c r="C536" s="5">
        <v>3520</v>
      </c>
      <c r="D536" s="1">
        <v>43934</v>
      </c>
      <c r="E536" t="str">
        <f>"008"</f>
        <v>008</v>
      </c>
      <c r="F536" t="str">
        <f>"16 LOADS ROAD BASE/PCT#3"</f>
        <v>16 LOADS ROAD BASE/PCT#3</v>
      </c>
      <c r="G536" s="5">
        <v>3520</v>
      </c>
      <c r="H536" t="str">
        <f>"16 LOADS ROAD BASE/PCT#3"</f>
        <v>16 LOADS ROAD BASE/PCT#3</v>
      </c>
    </row>
    <row r="537" spans="1:8" x14ac:dyDescent="0.25">
      <c r="A537" t="s">
        <v>120</v>
      </c>
      <c r="B537">
        <v>131528</v>
      </c>
      <c r="C537" s="5">
        <v>196</v>
      </c>
      <c r="D537" s="1">
        <v>43934</v>
      </c>
      <c r="E537" t="str">
        <f>"202004036166"</f>
        <v>202004036166</v>
      </c>
      <c r="F537" t="str">
        <f>"FIRST AID SPRAY/PCT#2"</f>
        <v>FIRST AID SPRAY/PCT#2</v>
      </c>
      <c r="G537" s="5">
        <v>196</v>
      </c>
      <c r="H537" t="str">
        <f>"FIRST AID SPRAY/PCT#2"</f>
        <v>FIRST AID SPRAY/PCT#2</v>
      </c>
    </row>
    <row r="538" spans="1:8" x14ac:dyDescent="0.25">
      <c r="A538" t="s">
        <v>121</v>
      </c>
      <c r="B538">
        <v>2448</v>
      </c>
      <c r="C538" s="5">
        <v>1228.75</v>
      </c>
      <c r="D538" s="1">
        <v>43935</v>
      </c>
      <c r="E538" t="str">
        <f>"96359420  62549322"</f>
        <v>96359420  62549322</v>
      </c>
      <c r="F538" t="str">
        <f>"INV 96359420"</f>
        <v>INV 96359420</v>
      </c>
      <c r="G538" s="5">
        <v>1228.75</v>
      </c>
      <c r="H538" t="str">
        <f>"INV 96359420"</f>
        <v>INV 96359420</v>
      </c>
    </row>
    <row r="539" spans="1:8" x14ac:dyDescent="0.25">
      <c r="E539" t="str">
        <f>""</f>
        <v/>
      </c>
      <c r="F539" t="str">
        <f>""</f>
        <v/>
      </c>
      <c r="H539" t="str">
        <f>"INV 6254932280"</f>
        <v>INV 6254932280</v>
      </c>
    </row>
    <row r="540" spans="1:8" x14ac:dyDescent="0.25">
      <c r="A540" t="s">
        <v>121</v>
      </c>
      <c r="B540">
        <v>2512</v>
      </c>
      <c r="C540" s="5">
        <v>444.28</v>
      </c>
      <c r="D540" s="1">
        <v>43949</v>
      </c>
      <c r="E540" t="str">
        <f>"6255010291"</f>
        <v>6255010291</v>
      </c>
      <c r="F540" t="str">
        <f>"INV 6255010291"</f>
        <v>INV 6255010291</v>
      </c>
      <c r="G540" s="5">
        <v>444.28</v>
      </c>
      <c r="H540" t="str">
        <f>"INV 6255010291"</f>
        <v>INV 6255010291</v>
      </c>
    </row>
    <row r="541" spans="1:8" x14ac:dyDescent="0.25">
      <c r="A541" t="s">
        <v>122</v>
      </c>
      <c r="B541">
        <v>131529</v>
      </c>
      <c r="C541" s="5">
        <v>4737</v>
      </c>
      <c r="D541" s="1">
        <v>43934</v>
      </c>
      <c r="E541" t="str">
        <f>"1125649"</f>
        <v>1125649</v>
      </c>
      <c r="F541" t="str">
        <f>"ACCT#B06875/AUDIO"</f>
        <v>ACCT#B06875/AUDIO</v>
      </c>
      <c r="G541" s="5">
        <v>1235</v>
      </c>
      <c r="H541" t="str">
        <f>"ACCT#B06875/AUDIO"</f>
        <v>ACCT#B06875/AUDIO</v>
      </c>
    </row>
    <row r="542" spans="1:8" x14ac:dyDescent="0.25">
      <c r="E542" t="str">
        <f>"1125725"</f>
        <v>1125725</v>
      </c>
      <c r="F542" t="str">
        <f>"ACCT#B06875/AUDIO 05/02"</f>
        <v>ACCT#B06875/AUDIO 05/02</v>
      </c>
      <c r="G542" s="5">
        <v>1232.5</v>
      </c>
      <c r="H542" t="str">
        <f>"ACCT#B06875/AUDIO 05/02"</f>
        <v>ACCT#B06875/AUDIO 05/02</v>
      </c>
    </row>
    <row r="543" spans="1:8" x14ac:dyDescent="0.25">
      <c r="E543" t="str">
        <f>"1125910"</f>
        <v>1125910</v>
      </c>
      <c r="F543" t="str">
        <f>"ACCT#B06875/LAYOUT"</f>
        <v>ACCT#B06875/LAYOUT</v>
      </c>
      <c r="G543" s="5">
        <v>147</v>
      </c>
      <c r="H543" t="str">
        <f>"ACCT#B06875/LAYOUT"</f>
        <v>ACCT#B06875/LAYOUT</v>
      </c>
    </row>
    <row r="544" spans="1:8" x14ac:dyDescent="0.25">
      <c r="E544" t="str">
        <f>"1126096"</f>
        <v>1126096</v>
      </c>
      <c r="F544" t="str">
        <f>"ACCT#B06875/AUDIO"</f>
        <v>ACCT#B06875/AUDIO</v>
      </c>
      <c r="G544" s="5">
        <v>1314</v>
      </c>
      <c r="H544" t="str">
        <f>"ACCT#B06875/AUDIO"</f>
        <v>ACCT#B06875/AUDIO</v>
      </c>
    </row>
    <row r="545" spans="1:8" x14ac:dyDescent="0.25">
      <c r="E545" t="str">
        <f>"1128389"</f>
        <v>1128389</v>
      </c>
      <c r="F545" t="str">
        <f>"ACCT#B06875/ELECTIONS"</f>
        <v>ACCT#B06875/ELECTIONS</v>
      </c>
      <c r="G545" s="5">
        <v>441</v>
      </c>
      <c r="H545" t="str">
        <f>"ACCT#B06875/ELECTIONS"</f>
        <v>ACCT#B06875/ELECTIONS</v>
      </c>
    </row>
    <row r="546" spans="1:8" x14ac:dyDescent="0.25">
      <c r="E546" t="str">
        <f>"1128390"</f>
        <v>1128390</v>
      </c>
      <c r="F546" t="str">
        <f>"ACCT#B06875/ELECTIONS"</f>
        <v>ACCT#B06875/ELECTIONS</v>
      </c>
      <c r="G546" s="5">
        <v>367.5</v>
      </c>
      <c r="H546" t="str">
        <f>"ACCT#B06875/ELECTIONS"</f>
        <v>ACCT#B06875/ELECTIONS</v>
      </c>
    </row>
    <row r="547" spans="1:8" x14ac:dyDescent="0.25">
      <c r="A547" t="s">
        <v>123</v>
      </c>
      <c r="B547">
        <v>2447</v>
      </c>
      <c r="C547" s="5">
        <v>285</v>
      </c>
      <c r="D547" s="1">
        <v>43935</v>
      </c>
      <c r="E547" t="str">
        <f>"52421-22464 / 2446"</f>
        <v>52421-22464 / 2446</v>
      </c>
      <c r="F547" t="str">
        <f>"RFP 20BCP03A"</f>
        <v>RFP 20BCP03A</v>
      </c>
      <c r="G547" s="5">
        <v>190</v>
      </c>
      <c r="H547" t="str">
        <f>"RFP 20BCP03A"</f>
        <v>RFP 20BCP03A</v>
      </c>
    </row>
    <row r="548" spans="1:8" x14ac:dyDescent="0.25">
      <c r="E548" t="str">
        <f>"52421-22701"</f>
        <v>52421-22701</v>
      </c>
      <c r="F548" t="str">
        <f>"BLACKLANDS PUBLICATIONS INC"</f>
        <v>BLACKLANDS PUBLICATIONS INC</v>
      </c>
      <c r="G548" s="5">
        <v>95</v>
      </c>
      <c r="H548" t="str">
        <f>"March 2020 Auction"</f>
        <v>March 2020 Auction</v>
      </c>
    </row>
    <row r="549" spans="1:8" x14ac:dyDescent="0.25">
      <c r="A549" t="s">
        <v>124</v>
      </c>
      <c r="B549">
        <v>131688</v>
      </c>
      <c r="C549" s="5">
        <v>125760.94</v>
      </c>
      <c r="D549" s="1">
        <v>43948</v>
      </c>
      <c r="E549" t="str">
        <f>"202004226580"</f>
        <v>202004226580</v>
      </c>
      <c r="F549" t="str">
        <f>"FY19/20 ELGIN TIF AD VALOREM"</f>
        <v>FY19/20 ELGIN TIF AD VALOREM</v>
      </c>
      <c r="G549" s="5">
        <v>125760.94</v>
      </c>
      <c r="H549" t="str">
        <f>"FY19/20 ELGIN TIF AD VALOREM"</f>
        <v>FY19/20 ELGIN TIF AD VALOREM</v>
      </c>
    </row>
    <row r="550" spans="1:8" x14ac:dyDescent="0.25">
      <c r="A550" t="s">
        <v>125</v>
      </c>
      <c r="B550">
        <v>131473</v>
      </c>
      <c r="C550" s="5">
        <v>1294.1600000000001</v>
      </c>
      <c r="D550" s="1">
        <v>43930</v>
      </c>
      <c r="E550" t="str">
        <f>"202004096406"</f>
        <v>202004096406</v>
      </c>
      <c r="F550" t="str">
        <f>"ACCT#007-0008410-002/03312020"</f>
        <v>ACCT#007-0008410-002/03312020</v>
      </c>
      <c r="G550" s="5">
        <v>235.34</v>
      </c>
      <c r="H550" t="str">
        <f>"ACCT#007-0008410-002/03312020"</f>
        <v>ACCT#007-0008410-002/03312020</v>
      </c>
    </row>
    <row r="551" spans="1:8" x14ac:dyDescent="0.25">
      <c r="E551" t="str">
        <f>"202004096407"</f>
        <v>202004096407</v>
      </c>
      <c r="F551" t="str">
        <f>"ACCT#007-0011501-000/03312020"</f>
        <v>ACCT#007-0011501-000/03312020</v>
      </c>
      <c r="G551" s="5">
        <v>306.88</v>
      </c>
      <c r="H551" t="str">
        <f>"ACCT#007-0011501-000/03312020"</f>
        <v>ACCT#007-0011501-000/03312020</v>
      </c>
    </row>
    <row r="552" spans="1:8" x14ac:dyDescent="0.25">
      <c r="E552" t="str">
        <f>"202004096408"</f>
        <v>202004096408</v>
      </c>
      <c r="F552" t="str">
        <f>"ACCT#007-0011510-000/03312020"</f>
        <v>ACCT#007-0011510-000/03312020</v>
      </c>
      <c r="G552" s="5">
        <v>240.58</v>
      </c>
      <c r="H552" t="str">
        <f>"ACCT#007-0011510-000/03312020"</f>
        <v>ACCT#007-0011510-000/03312020</v>
      </c>
    </row>
    <row r="553" spans="1:8" x14ac:dyDescent="0.25">
      <c r="E553" t="str">
        <f>"202004096409"</f>
        <v>202004096409</v>
      </c>
      <c r="F553" t="str">
        <f>"ACCT#007-0011530-000/03312020"</f>
        <v>ACCT#007-0011530-000/03312020</v>
      </c>
      <c r="G553" s="5">
        <v>98.12</v>
      </c>
      <c r="H553" t="str">
        <f>"CITY OF ELGIN UTILITIES"</f>
        <v>CITY OF ELGIN UTILITIES</v>
      </c>
    </row>
    <row r="554" spans="1:8" x14ac:dyDescent="0.25">
      <c r="E554" t="str">
        <f>"202004096410"</f>
        <v>202004096410</v>
      </c>
      <c r="F554" t="str">
        <f>"ACCT#007-0011534-001/03312020"</f>
        <v>ACCT#007-0011534-001/03312020</v>
      </c>
      <c r="G554" s="5">
        <v>169.3</v>
      </c>
      <c r="H554" t="str">
        <f>"ACCT#007-0011534-001/03312020"</f>
        <v>ACCT#007-0011534-001/03312020</v>
      </c>
    </row>
    <row r="555" spans="1:8" x14ac:dyDescent="0.25">
      <c r="E555" t="str">
        <f>"202004096411"</f>
        <v>202004096411</v>
      </c>
      <c r="F555" t="str">
        <f>"ACCT#007-0011535-000/03312020"</f>
        <v>ACCT#007-0011535-000/03312020</v>
      </c>
      <c r="G555" s="5">
        <v>112.62</v>
      </c>
      <c r="H555" t="str">
        <f>"ACCT#007-0011535-000/03312020"</f>
        <v>ACCT#007-0011535-000/03312020</v>
      </c>
    </row>
    <row r="556" spans="1:8" x14ac:dyDescent="0.25">
      <c r="E556" t="str">
        <f>"202004096412"</f>
        <v>202004096412</v>
      </c>
      <c r="F556" t="str">
        <f>"ACCT#007-0011544-001/03312020"</f>
        <v>ACCT#007-0011544-001/03312020</v>
      </c>
      <c r="G556" s="5">
        <v>131.32</v>
      </c>
      <c r="H556" t="str">
        <f>"ACCT#007-0011544-001/03312020"</f>
        <v>ACCT#007-0011544-001/03312020</v>
      </c>
    </row>
    <row r="557" spans="1:8" x14ac:dyDescent="0.25">
      <c r="A557" t="s">
        <v>126</v>
      </c>
      <c r="B557">
        <v>131530</v>
      </c>
      <c r="C557" s="5">
        <v>27</v>
      </c>
      <c r="D557" s="1">
        <v>43934</v>
      </c>
      <c r="E557" t="str">
        <f>"145-36023-04"</f>
        <v>145-36023-04</v>
      </c>
      <c r="F557" t="str">
        <f>"inv# 145-36023-04"</f>
        <v>inv# 145-36023-04</v>
      </c>
      <c r="G557" s="5">
        <v>27</v>
      </c>
      <c r="H557" t="str">
        <f>"inv# 145-36023-04"</f>
        <v>inv# 145-36023-04</v>
      </c>
    </row>
    <row r="558" spans="1:8" x14ac:dyDescent="0.25">
      <c r="A558" t="s">
        <v>127</v>
      </c>
      <c r="B558">
        <v>131531</v>
      </c>
      <c r="C558" s="5">
        <v>6686.68</v>
      </c>
      <c r="D558" s="1">
        <v>43934</v>
      </c>
      <c r="E558" t="str">
        <f>"9402218882"</f>
        <v>9402218882</v>
      </c>
      <c r="F558" t="str">
        <f>"ACCT#912923/BOL#26348/PCT#4"</f>
        <v>ACCT#912923/BOL#26348/PCT#4</v>
      </c>
      <c r="G558" s="5">
        <v>6686.68</v>
      </c>
      <c r="H558" t="str">
        <f>"ACCT#912923/BOL#26348/PCT#4"</f>
        <v>ACCT#912923/BOL#26348/PCT#4</v>
      </c>
    </row>
    <row r="559" spans="1:8" x14ac:dyDescent="0.25">
      <c r="A559" t="s">
        <v>127</v>
      </c>
      <c r="B559">
        <v>131689</v>
      </c>
      <c r="C559" s="5">
        <v>4809.5</v>
      </c>
      <c r="D559" s="1">
        <v>43948</v>
      </c>
      <c r="E559" t="str">
        <f>"9402234096"</f>
        <v>9402234096</v>
      </c>
      <c r="F559" t="str">
        <f>"EACCT#912922/BOL#26471/PCT#1"</f>
        <v>EACCT#912922/BOL#26471/PCT#1</v>
      </c>
      <c r="G559" s="5">
        <v>4809.5</v>
      </c>
      <c r="H559" t="str">
        <f>"EACCT#912922/BOL#26471/PCT#1"</f>
        <v>EACCT#912922/BOL#26471/PCT#1</v>
      </c>
    </row>
    <row r="560" spans="1:8" x14ac:dyDescent="0.25">
      <c r="A560" t="s">
        <v>128</v>
      </c>
      <c r="B560">
        <v>131690</v>
      </c>
      <c r="C560" s="5">
        <v>31.05</v>
      </c>
      <c r="D560" s="1">
        <v>43948</v>
      </c>
      <c r="E560" t="str">
        <f>"202004226566"</f>
        <v>202004226566</v>
      </c>
      <c r="F560" t="str">
        <f>"MILEAGE REIMBURSEMENT"</f>
        <v>MILEAGE REIMBURSEMENT</v>
      </c>
      <c r="G560" s="5">
        <v>31.05</v>
      </c>
      <c r="H560" t="str">
        <f>"MILEAGE REIMBURSEMENT"</f>
        <v>MILEAGE REIMBURSEMENT</v>
      </c>
    </row>
    <row r="561" spans="1:8" x14ac:dyDescent="0.25">
      <c r="A561" t="s">
        <v>129</v>
      </c>
      <c r="B561">
        <v>2439</v>
      </c>
      <c r="C561" s="5">
        <v>3199.84</v>
      </c>
      <c r="D561" s="1">
        <v>43935</v>
      </c>
      <c r="E561" t="str">
        <f>"202004036145"</f>
        <v>202004036145</v>
      </c>
      <c r="F561" t="str">
        <f>"DEC 1-MARCH 30/TRANS IMPROV"</f>
        <v>DEC 1-MARCH 30/TRANS IMPROV</v>
      </c>
      <c r="G561" s="5">
        <v>3199.84</v>
      </c>
      <c r="H561" t="str">
        <f>"DEC 1-MARCH 30/TRANS IMPROV"</f>
        <v>DEC 1-MARCH 30/TRANS IMPROV</v>
      </c>
    </row>
    <row r="562" spans="1:8" x14ac:dyDescent="0.25">
      <c r="A562" t="s">
        <v>130</v>
      </c>
      <c r="B562">
        <v>2449</v>
      </c>
      <c r="C562" s="5">
        <v>8478.66</v>
      </c>
      <c r="D562" s="1">
        <v>43935</v>
      </c>
      <c r="E562" t="str">
        <f>"202004036143"</f>
        <v>202004036143</v>
      </c>
      <c r="F562" t="str">
        <f>"GRANT REIMBURSEMENT"</f>
        <v>GRANT REIMBURSEMENT</v>
      </c>
      <c r="G562" s="5">
        <v>8478.66</v>
      </c>
      <c r="H562" t="str">
        <f>"GRANT REIMBURSEMENT"</f>
        <v>GRANT REIMBURSEMENT</v>
      </c>
    </row>
    <row r="563" spans="1:8" x14ac:dyDescent="0.25">
      <c r="A563" t="s">
        <v>130</v>
      </c>
      <c r="B563">
        <v>2513</v>
      </c>
      <c r="C563" s="5">
        <v>11000</v>
      </c>
      <c r="D563" s="1">
        <v>43949</v>
      </c>
      <c r="E563" t="str">
        <f>"202004206488"</f>
        <v>202004206488</v>
      </c>
      <c r="F563" t="str">
        <f>"FY 2019/2020"</f>
        <v>FY 2019/2020</v>
      </c>
      <c r="G563" s="5">
        <v>11000</v>
      </c>
      <c r="H563" t="str">
        <f>"FY 2019/2020"</f>
        <v>FY 2019/2020</v>
      </c>
    </row>
    <row r="564" spans="1:8" x14ac:dyDescent="0.25">
      <c r="A564" t="s">
        <v>131</v>
      </c>
      <c r="B564">
        <v>131691</v>
      </c>
      <c r="C564" s="5">
        <v>67.75</v>
      </c>
      <c r="D564" s="1">
        <v>43948</v>
      </c>
      <c r="E564" t="str">
        <f>"202004226583"</f>
        <v>202004226583</v>
      </c>
      <c r="F564" t="str">
        <f>"INDIGENT HEALTH"</f>
        <v>INDIGENT HEALTH</v>
      </c>
      <c r="G564" s="5">
        <v>67.75</v>
      </c>
      <c r="H564" t="str">
        <f>"INDIGENT HEALTH"</f>
        <v>INDIGENT HEALTH</v>
      </c>
    </row>
    <row r="565" spans="1:8" x14ac:dyDescent="0.25">
      <c r="A565" t="s">
        <v>132</v>
      </c>
      <c r="B565">
        <v>131532</v>
      </c>
      <c r="C565" s="5">
        <v>40.89</v>
      </c>
      <c r="D565" s="1">
        <v>43934</v>
      </c>
      <c r="E565" t="str">
        <f>"6-961-69419"</f>
        <v>6-961-69419</v>
      </c>
      <c r="F565" t="str">
        <f>"ACCT#1230-5243-9/TAX OFFICE"</f>
        <v>ACCT#1230-5243-9/TAX OFFICE</v>
      </c>
      <c r="G565" s="5">
        <v>40.89</v>
      </c>
      <c r="H565" t="str">
        <f>"ACCT#1230-5243-9/TAX OFFICE"</f>
        <v>ACCT#1230-5243-9/TAX OFFICE</v>
      </c>
    </row>
    <row r="566" spans="1:8" x14ac:dyDescent="0.25">
      <c r="A566" t="s">
        <v>132</v>
      </c>
      <c r="B566">
        <v>131692</v>
      </c>
      <c r="C566" s="5">
        <v>31.01</v>
      </c>
      <c r="D566" s="1">
        <v>43948</v>
      </c>
      <c r="E566" t="str">
        <f>"202004216557"</f>
        <v>202004216557</v>
      </c>
      <c r="F566" t="str">
        <f>"INV 6-987-15643"</f>
        <v>INV 6-987-15643</v>
      </c>
      <c r="G566" s="5">
        <v>31.01</v>
      </c>
      <c r="H566" t="str">
        <f>"TRACK #770133930475"</f>
        <v>TRACK #770133930475</v>
      </c>
    </row>
    <row r="567" spans="1:8" x14ac:dyDescent="0.25">
      <c r="E567" t="str">
        <f>""</f>
        <v/>
      </c>
      <c r="F567" t="str">
        <f>""</f>
        <v/>
      </c>
      <c r="H567" t="str">
        <f>"TRACK #770141914363"</f>
        <v>TRACK #770141914363</v>
      </c>
    </row>
    <row r="568" spans="1:8" x14ac:dyDescent="0.25">
      <c r="E568" t="str">
        <f>""</f>
        <v/>
      </c>
      <c r="F568" t="str">
        <f>""</f>
        <v/>
      </c>
      <c r="H568" t="str">
        <f>"TRACK #770166770133"</f>
        <v>TRACK #770166770133</v>
      </c>
    </row>
    <row r="569" spans="1:8" x14ac:dyDescent="0.25">
      <c r="A569" t="s">
        <v>133</v>
      </c>
      <c r="B569">
        <v>131533</v>
      </c>
      <c r="C569" s="5">
        <v>912.63</v>
      </c>
      <c r="D569" s="1">
        <v>43934</v>
      </c>
      <c r="E569" t="str">
        <f>"48084791"</f>
        <v>48084791</v>
      </c>
      <c r="F569" t="str">
        <f>"ACCT#80975-001/FREIGHT/PCT#3"</f>
        <v>ACCT#80975-001/FREIGHT/PCT#3</v>
      </c>
      <c r="G569" s="5">
        <v>114.25</v>
      </c>
      <c r="H569" t="str">
        <f>"ACCT#80975-001/FREIGHT/PCT#3"</f>
        <v>ACCT#80975-001/FREIGHT/PCT#3</v>
      </c>
    </row>
    <row r="570" spans="1:8" x14ac:dyDescent="0.25">
      <c r="E570" t="str">
        <f>"48368975"</f>
        <v>48368975</v>
      </c>
      <c r="F570" t="str">
        <f>"ACCT#80975-001/PCT#2"</f>
        <v>ACCT#80975-001/PCT#2</v>
      </c>
      <c r="G570" s="5">
        <v>344.96</v>
      </c>
      <c r="H570" t="str">
        <f>"ACCT#80975-001/PCT#2"</f>
        <v>ACCT#80975-001/PCT#2</v>
      </c>
    </row>
    <row r="571" spans="1:8" x14ac:dyDescent="0.25">
      <c r="E571" t="str">
        <f>"48469592"</f>
        <v>48469592</v>
      </c>
      <c r="F571" t="str">
        <f>"ACCT#80975-002/PCT#4"</f>
        <v>ACCT#80975-002/PCT#4</v>
      </c>
      <c r="G571" s="5">
        <v>453.42</v>
      </c>
      <c r="H571" t="str">
        <f>"ACCT#80975-002/PCT#4"</f>
        <v>ACCT#80975-002/PCT#4</v>
      </c>
    </row>
    <row r="572" spans="1:8" x14ac:dyDescent="0.25">
      <c r="A572" t="s">
        <v>134</v>
      </c>
      <c r="B572">
        <v>2484</v>
      </c>
      <c r="C572" s="5">
        <v>135</v>
      </c>
      <c r="D572" s="1">
        <v>43949</v>
      </c>
      <c r="E572" t="str">
        <f>"202004206481"</f>
        <v>202004206481</v>
      </c>
      <c r="F572" t="str">
        <f>"REIMBURSE BAIL BOND COUPONS"</f>
        <v>REIMBURSE BAIL BOND COUPONS</v>
      </c>
      <c r="G572" s="5">
        <v>135</v>
      </c>
      <c r="H572" t="str">
        <f>"REIMBURSE BAIL BOND COUPONS"</f>
        <v>REIMBURSE BAIL BOND COUPONS</v>
      </c>
    </row>
    <row r="573" spans="1:8" x14ac:dyDescent="0.25">
      <c r="A573" t="s">
        <v>135</v>
      </c>
      <c r="B573">
        <v>131534</v>
      </c>
      <c r="C573" s="5">
        <v>50</v>
      </c>
      <c r="D573" s="1">
        <v>43934</v>
      </c>
      <c r="E573" t="s">
        <v>136</v>
      </c>
      <c r="F573" t="str">
        <f>"RESTITUTION-D. CORKILL"</f>
        <v>RESTITUTION-D. CORKILL</v>
      </c>
      <c r="G573" s="5">
        <v>50</v>
      </c>
      <c r="H573" t="str">
        <f>"RESTITUTION-D. CORKILL"</f>
        <v>RESTITUTION-D. CORKILL</v>
      </c>
    </row>
    <row r="574" spans="1:8" x14ac:dyDescent="0.25">
      <c r="A574" t="s">
        <v>137</v>
      </c>
      <c r="B574">
        <v>2450</v>
      </c>
      <c r="C574" s="5">
        <v>750</v>
      </c>
      <c r="D574" s="1">
        <v>43935</v>
      </c>
      <c r="E574" t="str">
        <f>"202004076308"</f>
        <v>202004076308</v>
      </c>
      <c r="F574" t="str">
        <f>"4121191"</f>
        <v>4121191</v>
      </c>
      <c r="G574" s="5">
        <v>250</v>
      </c>
      <c r="H574" t="str">
        <f>"4121191"</f>
        <v>4121191</v>
      </c>
    </row>
    <row r="575" spans="1:8" x14ac:dyDescent="0.25">
      <c r="E575" t="str">
        <f>"202004076309"</f>
        <v>202004076309</v>
      </c>
      <c r="F575" t="str">
        <f>"57 310  57 309  57 160"</f>
        <v>57 310  57 309  57 160</v>
      </c>
      <c r="G575" s="5">
        <v>500</v>
      </c>
      <c r="H575" t="str">
        <f>"57 310  57 309  57 160"</f>
        <v>57 310  57 309  57 160</v>
      </c>
    </row>
    <row r="576" spans="1:8" x14ac:dyDescent="0.25">
      <c r="A576" t="s">
        <v>138</v>
      </c>
      <c r="B576">
        <v>2442</v>
      </c>
      <c r="C576" s="5">
        <v>167230.92000000001</v>
      </c>
      <c r="D576" s="1">
        <v>43935</v>
      </c>
      <c r="E576" t="str">
        <f>"CM37495AP"</f>
        <v>CM37495AP</v>
      </c>
      <c r="F576" t="str">
        <f>"ACCT#3326/PCT#2"</f>
        <v>ACCT#3326/PCT#2</v>
      </c>
      <c r="G576" s="5">
        <v>-164.93</v>
      </c>
      <c r="H576" t="str">
        <f>"ACCT#3326/PCT#2"</f>
        <v>ACCT#3326/PCT#2</v>
      </c>
    </row>
    <row r="577" spans="1:8" x14ac:dyDescent="0.25">
      <c r="E577" t="str">
        <f>"202004076235"</f>
        <v>202004076235</v>
      </c>
      <c r="F577" t="str">
        <f>"Tractor and trailer"</f>
        <v>Tractor and trailer</v>
      </c>
      <c r="G577" s="5">
        <v>163316</v>
      </c>
      <c r="H577" t="str">
        <f>"Trailer- selling Pri"</f>
        <v>Trailer- selling Pri</v>
      </c>
    </row>
    <row r="578" spans="1:8" x14ac:dyDescent="0.25">
      <c r="E578" t="str">
        <f>""</f>
        <v/>
      </c>
      <c r="F578" t="str">
        <f>""</f>
        <v/>
      </c>
      <c r="H578" t="str">
        <f>"Trailer-Air Suspensi"</f>
        <v>Trailer-Air Suspensi</v>
      </c>
    </row>
    <row r="579" spans="1:8" x14ac:dyDescent="0.25">
      <c r="E579" t="str">
        <f>""</f>
        <v/>
      </c>
      <c r="F579" t="str">
        <f>""</f>
        <v/>
      </c>
      <c r="H579" t="str">
        <f>"Trailer- FlipTarp"</f>
        <v>Trailer- FlipTarp</v>
      </c>
    </row>
    <row r="580" spans="1:8" x14ac:dyDescent="0.25">
      <c r="E580" t="str">
        <f>""</f>
        <v/>
      </c>
      <c r="F580" t="str">
        <f>""</f>
        <v/>
      </c>
      <c r="H580" t="str">
        <f>"Trailer-Freight"</f>
        <v>Trailer-Freight</v>
      </c>
    </row>
    <row r="581" spans="1:8" x14ac:dyDescent="0.25">
      <c r="E581" t="str">
        <f>""</f>
        <v/>
      </c>
      <c r="F581" t="str">
        <f>""</f>
        <v/>
      </c>
      <c r="H581" t="str">
        <f>"Tractor- Selling"</f>
        <v>Tractor- Selling</v>
      </c>
    </row>
    <row r="582" spans="1:8" x14ac:dyDescent="0.25">
      <c r="E582" t="str">
        <f>""</f>
        <v/>
      </c>
      <c r="F582" t="str">
        <f>""</f>
        <v/>
      </c>
      <c r="H582" t="str">
        <f>"Tractor-Belly Dump"</f>
        <v>Tractor-Belly Dump</v>
      </c>
    </row>
    <row r="583" spans="1:8" x14ac:dyDescent="0.25">
      <c r="E583" t="str">
        <f>""</f>
        <v/>
      </c>
      <c r="F583" t="str">
        <f>""</f>
        <v/>
      </c>
      <c r="H583" t="str">
        <f>"Tractor-Tarp"</f>
        <v>Tractor-Tarp</v>
      </c>
    </row>
    <row r="584" spans="1:8" x14ac:dyDescent="0.25">
      <c r="E584" t="str">
        <f>""</f>
        <v/>
      </c>
      <c r="F584" t="str">
        <f>""</f>
        <v/>
      </c>
      <c r="H584" t="str">
        <f>"Tractor- Fenders"</f>
        <v>Tractor- Fenders</v>
      </c>
    </row>
    <row r="585" spans="1:8" x14ac:dyDescent="0.25">
      <c r="E585" t="str">
        <f>""</f>
        <v/>
      </c>
      <c r="F585" t="str">
        <f>""</f>
        <v/>
      </c>
      <c r="H585" t="str">
        <f>"Tractor-BuyBoard Fee"</f>
        <v>Tractor-BuyBoard Fee</v>
      </c>
    </row>
    <row r="586" spans="1:8" x14ac:dyDescent="0.25">
      <c r="E586" t="str">
        <f>"37348AP"</f>
        <v>37348AP</v>
      </c>
      <c r="F586" t="str">
        <f>"ACCT#3326/PCT#4"</f>
        <v>ACCT#3326/PCT#4</v>
      </c>
      <c r="G586" s="5">
        <v>380.31</v>
      </c>
      <c r="H586" t="str">
        <f>"ACCT#3326/PCT#4"</f>
        <v>ACCT#3326/PCT#4</v>
      </c>
    </row>
    <row r="587" spans="1:8" x14ac:dyDescent="0.25">
      <c r="E587" t="str">
        <f>"37357AP"</f>
        <v>37357AP</v>
      </c>
      <c r="F587" t="str">
        <f>"ACCT#3326/ORD#J1 PCT 4/PCT#4"</f>
        <v>ACCT#3326/ORD#J1 PCT 4/PCT#4</v>
      </c>
      <c r="G587" s="5">
        <v>118.24</v>
      </c>
      <c r="H587" t="str">
        <f>"ACCT#3326/ORD#J1 PCT 4/PCT#4"</f>
        <v>ACCT#3326/ORD#J1 PCT 4/PCT#4</v>
      </c>
    </row>
    <row r="588" spans="1:8" x14ac:dyDescent="0.25">
      <c r="E588" t="str">
        <f>"37495AP"</f>
        <v>37495AP</v>
      </c>
      <c r="F588" t="str">
        <f>"ACCT#3326/PCT#2"</f>
        <v>ACCT#3326/PCT#2</v>
      </c>
      <c r="G588" s="5">
        <v>164.93</v>
      </c>
      <c r="H588" t="str">
        <f>"ACCT#3326/PCT#2"</f>
        <v>ACCT#3326/PCT#2</v>
      </c>
    </row>
    <row r="589" spans="1:8" x14ac:dyDescent="0.25">
      <c r="E589" t="str">
        <f>"37574AP"</f>
        <v>37574AP</v>
      </c>
      <c r="F589" t="str">
        <f>"ACCT#3326/PCT#4"</f>
        <v>ACCT#3326/PCT#4</v>
      </c>
      <c r="G589" s="5">
        <v>22.44</v>
      </c>
      <c r="H589" t="str">
        <f>"ACCT#3326/PCT#4"</f>
        <v>ACCT#3326/PCT#4</v>
      </c>
    </row>
    <row r="590" spans="1:8" x14ac:dyDescent="0.25">
      <c r="E590" t="str">
        <f>"5949AS"</f>
        <v>5949AS</v>
      </c>
      <c r="F590" t="str">
        <f>"CUST#3325/PCT#2"</f>
        <v>CUST#3325/PCT#2</v>
      </c>
      <c r="G590" s="5">
        <v>3393.93</v>
      </c>
      <c r="H590" t="str">
        <f>"CUST#3325/PCT#2"</f>
        <v>CUST#3325/PCT#2</v>
      </c>
    </row>
    <row r="591" spans="1:8" x14ac:dyDescent="0.25">
      <c r="A591" t="s">
        <v>139</v>
      </c>
      <c r="B591">
        <v>2451</v>
      </c>
      <c r="C591" s="5">
        <v>847.24</v>
      </c>
      <c r="D591" s="1">
        <v>43935</v>
      </c>
      <c r="E591" t="str">
        <f>"111377"</f>
        <v>111377</v>
      </c>
      <c r="F591" t="str">
        <f>"CIVIL/CRIMINAL DOCKET SHEETS"</f>
        <v>CIVIL/CRIMINAL DOCKET SHEETS</v>
      </c>
      <c r="G591" s="5">
        <v>278.74</v>
      </c>
      <c r="H591" t="str">
        <f>"CIVIL/CRIMINAL DOCKET SHEETS"</f>
        <v>CIVIL/CRIMINAL DOCKET SHEETS</v>
      </c>
    </row>
    <row r="592" spans="1:8" x14ac:dyDescent="0.25">
      <c r="E592" t="str">
        <f>"GC 111447"</f>
        <v>GC 111447</v>
      </c>
      <c r="F592" t="str">
        <f>"INV GC 111447"</f>
        <v>INV GC 111447</v>
      </c>
      <c r="G592" s="5">
        <v>568.5</v>
      </c>
      <c r="H592" t="str">
        <f>"INV GC 111447"</f>
        <v>INV GC 111447</v>
      </c>
    </row>
    <row r="593" spans="1:8" x14ac:dyDescent="0.25">
      <c r="A593" t="s">
        <v>139</v>
      </c>
      <c r="B593">
        <v>2514</v>
      </c>
      <c r="C593" s="5">
        <v>1156.83</v>
      </c>
      <c r="D593" s="1">
        <v>43949</v>
      </c>
      <c r="E593" t="str">
        <f>"GC 111510"</f>
        <v>GC 111510</v>
      </c>
      <c r="F593" t="str">
        <f>"INV GC 111510"</f>
        <v>INV GC 111510</v>
      </c>
      <c r="G593" s="5">
        <v>1107.67</v>
      </c>
      <c r="H593" t="str">
        <f>"INV GC 111510"</f>
        <v>INV GC 111510</v>
      </c>
    </row>
    <row r="594" spans="1:8" x14ac:dyDescent="0.25">
      <c r="E594" t="str">
        <f>"GC 111555"</f>
        <v>GC 111555</v>
      </c>
      <c r="F594" t="str">
        <f>"INV GC 111555"</f>
        <v>INV GC 111555</v>
      </c>
      <c r="G594" s="5">
        <v>49.16</v>
      </c>
      <c r="H594" t="str">
        <f>"INV GC 111555"</f>
        <v>INV GC 111555</v>
      </c>
    </row>
    <row r="595" spans="1:8" x14ac:dyDescent="0.25">
      <c r="A595" t="s">
        <v>140</v>
      </c>
      <c r="B595">
        <v>131535</v>
      </c>
      <c r="C595" s="5">
        <v>744.9</v>
      </c>
      <c r="D595" s="1">
        <v>43934</v>
      </c>
      <c r="E595" t="str">
        <f>"014648682 01479159"</f>
        <v>014648682 01479159</v>
      </c>
      <c r="F595" t="str">
        <f>"INV 014648682"</f>
        <v>INV 014648682</v>
      </c>
      <c r="G595" s="5">
        <v>191.95</v>
      </c>
      <c r="H595" t="str">
        <f>"INV 014648682"</f>
        <v>INV 014648682</v>
      </c>
    </row>
    <row r="596" spans="1:8" x14ac:dyDescent="0.25">
      <c r="E596" t="str">
        <f>""</f>
        <v/>
      </c>
      <c r="F596" t="str">
        <f>""</f>
        <v/>
      </c>
      <c r="H596" t="str">
        <f>"INV 014791597"</f>
        <v>INV 014791597</v>
      </c>
    </row>
    <row r="597" spans="1:8" x14ac:dyDescent="0.25">
      <c r="E597" t="str">
        <f>""</f>
        <v/>
      </c>
      <c r="F597" t="str">
        <f>""</f>
        <v/>
      </c>
      <c r="H597" t="str">
        <f>"INV 015112635"</f>
        <v>INV 015112635</v>
      </c>
    </row>
    <row r="598" spans="1:8" x14ac:dyDescent="0.25">
      <c r="E598" t="str">
        <f>""</f>
        <v/>
      </c>
      <c r="F598" t="str">
        <f>""</f>
        <v/>
      </c>
      <c r="H598" t="str">
        <f>"INV 015269292"</f>
        <v>INV 015269292</v>
      </c>
    </row>
    <row r="599" spans="1:8" x14ac:dyDescent="0.25">
      <c r="E599" t="str">
        <f>"015380403"</f>
        <v>015380403</v>
      </c>
      <c r="F599" t="str">
        <f>"INV 015380403"</f>
        <v>INV 015380403</v>
      </c>
      <c r="G599" s="5">
        <v>130.94999999999999</v>
      </c>
      <c r="H599" t="str">
        <f>"INV 015380403"</f>
        <v>INV 015380403</v>
      </c>
    </row>
    <row r="600" spans="1:8" x14ac:dyDescent="0.25">
      <c r="E600" t="str">
        <f>"INV 015380387"</f>
        <v>INV 015380387</v>
      </c>
      <c r="F600" t="str">
        <f>"INV 015380387"</f>
        <v>INV 015380387</v>
      </c>
      <c r="G600" s="5">
        <v>422</v>
      </c>
      <c r="H600" t="str">
        <f>"INV 015380387"</f>
        <v>INV 015380387</v>
      </c>
    </row>
    <row r="601" spans="1:8" x14ac:dyDescent="0.25">
      <c r="A601" t="s">
        <v>141</v>
      </c>
      <c r="B601">
        <v>131536</v>
      </c>
      <c r="C601" s="5">
        <v>425</v>
      </c>
      <c r="D601" s="1">
        <v>43934</v>
      </c>
      <c r="E601" t="str">
        <f>"1130"</f>
        <v>1130</v>
      </c>
      <c r="F601" t="str">
        <f>"TRANSPORT - D. SILMAN"</f>
        <v>TRANSPORT - D. SILMAN</v>
      </c>
      <c r="G601" s="5">
        <v>425</v>
      </c>
      <c r="H601" t="str">
        <f>"TRANSPORT - D. SILMAN"</f>
        <v>TRANSPORT - D. SILMAN</v>
      </c>
    </row>
    <row r="602" spans="1:8" x14ac:dyDescent="0.25">
      <c r="A602" t="s">
        <v>141</v>
      </c>
      <c r="B602">
        <v>131693</v>
      </c>
      <c r="C602" s="5">
        <v>525</v>
      </c>
      <c r="D602" s="1">
        <v>43948</v>
      </c>
      <c r="E602" t="str">
        <f>"1100"</f>
        <v>1100</v>
      </c>
      <c r="F602" t="str">
        <f>"TRANSPORT - J.N. GRIGSBY"</f>
        <v>TRANSPORT - J.N. GRIGSBY</v>
      </c>
      <c r="G602" s="5">
        <v>525</v>
      </c>
      <c r="H602" t="str">
        <f>"TRANSPORT - J.N. GRIGSBY"</f>
        <v>TRANSPORT - J.N. GRIGSBY</v>
      </c>
    </row>
    <row r="603" spans="1:8" x14ac:dyDescent="0.25">
      <c r="A603" t="s">
        <v>142</v>
      </c>
      <c r="B603">
        <v>131537</v>
      </c>
      <c r="C603" s="5">
        <v>184</v>
      </c>
      <c r="D603" s="1">
        <v>43934</v>
      </c>
      <c r="E603" t="str">
        <f>"9475802774"</f>
        <v>9475802774</v>
      </c>
      <c r="F603" t="str">
        <f>"INV 9475802774"</f>
        <v>INV 9475802774</v>
      </c>
      <c r="G603" s="5">
        <v>184</v>
      </c>
      <c r="H603" t="str">
        <f>"INV 9475802774"</f>
        <v>INV 9475802774</v>
      </c>
    </row>
    <row r="604" spans="1:8" x14ac:dyDescent="0.25">
      <c r="A604" t="s">
        <v>143</v>
      </c>
      <c r="B604">
        <v>2452</v>
      </c>
      <c r="C604" s="5">
        <v>1060.02</v>
      </c>
      <c r="D604" s="1">
        <v>43935</v>
      </c>
      <c r="E604" t="str">
        <f>"0756687"</f>
        <v>0756687</v>
      </c>
      <c r="F604" t="str">
        <f>"INV 0756687"</f>
        <v>INV 0756687</v>
      </c>
      <c r="G604" s="5">
        <v>907.5</v>
      </c>
      <c r="H604" t="str">
        <f>"INV 0756687"</f>
        <v>INV 0756687</v>
      </c>
    </row>
    <row r="605" spans="1:8" x14ac:dyDescent="0.25">
      <c r="E605" t="str">
        <f>"INV0758992"</f>
        <v>INV0758992</v>
      </c>
      <c r="F605" t="str">
        <f>"INV0758992"</f>
        <v>INV0758992</v>
      </c>
      <c r="G605" s="5">
        <v>152.52000000000001</v>
      </c>
      <c r="H605" t="str">
        <f>"INV0758992"</f>
        <v>INV0758992</v>
      </c>
    </row>
    <row r="606" spans="1:8" x14ac:dyDescent="0.25">
      <c r="A606" t="s">
        <v>144</v>
      </c>
      <c r="B606">
        <v>2467</v>
      </c>
      <c r="C606" s="5">
        <v>3820.26</v>
      </c>
      <c r="D606" s="1">
        <v>43935</v>
      </c>
      <c r="E606" t="str">
        <f>"1811693"</f>
        <v>1811693</v>
      </c>
      <c r="F606" t="str">
        <f>"INV 1811693"</f>
        <v>INV 1811693</v>
      </c>
      <c r="G606" s="5">
        <v>2168.8000000000002</v>
      </c>
      <c r="H606" t="str">
        <f>"INV 1811693"</f>
        <v>INV 1811693</v>
      </c>
    </row>
    <row r="607" spans="1:8" x14ac:dyDescent="0.25">
      <c r="E607" t="str">
        <f>"1834516"</f>
        <v>1834516</v>
      </c>
      <c r="F607" t="str">
        <f>"INV 1834516"</f>
        <v>INV 1834516</v>
      </c>
      <c r="G607" s="5">
        <v>561.54999999999995</v>
      </c>
      <c r="H607" t="str">
        <f>"INV 1834516"</f>
        <v>INV 1834516</v>
      </c>
    </row>
    <row r="608" spans="1:8" x14ac:dyDescent="0.25">
      <c r="E608" t="str">
        <f>"20-24744"</f>
        <v>20-24744</v>
      </c>
      <c r="F608" t="str">
        <f>"Supply Order"</f>
        <v>Supply Order</v>
      </c>
      <c r="G608" s="5">
        <v>337.39</v>
      </c>
      <c r="H608" t="str">
        <f>"GP20389"</f>
        <v>GP20389</v>
      </c>
    </row>
    <row r="609" spans="1:8" x14ac:dyDescent="0.25">
      <c r="E609" t="str">
        <f>""</f>
        <v/>
      </c>
      <c r="F609" t="str">
        <f>""</f>
        <v/>
      </c>
      <c r="H609" t="str">
        <f>"63CL"</f>
        <v>63CL</v>
      </c>
    </row>
    <row r="610" spans="1:8" x14ac:dyDescent="0.25">
      <c r="E610" t="str">
        <f>""</f>
        <v/>
      </c>
      <c r="F610" t="str">
        <f>""</f>
        <v/>
      </c>
      <c r="H610" t="str">
        <f>"CREWBOWLCLN"</f>
        <v>CREWBOWLCLN</v>
      </c>
    </row>
    <row r="611" spans="1:8" x14ac:dyDescent="0.25">
      <c r="E611" t="str">
        <f>""</f>
        <v/>
      </c>
      <c r="F611" t="str">
        <f>""</f>
        <v/>
      </c>
      <c r="H611" t="str">
        <f>"BMOP"</f>
        <v>BMOP</v>
      </c>
    </row>
    <row r="612" spans="1:8" x14ac:dyDescent="0.25">
      <c r="E612" t="str">
        <f>""</f>
        <v/>
      </c>
      <c r="F612" t="str">
        <f>""</f>
        <v/>
      </c>
      <c r="H612" t="str">
        <f>"A11203"</f>
        <v>A11203</v>
      </c>
    </row>
    <row r="613" spans="1:8" x14ac:dyDescent="0.25">
      <c r="E613" t="str">
        <f>""</f>
        <v/>
      </c>
      <c r="F613" t="str">
        <f>""</f>
        <v/>
      </c>
      <c r="H613" t="str">
        <f>"BCCM"</f>
        <v>BCCM</v>
      </c>
    </row>
    <row r="614" spans="1:8" x14ac:dyDescent="0.25">
      <c r="E614" t="str">
        <f>"GB00363290 3100"</f>
        <v>GB00363290 3100</v>
      </c>
      <c r="F614" t="str">
        <f>"Supplies"</f>
        <v>Supplies</v>
      </c>
      <c r="G614" s="5">
        <v>752.52</v>
      </c>
      <c r="H614" t="str">
        <f>"GP89480"</f>
        <v>GP89480</v>
      </c>
    </row>
    <row r="615" spans="1:8" x14ac:dyDescent="0.25">
      <c r="E615" t="str">
        <f>""</f>
        <v/>
      </c>
      <c r="F615" t="str">
        <f>""</f>
        <v/>
      </c>
      <c r="H615" t="str">
        <f>"GP20389"</f>
        <v>GP20389</v>
      </c>
    </row>
    <row r="616" spans="1:8" x14ac:dyDescent="0.25">
      <c r="E616" t="str">
        <f>""</f>
        <v/>
      </c>
      <c r="F616" t="str">
        <f>""</f>
        <v/>
      </c>
      <c r="H616" t="str">
        <f>"63CL"</f>
        <v>63CL</v>
      </c>
    </row>
    <row r="617" spans="1:8" x14ac:dyDescent="0.25">
      <c r="E617" t="str">
        <f>""</f>
        <v/>
      </c>
      <c r="F617" t="str">
        <f>""</f>
        <v/>
      </c>
      <c r="H617" t="str">
        <f>"32ROUNDC"</f>
        <v>32ROUNDC</v>
      </c>
    </row>
    <row r="618" spans="1:8" x14ac:dyDescent="0.25">
      <c r="E618" t="str">
        <f>""</f>
        <v/>
      </c>
      <c r="F618" t="str">
        <f>""</f>
        <v/>
      </c>
      <c r="H618" t="str">
        <f>"13TOFFC"</f>
        <v>13TOFFC</v>
      </c>
    </row>
    <row r="619" spans="1:8" x14ac:dyDescent="0.25">
      <c r="E619" t="str">
        <f>""</f>
        <v/>
      </c>
      <c r="F619" t="str">
        <f>""</f>
        <v/>
      </c>
      <c r="H619" t="str">
        <f>"NABC"</f>
        <v>NABC</v>
      </c>
    </row>
    <row r="620" spans="1:8" x14ac:dyDescent="0.25">
      <c r="E620" t="str">
        <f>""</f>
        <v/>
      </c>
      <c r="F620" t="str">
        <f>""</f>
        <v/>
      </c>
      <c r="H620" t="str">
        <f>"SHINEEP5"</f>
        <v>SHINEEP5</v>
      </c>
    </row>
    <row r="621" spans="1:8" x14ac:dyDescent="0.25">
      <c r="E621" t="str">
        <f>""</f>
        <v/>
      </c>
      <c r="F621" t="str">
        <f>""</f>
        <v/>
      </c>
      <c r="H621" t="str">
        <f>"A11203"</f>
        <v>A11203</v>
      </c>
    </row>
    <row r="622" spans="1:8" x14ac:dyDescent="0.25">
      <c r="A622" t="s">
        <v>145</v>
      </c>
      <c r="B622">
        <v>2524</v>
      </c>
      <c r="C622" s="5">
        <v>21460</v>
      </c>
      <c r="D622" s="1">
        <v>43949</v>
      </c>
      <c r="E622" t="str">
        <f>"10036325"</f>
        <v>10036325</v>
      </c>
      <c r="F622" t="str">
        <f>"PROJ:033387.008/PCT#4"</f>
        <v>PROJ:033387.008/PCT#4</v>
      </c>
      <c r="G622" s="5">
        <v>1195</v>
      </c>
      <c r="H622" t="str">
        <f>"PROJ:033387.008/PCT#4"</f>
        <v>PROJ:033387.008/PCT#4</v>
      </c>
    </row>
    <row r="623" spans="1:8" x14ac:dyDescent="0.25">
      <c r="E623" t="str">
        <f>"202004206496"</f>
        <v>202004206496</v>
      </c>
      <c r="F623" t="str">
        <f>"TWDB FLOOD PROT PLANNING"</f>
        <v>TWDB FLOOD PROT PLANNING</v>
      </c>
      <c r="G623" s="5">
        <v>20265</v>
      </c>
      <c r="H623" t="str">
        <f>"TWDB FLOOD PROT PLANNING"</f>
        <v>TWDB FLOOD PROT PLANNING</v>
      </c>
    </row>
    <row r="624" spans="1:8" x14ac:dyDescent="0.25">
      <c r="A624" t="s">
        <v>146</v>
      </c>
      <c r="B624">
        <v>131538</v>
      </c>
      <c r="C624" s="5">
        <v>225</v>
      </c>
      <c r="D624" s="1">
        <v>43934</v>
      </c>
      <c r="E624" t="str">
        <f>"13000"</f>
        <v>13000</v>
      </c>
      <c r="F624" t="str">
        <f>"SERVICE  12/19/20"</f>
        <v>SERVICE  12/19/20</v>
      </c>
      <c r="G624" s="5">
        <v>225</v>
      </c>
      <c r="H624" t="str">
        <f>"SERVICE  12/19/20"</f>
        <v>SERVICE  12/19/20</v>
      </c>
    </row>
    <row r="625" spans="1:8" x14ac:dyDescent="0.25">
      <c r="A625" t="s">
        <v>146</v>
      </c>
      <c r="B625">
        <v>131694</v>
      </c>
      <c r="C625" s="5">
        <v>150</v>
      </c>
      <c r="D625" s="1">
        <v>43948</v>
      </c>
      <c r="E625" t="str">
        <f>"13095"</f>
        <v>13095</v>
      </c>
      <c r="F625" t="str">
        <f>"SERVICE"</f>
        <v>SERVICE</v>
      </c>
      <c r="G625" s="5">
        <v>150</v>
      </c>
      <c r="H625" t="str">
        <f>"SERVICE"</f>
        <v>SERVICE</v>
      </c>
    </row>
    <row r="626" spans="1:8" x14ac:dyDescent="0.25">
      <c r="A626" t="s">
        <v>147</v>
      </c>
      <c r="B626">
        <v>131539</v>
      </c>
      <c r="C626" s="5">
        <v>5200.7</v>
      </c>
      <c r="D626" s="1">
        <v>43934</v>
      </c>
      <c r="E626" t="str">
        <f>"18853"</f>
        <v>18853</v>
      </c>
      <c r="F626" t="str">
        <f>"INV 18853"</f>
        <v>INV 18853</v>
      </c>
      <c r="G626" s="5">
        <v>3490</v>
      </c>
      <c r="H626" t="str">
        <f>"INV 18853"</f>
        <v>INV 18853</v>
      </c>
    </row>
    <row r="627" spans="1:8" x14ac:dyDescent="0.25">
      <c r="E627" t="str">
        <f>"18854"</f>
        <v>18854</v>
      </c>
      <c r="F627" t="str">
        <f>"INV 18854"</f>
        <v>INV 18854</v>
      </c>
      <c r="G627" s="5">
        <v>1710.7</v>
      </c>
      <c r="H627" t="str">
        <f>"INV 18854"</f>
        <v>INV 18854</v>
      </c>
    </row>
    <row r="628" spans="1:8" x14ac:dyDescent="0.25">
      <c r="A628" t="s">
        <v>148</v>
      </c>
      <c r="B628">
        <v>131695</v>
      </c>
      <c r="C628" s="5">
        <v>75</v>
      </c>
      <c r="D628" s="1">
        <v>43948</v>
      </c>
      <c r="E628" t="str">
        <f>"13351"</f>
        <v>13351</v>
      </c>
      <c r="F628" t="str">
        <f>"SERVICE"</f>
        <v>SERVICE</v>
      </c>
      <c r="G628" s="5">
        <v>75</v>
      </c>
      <c r="H628" t="str">
        <f>"SERVICE"</f>
        <v>SERVICE</v>
      </c>
    </row>
    <row r="629" spans="1:8" x14ac:dyDescent="0.25">
      <c r="A629" t="s">
        <v>149</v>
      </c>
      <c r="B629">
        <v>131540</v>
      </c>
      <c r="C629" s="5">
        <v>727.97</v>
      </c>
      <c r="D629" s="1">
        <v>43934</v>
      </c>
      <c r="E629" t="str">
        <f>"71521"</f>
        <v>71521</v>
      </c>
      <c r="F629" t="str">
        <f>"Headset and Supplies"</f>
        <v>Headset and Supplies</v>
      </c>
      <c r="G629" s="5">
        <v>727.97</v>
      </c>
      <c r="H629" t="str">
        <f>"78712-101"</f>
        <v>78712-101</v>
      </c>
    </row>
    <row r="630" spans="1:8" x14ac:dyDescent="0.25">
      <c r="E630" t="str">
        <f>""</f>
        <v/>
      </c>
      <c r="F630" t="str">
        <f>""</f>
        <v/>
      </c>
      <c r="H630" t="str">
        <f>"80322-01"</f>
        <v>80322-01</v>
      </c>
    </row>
    <row r="631" spans="1:8" x14ac:dyDescent="0.25">
      <c r="E631" t="str">
        <f>""</f>
        <v/>
      </c>
      <c r="F631" t="str">
        <f>""</f>
        <v/>
      </c>
      <c r="H631" t="str">
        <f>"Freight"</f>
        <v>Freight</v>
      </c>
    </row>
    <row r="632" spans="1:8" x14ac:dyDescent="0.25">
      <c r="A632" t="s">
        <v>150</v>
      </c>
      <c r="B632">
        <v>131541</v>
      </c>
      <c r="C632" s="5">
        <v>34.5</v>
      </c>
      <c r="D632" s="1">
        <v>43934</v>
      </c>
      <c r="E632" t="str">
        <f>"045633"</f>
        <v>045633</v>
      </c>
      <c r="F632" t="str">
        <f>"SIGNATURE STAMP/POSTAGE"</f>
        <v>SIGNATURE STAMP/POSTAGE</v>
      </c>
      <c r="G632" s="5">
        <v>34.5</v>
      </c>
      <c r="H632" t="str">
        <f>"SIGNATURE STAMP/POSTAGE"</f>
        <v>SIGNATURE STAMP/POSTAGE</v>
      </c>
    </row>
    <row r="633" spans="1:8" x14ac:dyDescent="0.25">
      <c r="A633" t="s">
        <v>151</v>
      </c>
      <c r="B633">
        <v>131542</v>
      </c>
      <c r="C633" s="5">
        <v>192.75</v>
      </c>
      <c r="D633" s="1">
        <v>43934</v>
      </c>
      <c r="E633" t="s">
        <v>152</v>
      </c>
      <c r="F633" t="str">
        <f>"RESTITUTION-M. FELTS"</f>
        <v>RESTITUTION-M. FELTS</v>
      </c>
      <c r="G633" s="5">
        <v>192.75</v>
      </c>
      <c r="H633" t="str">
        <f>"RESTITUTION-M. FELTS"</f>
        <v>RESTITUTION-M. FELTS</v>
      </c>
    </row>
    <row r="634" spans="1:8" x14ac:dyDescent="0.25">
      <c r="A634" t="s">
        <v>153</v>
      </c>
      <c r="B634">
        <v>131543</v>
      </c>
      <c r="C634" s="5">
        <v>241.32</v>
      </c>
      <c r="D634" s="1">
        <v>43934</v>
      </c>
      <c r="E634" t="str">
        <f>"10768980"</f>
        <v>10768980</v>
      </c>
      <c r="F634" t="str">
        <f>"ACCT#0083705/PCT#4"</f>
        <v>ACCT#0083705/PCT#4</v>
      </c>
      <c r="G634" s="5">
        <v>241.32</v>
      </c>
      <c r="H634" t="str">
        <f>"ACCT#0083705/PCT#4"</f>
        <v>ACCT#0083705/PCT#4</v>
      </c>
    </row>
    <row r="635" spans="1:8" x14ac:dyDescent="0.25">
      <c r="A635" t="s">
        <v>154</v>
      </c>
      <c r="B635">
        <v>2454</v>
      </c>
      <c r="C635" s="5">
        <v>650</v>
      </c>
      <c r="D635" s="1">
        <v>43935</v>
      </c>
      <c r="E635" t="str">
        <f>"202004076248"</f>
        <v>202004076248</v>
      </c>
      <c r="F635" t="str">
        <f>"BASCOM L HODGES JR"</f>
        <v>BASCOM L HODGES JR</v>
      </c>
      <c r="G635" s="5">
        <v>650</v>
      </c>
      <c r="H635" t="str">
        <f>""</f>
        <v/>
      </c>
    </row>
    <row r="636" spans="1:8" x14ac:dyDescent="0.25">
      <c r="A636" t="s">
        <v>155</v>
      </c>
      <c r="B636">
        <v>131544</v>
      </c>
      <c r="C636" s="5">
        <v>218.38</v>
      </c>
      <c r="D636" s="1">
        <v>43934</v>
      </c>
      <c r="E636" t="str">
        <f>"202003256095"</f>
        <v>202003256095</v>
      </c>
      <c r="F636" t="str">
        <f>"REIMBURSE CE SEMINAR"</f>
        <v>REIMBURSE CE SEMINAR</v>
      </c>
      <c r="G636" s="5">
        <v>218.38</v>
      </c>
      <c r="H636" t="str">
        <f>"REIMBURSE CE SEMINAR"</f>
        <v>REIMBURSE CE SEMINAR</v>
      </c>
    </row>
    <row r="637" spans="1:8" x14ac:dyDescent="0.25">
      <c r="A637" t="s">
        <v>156</v>
      </c>
      <c r="B637">
        <v>2453</v>
      </c>
      <c r="C637" s="5">
        <v>7339.68</v>
      </c>
      <c r="D637" s="1">
        <v>43935</v>
      </c>
      <c r="E637" t="str">
        <f>"PIM60019740"</f>
        <v>PIM60019740</v>
      </c>
      <c r="F637" t="str">
        <f>"CUST#0129050/PCT#1"</f>
        <v>CUST#0129050/PCT#1</v>
      </c>
      <c r="G637" s="5">
        <v>42.43</v>
      </c>
      <c r="H637" t="str">
        <f>"CUST#0129050/PCT#1"</f>
        <v>CUST#0129050/PCT#1</v>
      </c>
    </row>
    <row r="638" spans="1:8" x14ac:dyDescent="0.25">
      <c r="E638" t="str">
        <f>"PIM60020002"</f>
        <v>PIM60020002</v>
      </c>
      <c r="F638" t="str">
        <f>"CUST#0129200/PCT#4"</f>
        <v>CUST#0129200/PCT#4</v>
      </c>
      <c r="G638" s="5">
        <v>294.39999999999998</v>
      </c>
      <c r="H638" t="str">
        <f>"CUST#0129200/PCT#4"</f>
        <v>CUST#0129200/PCT#4</v>
      </c>
    </row>
    <row r="639" spans="1:8" x14ac:dyDescent="0.25">
      <c r="E639" t="str">
        <f>"PIMA0327682"</f>
        <v>PIMA0327682</v>
      </c>
      <c r="F639" t="str">
        <f>"CUST#0129150/PCT#3"</f>
        <v>CUST#0129150/PCT#3</v>
      </c>
      <c r="G639" s="5">
        <v>37.909999999999997</v>
      </c>
      <c r="H639" t="str">
        <f>"CUST#0129150/PCT#3"</f>
        <v>CUST#0129150/PCT#3</v>
      </c>
    </row>
    <row r="640" spans="1:8" x14ac:dyDescent="0.25">
      <c r="E640" t="str">
        <f>"PIMA0327683"</f>
        <v>PIMA0327683</v>
      </c>
      <c r="F640" t="str">
        <f>"CUST#0129150/PCT#3"</f>
        <v>CUST#0129150/PCT#3</v>
      </c>
      <c r="G640" s="5">
        <v>2139.8200000000002</v>
      </c>
      <c r="H640" t="str">
        <f>"CUST#0129150/PCT#3"</f>
        <v>CUST#0129150/PCT#3</v>
      </c>
    </row>
    <row r="641" spans="1:8" x14ac:dyDescent="0.25">
      <c r="E641" t="str">
        <f>"PIMA0327684"</f>
        <v>PIMA0327684</v>
      </c>
      <c r="F641" t="str">
        <f>"CUST#0129150/PCT#3"</f>
        <v>CUST#0129150/PCT#3</v>
      </c>
      <c r="G641" s="5">
        <v>90.95</v>
      </c>
      <c r="H641" t="str">
        <f>"CUST#0129150/PCT#3"</f>
        <v>CUST#0129150/PCT#3</v>
      </c>
    </row>
    <row r="642" spans="1:8" x14ac:dyDescent="0.25">
      <c r="E642" t="str">
        <f>"PIMA0327888"</f>
        <v>PIMA0327888</v>
      </c>
      <c r="F642" t="str">
        <f>"CUST#0129150/PCT#3"</f>
        <v>CUST#0129150/PCT#3</v>
      </c>
      <c r="G642" s="5">
        <v>445.45</v>
      </c>
      <c r="H642" t="str">
        <f>"CUST#0129150/PCT#3"</f>
        <v>CUST#0129150/PCT#3</v>
      </c>
    </row>
    <row r="643" spans="1:8" x14ac:dyDescent="0.25">
      <c r="E643" t="str">
        <f>"PIMA0328053"</f>
        <v>PIMA0328053</v>
      </c>
      <c r="F643" t="str">
        <f>"CUST #0129150/PCT#3"</f>
        <v>CUST #0129150/PCT#3</v>
      </c>
      <c r="G643" s="5">
        <v>215.76</v>
      </c>
      <c r="H643" t="str">
        <f>"CUST #0129150/PCT#3"</f>
        <v>CUST #0129150/PCT#3</v>
      </c>
    </row>
    <row r="644" spans="1:8" x14ac:dyDescent="0.25">
      <c r="E644" t="str">
        <f>"PIMA0328386"</f>
        <v>PIMA0328386</v>
      </c>
      <c r="F644" t="str">
        <f>"CUST#0129150/PCT#3"</f>
        <v>CUST#0129150/PCT#3</v>
      </c>
      <c r="G644" s="5">
        <v>2406.79</v>
      </c>
      <c r="H644" t="str">
        <f>"CUST#0129150/PCT#3"</f>
        <v>CUST#0129150/PCT#3</v>
      </c>
    </row>
    <row r="645" spans="1:8" x14ac:dyDescent="0.25">
      <c r="E645" t="str">
        <f>"WIMA0131709"</f>
        <v>WIMA0131709</v>
      </c>
      <c r="F645" t="str">
        <f>"CUST#0129200/PCT#4"</f>
        <v>CUST#0129200/PCT#4</v>
      </c>
      <c r="G645" s="5">
        <v>1666.17</v>
      </c>
      <c r="H645" t="str">
        <f>"CUST#0129200/PCT#4"</f>
        <v>CUST#0129200/PCT#4</v>
      </c>
    </row>
    <row r="646" spans="1:8" x14ac:dyDescent="0.25">
      <c r="A646" t="s">
        <v>156</v>
      </c>
      <c r="B646">
        <v>2515</v>
      </c>
      <c r="C646" s="5">
        <v>309.52</v>
      </c>
      <c r="D646" s="1">
        <v>43949</v>
      </c>
      <c r="E646" t="str">
        <f>"PIMA0329504"</f>
        <v>PIMA0329504</v>
      </c>
      <c r="F646" t="str">
        <f>"PARTS / PCT #3"</f>
        <v>PARTS / PCT #3</v>
      </c>
      <c r="G646" s="5">
        <v>309.52</v>
      </c>
      <c r="H646" t="str">
        <f>"PARTS / PCT #3"</f>
        <v>PARTS / PCT #3</v>
      </c>
    </row>
    <row r="647" spans="1:8" x14ac:dyDescent="0.25">
      <c r="A647" t="s">
        <v>157</v>
      </c>
      <c r="B647">
        <v>131545</v>
      </c>
      <c r="C647" s="5">
        <v>1052.68</v>
      </c>
      <c r="D647" s="1">
        <v>43934</v>
      </c>
      <c r="E647" t="str">
        <f>"5513349  3520002"</f>
        <v>5513349  3520002</v>
      </c>
      <c r="F647" t="str">
        <f>"acct# 0103"</f>
        <v>acct# 0103</v>
      </c>
      <c r="G647" s="5">
        <v>1052.68</v>
      </c>
      <c r="H647" t="str">
        <f>"Inv# 3520046"</f>
        <v>Inv# 3520046</v>
      </c>
    </row>
    <row r="648" spans="1:8" x14ac:dyDescent="0.25">
      <c r="E648" t="str">
        <f>""</f>
        <v/>
      </c>
      <c r="F648" t="str">
        <f>""</f>
        <v/>
      </c>
      <c r="H648" t="str">
        <f>"Inv# 5513349"</f>
        <v>Inv# 5513349</v>
      </c>
    </row>
    <row r="649" spans="1:8" x14ac:dyDescent="0.25">
      <c r="E649" t="str">
        <f>""</f>
        <v/>
      </c>
      <c r="F649" t="str">
        <f>""</f>
        <v/>
      </c>
      <c r="H649" t="str">
        <f>"Inv# 1532029"</f>
        <v>Inv# 1532029</v>
      </c>
    </row>
    <row r="650" spans="1:8" x14ac:dyDescent="0.25">
      <c r="E650" t="str">
        <f>""</f>
        <v/>
      </c>
      <c r="F650" t="str">
        <f>""</f>
        <v/>
      </c>
      <c r="H650" t="str">
        <f>"Inv# 2153685"</f>
        <v>Inv# 2153685</v>
      </c>
    </row>
    <row r="651" spans="1:8" x14ac:dyDescent="0.25">
      <c r="E651" t="str">
        <f>""</f>
        <v/>
      </c>
      <c r="F651" t="str">
        <f>""</f>
        <v/>
      </c>
      <c r="H651" t="str">
        <f>"Inv# 3974835"</f>
        <v>Inv# 3974835</v>
      </c>
    </row>
    <row r="652" spans="1:8" x14ac:dyDescent="0.25">
      <c r="E652" t="str">
        <f>""</f>
        <v/>
      </c>
      <c r="F652" t="str">
        <f>""</f>
        <v/>
      </c>
      <c r="H652" t="str">
        <f>"Inv# 2513505"</f>
        <v>Inv# 2513505</v>
      </c>
    </row>
    <row r="653" spans="1:8" x14ac:dyDescent="0.25">
      <c r="E653" t="str">
        <f>""</f>
        <v/>
      </c>
      <c r="F653" t="str">
        <f>""</f>
        <v/>
      </c>
      <c r="H653" t="str">
        <f>"Inv# 3520002"</f>
        <v>Inv# 3520002</v>
      </c>
    </row>
    <row r="654" spans="1:8" x14ac:dyDescent="0.25">
      <c r="E654" t="str">
        <f>""</f>
        <v/>
      </c>
      <c r="F654" t="str">
        <f>""</f>
        <v/>
      </c>
      <c r="H654" t="str">
        <f>"Inv# 6540377"</f>
        <v>Inv# 6540377</v>
      </c>
    </row>
    <row r="655" spans="1:8" x14ac:dyDescent="0.25">
      <c r="A655" t="s">
        <v>158</v>
      </c>
      <c r="B655">
        <v>131546</v>
      </c>
      <c r="C655" s="5">
        <v>215</v>
      </c>
      <c r="D655" s="1">
        <v>43934</v>
      </c>
      <c r="E655" t="str">
        <f>"0551489065"</f>
        <v>0551489065</v>
      </c>
      <c r="F655" t="str">
        <f>"CUST#212645/ORD#212645-0002"</f>
        <v>CUST#212645/ORD#212645-0002</v>
      </c>
      <c r="G655" s="5">
        <v>215</v>
      </c>
      <c r="H655" t="str">
        <f>"CUST#212645/ORD#212645-0002"</f>
        <v>CUST#212645/ORD#212645-0002</v>
      </c>
    </row>
    <row r="656" spans="1:8" x14ac:dyDescent="0.25">
      <c r="A656" t="s">
        <v>158</v>
      </c>
      <c r="B656">
        <v>131696</v>
      </c>
      <c r="C656" s="5">
        <v>90</v>
      </c>
      <c r="D656" s="1">
        <v>43948</v>
      </c>
      <c r="E656" t="str">
        <f>"0551486733"</f>
        <v>0551486733</v>
      </c>
      <c r="F656" t="str">
        <f>"CUST#212645/ORD#212645-0001"</f>
        <v>CUST#212645/ORD#212645-0001</v>
      </c>
      <c r="G656" s="5">
        <v>90</v>
      </c>
      <c r="H656" t="str">
        <f>"CUST#212645/ORD#212645-0001"</f>
        <v>CUST#212645/ORD#212645-0001</v>
      </c>
    </row>
    <row r="657" spans="1:8" x14ac:dyDescent="0.25">
      <c r="A657" t="s">
        <v>159</v>
      </c>
      <c r="B657">
        <v>131547</v>
      </c>
      <c r="C657" s="5">
        <v>617.5</v>
      </c>
      <c r="D657" s="1">
        <v>43934</v>
      </c>
      <c r="E657" t="str">
        <f>"SL2020-03_00345"</f>
        <v>SL2020-03_00345</v>
      </c>
      <c r="F657" t="str">
        <f>"SHELTERLUV SOFTWARE/ANIMAL CON"</f>
        <v>SHELTERLUV SOFTWARE/ANIMAL CON</v>
      </c>
      <c r="G657" s="5">
        <v>617.5</v>
      </c>
      <c r="H657" t="str">
        <f>"SHELTERLUV SOFTWARE/ANIMAL CON"</f>
        <v>SHELTERLUV SOFTWARE/ANIMAL CON</v>
      </c>
    </row>
    <row r="658" spans="1:8" x14ac:dyDescent="0.25">
      <c r="A658" t="s">
        <v>160</v>
      </c>
      <c r="B658">
        <v>2418</v>
      </c>
      <c r="C658" s="5">
        <v>5.75</v>
      </c>
      <c r="D658" s="1">
        <v>43935</v>
      </c>
      <c r="E658" t="str">
        <f>"203289"</f>
        <v>203289</v>
      </c>
      <c r="F658" t="str">
        <f>"SUPPLIES/PCT#3"</f>
        <v>SUPPLIES/PCT#3</v>
      </c>
      <c r="G658" s="5">
        <v>5.75</v>
      </c>
      <c r="H658" t="str">
        <f>"SUPPLIES/PCT#3"</f>
        <v>SUPPLIES/PCT#3</v>
      </c>
    </row>
    <row r="659" spans="1:8" x14ac:dyDescent="0.25">
      <c r="A659" t="s">
        <v>161</v>
      </c>
      <c r="B659">
        <v>2506</v>
      </c>
      <c r="C659" s="5">
        <v>177182.06</v>
      </c>
      <c r="D659" s="1">
        <v>43949</v>
      </c>
      <c r="E659" t="str">
        <f>"202004236599"</f>
        <v>202004236599</v>
      </c>
      <c r="F659" t="str">
        <f>"INDUSTRIAL LAMINATES CORPORATI"</f>
        <v>INDUSTRIAL LAMINATES CORPORATI</v>
      </c>
      <c r="G659" s="5">
        <v>177182.06</v>
      </c>
      <c r="H659" t="str">
        <f>"Guard 4 Pay App# 1"</f>
        <v>Guard 4 Pay App# 1</v>
      </c>
    </row>
    <row r="660" spans="1:8" x14ac:dyDescent="0.25">
      <c r="A660" t="s">
        <v>162</v>
      </c>
      <c r="B660">
        <v>2521</v>
      </c>
      <c r="C660" s="5">
        <v>2430</v>
      </c>
      <c r="D660" s="1">
        <v>43949</v>
      </c>
      <c r="E660" t="str">
        <f>"69576"</f>
        <v>69576</v>
      </c>
      <c r="F660" t="str">
        <f>"PROF SVCS - MAY 2020"</f>
        <v>PROF SVCS - MAY 2020</v>
      </c>
      <c r="G660" s="5">
        <v>2430</v>
      </c>
      <c r="H660" t="str">
        <f>"PROF SVCS - MAY 2020"</f>
        <v>PROF SVCS - MAY 2020</v>
      </c>
    </row>
    <row r="661" spans="1:8" x14ac:dyDescent="0.25">
      <c r="E661" t="str">
        <f>""</f>
        <v/>
      </c>
      <c r="F661" t="str">
        <f>""</f>
        <v/>
      </c>
      <c r="H661" t="str">
        <f>"PROF SVCS - MAY 2020"</f>
        <v>PROF SVCS - MAY 2020</v>
      </c>
    </row>
    <row r="662" spans="1:8" x14ac:dyDescent="0.25">
      <c r="A662" t="s">
        <v>163</v>
      </c>
      <c r="B662">
        <v>131548</v>
      </c>
      <c r="C662" s="5">
        <v>1878.12</v>
      </c>
      <c r="D662" s="1">
        <v>43934</v>
      </c>
      <c r="E662" t="str">
        <f>"IN-568919"</f>
        <v>IN-568919</v>
      </c>
      <c r="F662" t="str">
        <f>"CUST ACCT#020796/PCT#2"</f>
        <v>CUST ACCT#020796/PCT#2</v>
      </c>
      <c r="G662" s="5">
        <v>1878.12</v>
      </c>
      <c r="H662" t="str">
        <f>"CUST ACCT#020796/PCT#2"</f>
        <v>CUST ACCT#020796/PCT#2</v>
      </c>
    </row>
    <row r="663" spans="1:8" x14ac:dyDescent="0.25">
      <c r="A663" t="s">
        <v>164</v>
      </c>
      <c r="B663">
        <v>131549</v>
      </c>
      <c r="C663" s="5">
        <v>79.03</v>
      </c>
      <c r="D663" s="1">
        <v>43934</v>
      </c>
      <c r="E663" t="str">
        <f>"CMNY439"</f>
        <v>CMNY439</v>
      </c>
      <c r="F663" t="str">
        <f>"CUST ID:AX773/COUNTY CLERK"</f>
        <v>CUST ID:AX773/COUNTY CLERK</v>
      </c>
      <c r="G663" s="5">
        <v>79.03</v>
      </c>
      <c r="H663" t="str">
        <f>"CUST ID:AX773/COUNTY CLERK"</f>
        <v>CUST ID:AX773/COUNTY CLERK</v>
      </c>
    </row>
    <row r="664" spans="1:8" x14ac:dyDescent="0.25">
      <c r="A664" t="s">
        <v>165</v>
      </c>
      <c r="B664">
        <v>2501</v>
      </c>
      <c r="C664" s="5">
        <v>94.41</v>
      </c>
      <c r="D664" s="1">
        <v>43949</v>
      </c>
      <c r="E664" t="str">
        <f>"202004206471"</f>
        <v>202004206471</v>
      </c>
      <c r="F664" t="str">
        <f>"MILEAGE REIMBURSEMENT"</f>
        <v>MILEAGE REIMBURSEMENT</v>
      </c>
      <c r="G664" s="5">
        <v>94.41</v>
      </c>
      <c r="H664" t="str">
        <f>"MILEAGE REIMBURSEMENT"</f>
        <v>MILEAGE REIMBURSEMENT</v>
      </c>
    </row>
    <row r="665" spans="1:8" x14ac:dyDescent="0.25">
      <c r="A665" t="s">
        <v>166</v>
      </c>
      <c r="B665">
        <v>131697</v>
      </c>
      <c r="C665" s="5">
        <v>1000</v>
      </c>
      <c r="D665" s="1">
        <v>43948</v>
      </c>
      <c r="E665" t="str">
        <f>"202004216529"</f>
        <v>202004216529</v>
      </c>
      <c r="F665" t="str">
        <f>"A020191231"</f>
        <v>A020191231</v>
      </c>
      <c r="G665" s="5">
        <v>250</v>
      </c>
      <c r="H665" t="str">
        <f>"A020191231"</f>
        <v>A020191231</v>
      </c>
    </row>
    <row r="666" spans="1:8" x14ac:dyDescent="0.25">
      <c r="E666" t="str">
        <f>"202004216530"</f>
        <v>202004216530</v>
      </c>
      <c r="F666" t="str">
        <f>"021272"</f>
        <v>021272</v>
      </c>
      <c r="G666" s="5">
        <v>250</v>
      </c>
      <c r="H666" t="str">
        <f>"021272"</f>
        <v>021272</v>
      </c>
    </row>
    <row r="667" spans="1:8" x14ac:dyDescent="0.25">
      <c r="E667" t="str">
        <f>"202004216531"</f>
        <v>202004216531</v>
      </c>
      <c r="F667" t="str">
        <f>"JP109012019C"</f>
        <v>JP109012019C</v>
      </c>
      <c r="G667" s="5">
        <v>250</v>
      </c>
      <c r="H667" t="str">
        <f>"JP109012019C"</f>
        <v>JP109012019C</v>
      </c>
    </row>
    <row r="668" spans="1:8" x14ac:dyDescent="0.25">
      <c r="E668" t="str">
        <f>"202004216532"</f>
        <v>202004216532</v>
      </c>
      <c r="F668" t="str">
        <f>"CM20191215B"</f>
        <v>CM20191215B</v>
      </c>
      <c r="G668" s="5">
        <v>250</v>
      </c>
      <c r="H668" t="str">
        <f>"CM20191215B"</f>
        <v>CM20191215B</v>
      </c>
    </row>
    <row r="669" spans="1:8" x14ac:dyDescent="0.25">
      <c r="A669" t="s">
        <v>167</v>
      </c>
      <c r="B669">
        <v>2472</v>
      </c>
      <c r="C669" s="5">
        <v>1355</v>
      </c>
      <c r="D669" s="1">
        <v>43935</v>
      </c>
      <c r="E669" t="str">
        <f>"13000"</f>
        <v>13000</v>
      </c>
      <c r="F669" t="str">
        <f>"AD LITEM"</f>
        <v>AD LITEM</v>
      </c>
      <c r="G669" s="5">
        <v>150</v>
      </c>
      <c r="H669" t="str">
        <f>"AD LITEM"</f>
        <v>AD LITEM</v>
      </c>
    </row>
    <row r="670" spans="1:8" x14ac:dyDescent="0.25">
      <c r="E670" t="str">
        <f>"202004076352"</f>
        <v>202004076352</v>
      </c>
      <c r="F670" t="str">
        <f>"301012020D"</f>
        <v>301012020D</v>
      </c>
      <c r="G670" s="5">
        <v>250</v>
      </c>
      <c r="H670" t="str">
        <f>"301012020D"</f>
        <v>301012020D</v>
      </c>
    </row>
    <row r="671" spans="1:8" x14ac:dyDescent="0.25">
      <c r="E671" t="str">
        <f>"202004076353"</f>
        <v>202004076353</v>
      </c>
      <c r="F671" t="str">
        <f>"19-19572"</f>
        <v>19-19572</v>
      </c>
      <c r="G671" s="5">
        <v>705</v>
      </c>
      <c r="H671" t="str">
        <f>"19-19572"</f>
        <v>19-19572</v>
      </c>
    </row>
    <row r="672" spans="1:8" x14ac:dyDescent="0.25">
      <c r="E672" t="str">
        <f>"202004076354"</f>
        <v>202004076354</v>
      </c>
      <c r="F672" t="str">
        <f>"4050987"</f>
        <v>4050987</v>
      </c>
      <c r="G672" s="5">
        <v>250</v>
      </c>
      <c r="H672" t="str">
        <f>"4050987"</f>
        <v>4050987</v>
      </c>
    </row>
    <row r="673" spans="1:8" x14ac:dyDescent="0.25">
      <c r="A673" t="s">
        <v>167</v>
      </c>
      <c r="B673">
        <v>2529</v>
      </c>
      <c r="C673" s="5">
        <v>600</v>
      </c>
      <c r="D673" s="1">
        <v>43949</v>
      </c>
      <c r="E673" t="str">
        <f>"12923"</f>
        <v>12923</v>
      </c>
      <c r="F673" t="str">
        <f>"AD LITEM FEE"</f>
        <v>AD LITEM FEE</v>
      </c>
      <c r="G673" s="5">
        <v>150</v>
      </c>
      <c r="H673" t="str">
        <f>"AD LITEM FEE"</f>
        <v>AD LITEM FEE</v>
      </c>
    </row>
    <row r="674" spans="1:8" x14ac:dyDescent="0.25">
      <c r="E674" t="str">
        <f>"12929"</f>
        <v>12929</v>
      </c>
      <c r="F674" t="str">
        <f>"AD LITEM FEE"</f>
        <v>AD LITEM FEE</v>
      </c>
      <c r="G674" s="5">
        <v>150</v>
      </c>
      <c r="H674" t="str">
        <f>"AD LITEM FEE"</f>
        <v>AD LITEM FEE</v>
      </c>
    </row>
    <row r="675" spans="1:8" x14ac:dyDescent="0.25">
      <c r="E675" t="str">
        <f>"13019"</f>
        <v>13019</v>
      </c>
      <c r="F675" t="str">
        <f>"AD LITEM FEE"</f>
        <v>AD LITEM FEE</v>
      </c>
      <c r="G675" s="5">
        <v>150</v>
      </c>
      <c r="H675" t="str">
        <f>"AD LITEM FEE"</f>
        <v>AD LITEM FEE</v>
      </c>
    </row>
    <row r="676" spans="1:8" x14ac:dyDescent="0.25">
      <c r="E676" t="str">
        <f>"13095"</f>
        <v>13095</v>
      </c>
      <c r="F676" t="str">
        <f>"AD LITEM FEE"</f>
        <v>AD LITEM FEE</v>
      </c>
      <c r="G676" s="5">
        <v>150</v>
      </c>
      <c r="H676" t="str">
        <f>"AD LITEM FEE"</f>
        <v>AD LITEM FEE</v>
      </c>
    </row>
    <row r="677" spans="1:8" x14ac:dyDescent="0.25">
      <c r="A677" t="s">
        <v>168</v>
      </c>
      <c r="B677">
        <v>131698</v>
      </c>
      <c r="C677" s="5">
        <v>1100</v>
      </c>
      <c r="D677" s="1">
        <v>43948</v>
      </c>
      <c r="E677" t="str">
        <f>"202004226571"</f>
        <v>202004226571</v>
      </c>
      <c r="F677" t="str">
        <f>"SURGICAL SVCS 04/06 &amp; 04/09"</f>
        <v>SURGICAL SVCS 04/06 &amp; 04/09</v>
      </c>
      <c r="G677" s="5">
        <v>1100</v>
      </c>
      <c r="H677" t="str">
        <f>"SURGICAL SVCS 04/06 &amp; 04/09"</f>
        <v>SURGICAL SVCS 04/06 &amp; 04/09</v>
      </c>
    </row>
    <row r="678" spans="1:8" x14ac:dyDescent="0.25">
      <c r="A678" t="s">
        <v>169</v>
      </c>
      <c r="B678">
        <v>131550</v>
      </c>
      <c r="C678" s="5">
        <v>50</v>
      </c>
      <c r="D678" s="1">
        <v>43934</v>
      </c>
      <c r="E678" t="s">
        <v>170</v>
      </c>
      <c r="F678" t="str">
        <f>"RESTITUTION-MARTIN ALMS"</f>
        <v>RESTITUTION-MARTIN ALMS</v>
      </c>
      <c r="G678" s="5">
        <v>50</v>
      </c>
      <c r="H678" t="str">
        <f>"RESTITUTION-MARTIN ALMS"</f>
        <v>RESTITUTION-MARTIN ALMS</v>
      </c>
    </row>
    <row r="679" spans="1:8" x14ac:dyDescent="0.25">
      <c r="A679" t="s">
        <v>171</v>
      </c>
      <c r="B679">
        <v>131699</v>
      </c>
      <c r="C679" s="5">
        <v>174</v>
      </c>
      <c r="D679" s="1">
        <v>43948</v>
      </c>
      <c r="E679" t="str">
        <f>"1226"</f>
        <v>1226</v>
      </c>
      <c r="F679" t="str">
        <f>"INV 1226 / UNIT 4717"</f>
        <v>INV 1226 / UNIT 4717</v>
      </c>
      <c r="G679" s="5">
        <v>174</v>
      </c>
      <c r="H679" t="str">
        <f>"INV 1226 / UNIT 4717"</f>
        <v>INV 1226 / UNIT 4717</v>
      </c>
    </row>
    <row r="680" spans="1:8" x14ac:dyDescent="0.25">
      <c r="A680" t="s">
        <v>172</v>
      </c>
      <c r="B680">
        <v>131551</v>
      </c>
      <c r="C680" s="5">
        <v>9164.7000000000007</v>
      </c>
      <c r="D680" s="1">
        <v>43934</v>
      </c>
      <c r="E680" t="str">
        <f>"202004036157"</f>
        <v>202004036157</v>
      </c>
      <c r="F680" t="str">
        <f>"ACCT#8850283308"</f>
        <v>ACCT#8850283308</v>
      </c>
      <c r="G680" s="5">
        <v>4281.25</v>
      </c>
      <c r="H680" t="str">
        <f>"ACCT#8850283308"</f>
        <v>ACCT#8850283308</v>
      </c>
    </row>
    <row r="681" spans="1:8" x14ac:dyDescent="0.25">
      <c r="E681" t="str">
        <f>"202004036160"</f>
        <v>202004036160</v>
      </c>
      <c r="F681" t="str">
        <f>"ACCT#8850283308/PCT#1"</f>
        <v>ACCT#8850283308/PCT#1</v>
      </c>
      <c r="G681" s="5">
        <v>4415.91</v>
      </c>
      <c r="H681" t="str">
        <f>"ACCT#8850283308/PCT#1"</f>
        <v>ACCT#8850283308/PCT#1</v>
      </c>
    </row>
    <row r="682" spans="1:8" x14ac:dyDescent="0.25">
      <c r="E682" t="str">
        <f>"202004036164"</f>
        <v>202004036164</v>
      </c>
      <c r="F682" t="str">
        <f>"ACCT#8850283308/PCT#2"</f>
        <v>ACCT#8850283308/PCT#2</v>
      </c>
      <c r="G682" s="5">
        <v>467.54</v>
      </c>
      <c r="H682" t="str">
        <f>"ACCT#8850283308/PCT#2"</f>
        <v>ACCT#8850283308/PCT#2</v>
      </c>
    </row>
    <row r="683" spans="1:8" x14ac:dyDescent="0.25">
      <c r="A683" t="s">
        <v>173</v>
      </c>
      <c r="B683">
        <v>131552</v>
      </c>
      <c r="C683" s="5">
        <v>3087.5</v>
      </c>
      <c r="D683" s="1">
        <v>43934</v>
      </c>
      <c r="E683" t="str">
        <f>"202004076310"</f>
        <v>202004076310</v>
      </c>
      <c r="F683" t="str">
        <f>"19-19537"</f>
        <v>19-19537</v>
      </c>
      <c r="G683" s="5">
        <v>75</v>
      </c>
      <c r="H683" t="str">
        <f>"19-19537"</f>
        <v>19-19537</v>
      </c>
    </row>
    <row r="684" spans="1:8" x14ac:dyDescent="0.25">
      <c r="E684" t="str">
        <f>"202004076311"</f>
        <v>202004076311</v>
      </c>
      <c r="F684" t="str">
        <f>"20-20110"</f>
        <v>20-20110</v>
      </c>
      <c r="G684" s="5">
        <v>187.5</v>
      </c>
      <c r="H684" t="str">
        <f>"20-20110"</f>
        <v>20-20110</v>
      </c>
    </row>
    <row r="685" spans="1:8" x14ac:dyDescent="0.25">
      <c r="E685" t="str">
        <f>"202004076312"</f>
        <v>202004076312</v>
      </c>
      <c r="F685" t="str">
        <f>"19-19963"</f>
        <v>19-19963</v>
      </c>
      <c r="G685" s="5">
        <v>150</v>
      </c>
      <c r="H685" t="str">
        <f>"19-19963"</f>
        <v>19-19963</v>
      </c>
    </row>
    <row r="686" spans="1:8" x14ac:dyDescent="0.25">
      <c r="E686" t="str">
        <f>"202004076313"</f>
        <v>202004076313</v>
      </c>
      <c r="F686" t="str">
        <f>"19-19537"</f>
        <v>19-19537</v>
      </c>
      <c r="G686" s="5">
        <v>450</v>
      </c>
      <c r="H686" t="str">
        <f>"19-19537"</f>
        <v>19-19537</v>
      </c>
    </row>
    <row r="687" spans="1:8" x14ac:dyDescent="0.25">
      <c r="E687" t="str">
        <f>"202004076314"</f>
        <v>202004076314</v>
      </c>
      <c r="F687" t="str">
        <f>"19-19862"</f>
        <v>19-19862</v>
      </c>
      <c r="G687" s="5">
        <v>112.5</v>
      </c>
      <c r="H687" t="str">
        <f>"19-19862"</f>
        <v>19-19862</v>
      </c>
    </row>
    <row r="688" spans="1:8" x14ac:dyDescent="0.25">
      <c r="E688" t="str">
        <f>"202004076315"</f>
        <v>202004076315</v>
      </c>
      <c r="F688" t="str">
        <f>"20-20110"</f>
        <v>20-20110</v>
      </c>
      <c r="G688" s="5">
        <v>150</v>
      </c>
      <c r="H688" t="str">
        <f>"20-20110"</f>
        <v>20-20110</v>
      </c>
    </row>
    <row r="689" spans="1:8" x14ac:dyDescent="0.25">
      <c r="E689" t="str">
        <f>"202004076316"</f>
        <v>202004076316</v>
      </c>
      <c r="F689" t="str">
        <f>"19-19947"</f>
        <v>19-19947</v>
      </c>
      <c r="G689" s="5">
        <v>225</v>
      </c>
      <c r="H689" t="str">
        <f>"19-19947"</f>
        <v>19-19947</v>
      </c>
    </row>
    <row r="690" spans="1:8" x14ac:dyDescent="0.25">
      <c r="E690" t="str">
        <f>"202004076317"</f>
        <v>202004076317</v>
      </c>
      <c r="F690" t="str">
        <f>"19-19537"</f>
        <v>19-19537</v>
      </c>
      <c r="G690" s="5">
        <v>375</v>
      </c>
      <c r="H690" t="str">
        <f>"19-19537"</f>
        <v>19-19537</v>
      </c>
    </row>
    <row r="691" spans="1:8" x14ac:dyDescent="0.25">
      <c r="E691" t="str">
        <f>"202004076318"</f>
        <v>202004076318</v>
      </c>
      <c r="F691" t="str">
        <f>"19-19862"</f>
        <v>19-19862</v>
      </c>
      <c r="G691" s="5">
        <v>75</v>
      </c>
      <c r="H691" t="str">
        <f>"19-19862"</f>
        <v>19-19862</v>
      </c>
    </row>
    <row r="692" spans="1:8" x14ac:dyDescent="0.25">
      <c r="E692" t="str">
        <f>"202004076319"</f>
        <v>202004076319</v>
      </c>
      <c r="F692" t="str">
        <f>"20-20110"</f>
        <v>20-20110</v>
      </c>
      <c r="G692" s="5">
        <v>337.5</v>
      </c>
      <c r="H692" t="str">
        <f>"20-20110"</f>
        <v>20-20110</v>
      </c>
    </row>
    <row r="693" spans="1:8" x14ac:dyDescent="0.25">
      <c r="E693" t="str">
        <f>"202004076320"</f>
        <v>202004076320</v>
      </c>
      <c r="F693" t="str">
        <f>"19-20022"</f>
        <v>19-20022</v>
      </c>
      <c r="G693" s="5">
        <v>150</v>
      </c>
      <c r="H693" t="str">
        <f>"19-20022"</f>
        <v>19-20022</v>
      </c>
    </row>
    <row r="694" spans="1:8" x14ac:dyDescent="0.25">
      <c r="E694" t="str">
        <f>"202004076321"</f>
        <v>202004076321</v>
      </c>
      <c r="F694" t="str">
        <f>"19-19963"</f>
        <v>19-19963</v>
      </c>
      <c r="G694" s="5">
        <v>150</v>
      </c>
      <c r="H694" t="str">
        <f>"19-19963"</f>
        <v>19-19963</v>
      </c>
    </row>
    <row r="695" spans="1:8" x14ac:dyDescent="0.25">
      <c r="E695" t="str">
        <f>"202004076322"</f>
        <v>202004076322</v>
      </c>
      <c r="F695" t="str">
        <f>"62852"</f>
        <v>62852</v>
      </c>
      <c r="G695" s="5">
        <v>250</v>
      </c>
      <c r="H695" t="str">
        <f>"62852"</f>
        <v>62852</v>
      </c>
    </row>
    <row r="696" spans="1:8" x14ac:dyDescent="0.25">
      <c r="E696" t="str">
        <f>"202004076323"</f>
        <v>202004076323</v>
      </c>
      <c r="F696" t="str">
        <f>"19-19632"</f>
        <v>19-19632</v>
      </c>
      <c r="G696" s="5">
        <v>150</v>
      </c>
      <c r="H696" t="str">
        <f>"19-19632"</f>
        <v>19-19632</v>
      </c>
    </row>
    <row r="697" spans="1:8" x14ac:dyDescent="0.25">
      <c r="E697" t="str">
        <f>"202004076324"</f>
        <v>202004076324</v>
      </c>
      <c r="F697" t="str">
        <f>"57 225"</f>
        <v>57 225</v>
      </c>
      <c r="G697" s="5">
        <v>250</v>
      </c>
      <c r="H697" t="str">
        <f>"57 225"</f>
        <v>57 225</v>
      </c>
    </row>
    <row r="698" spans="1:8" x14ac:dyDescent="0.25">
      <c r="A698" t="s">
        <v>173</v>
      </c>
      <c r="B698">
        <v>131700</v>
      </c>
      <c r="C698" s="5">
        <v>1520</v>
      </c>
      <c r="D698" s="1">
        <v>43948</v>
      </c>
      <c r="E698" t="str">
        <f>"202004216512"</f>
        <v>202004216512</v>
      </c>
      <c r="F698" t="str">
        <f>"19-19963"</f>
        <v>19-19963</v>
      </c>
      <c r="G698" s="5">
        <v>210</v>
      </c>
      <c r="H698" t="str">
        <f>"19-19963"</f>
        <v>19-19963</v>
      </c>
    </row>
    <row r="699" spans="1:8" x14ac:dyDescent="0.25">
      <c r="E699" t="str">
        <f>"202004216513"</f>
        <v>202004216513</v>
      </c>
      <c r="F699" t="str">
        <f>"19-19997"</f>
        <v>19-19997</v>
      </c>
      <c r="G699" s="5">
        <v>300</v>
      </c>
      <c r="H699" t="str">
        <f>"19-19997"</f>
        <v>19-19997</v>
      </c>
    </row>
    <row r="700" spans="1:8" x14ac:dyDescent="0.25">
      <c r="E700" t="str">
        <f>"202004216514"</f>
        <v>202004216514</v>
      </c>
      <c r="F700" t="str">
        <f>"19-19632"</f>
        <v>19-19632</v>
      </c>
      <c r="G700" s="5">
        <v>210</v>
      </c>
      <c r="H700" t="str">
        <f>"19-19632"</f>
        <v>19-19632</v>
      </c>
    </row>
    <row r="701" spans="1:8" x14ac:dyDescent="0.25">
      <c r="E701" t="str">
        <f>"202004216515"</f>
        <v>202004216515</v>
      </c>
      <c r="F701" t="str">
        <f>"412099-3"</f>
        <v>412099-3</v>
      </c>
      <c r="G701" s="5">
        <v>250</v>
      </c>
      <c r="H701" t="str">
        <f>"412099-3"</f>
        <v>412099-3</v>
      </c>
    </row>
    <row r="702" spans="1:8" x14ac:dyDescent="0.25">
      <c r="E702" t="str">
        <f>"202004216516"</f>
        <v>202004216516</v>
      </c>
      <c r="F702" t="str">
        <f>"4011120.13"</f>
        <v>4011120.13</v>
      </c>
      <c r="G702" s="5">
        <v>250</v>
      </c>
      <c r="H702" t="str">
        <f>"4011120.13"</f>
        <v>4011120.13</v>
      </c>
    </row>
    <row r="703" spans="1:8" x14ac:dyDescent="0.25">
      <c r="E703" t="str">
        <f>"202004216517"</f>
        <v>202004216517</v>
      </c>
      <c r="F703" t="str">
        <f>"19-19741"</f>
        <v>19-19741</v>
      </c>
      <c r="G703" s="5">
        <v>75</v>
      </c>
      <c r="H703" t="str">
        <f>"19-19741"</f>
        <v>19-19741</v>
      </c>
    </row>
    <row r="704" spans="1:8" x14ac:dyDescent="0.25">
      <c r="E704" t="str">
        <f>"202004216518"</f>
        <v>202004216518</v>
      </c>
      <c r="F704" t="str">
        <f>"20-20110"</f>
        <v>20-20110</v>
      </c>
      <c r="G704" s="5">
        <v>75</v>
      </c>
      <c r="H704" t="str">
        <f>"20-20110"</f>
        <v>20-20110</v>
      </c>
    </row>
    <row r="705" spans="1:8" x14ac:dyDescent="0.25">
      <c r="E705" t="str">
        <f>"202004216519"</f>
        <v>202004216519</v>
      </c>
      <c r="F705" t="str">
        <f>"19-19963"</f>
        <v>19-19963</v>
      </c>
      <c r="G705" s="5">
        <v>150</v>
      </c>
      <c r="H705" t="str">
        <f>"19-19963"</f>
        <v>19-19963</v>
      </c>
    </row>
    <row r="706" spans="1:8" x14ac:dyDescent="0.25">
      <c r="A706" t="s">
        <v>174</v>
      </c>
      <c r="B706">
        <v>131701</v>
      </c>
      <c r="C706" s="5">
        <v>540</v>
      </c>
      <c r="D706" s="1">
        <v>43948</v>
      </c>
      <c r="E706" t="str">
        <f>"0655684VSF"</f>
        <v>0655684VSF</v>
      </c>
      <c r="F706" t="str">
        <f>"INV VSF#0655684VSF"</f>
        <v>INV VSF#0655684VSF</v>
      </c>
      <c r="G706" s="5">
        <v>540</v>
      </c>
      <c r="H706" t="str">
        <f>"INV VSF#0655684VSF"</f>
        <v>INV VSF#0655684VSF</v>
      </c>
    </row>
    <row r="707" spans="1:8" x14ac:dyDescent="0.25">
      <c r="A707" t="s">
        <v>175</v>
      </c>
      <c r="B707">
        <v>2465</v>
      </c>
      <c r="C707" s="5">
        <v>6675</v>
      </c>
      <c r="D707" s="1">
        <v>43935</v>
      </c>
      <c r="E707" t="str">
        <f>"202003256088"</f>
        <v>202003256088</v>
      </c>
      <c r="F707" t="str">
        <f>"JP102072020M  JP102072020L"</f>
        <v>JP102072020M  JP102072020L</v>
      </c>
      <c r="G707" s="5">
        <v>600</v>
      </c>
      <c r="H707" t="str">
        <f>"JP102072020M  JP102072020L"</f>
        <v>JP102072020M  JP102072020L</v>
      </c>
    </row>
    <row r="708" spans="1:8" x14ac:dyDescent="0.25">
      <c r="E708" t="str">
        <f>"202004036135"</f>
        <v>202004036135</v>
      </c>
      <c r="F708" t="str">
        <f>"16171"</f>
        <v>16171</v>
      </c>
      <c r="G708" s="5">
        <v>5200</v>
      </c>
      <c r="H708" t="str">
        <f>"16171"</f>
        <v>16171</v>
      </c>
    </row>
    <row r="709" spans="1:8" x14ac:dyDescent="0.25">
      <c r="E709" t="str">
        <f>"202004076325"</f>
        <v>202004076325</v>
      </c>
      <c r="F709" t="str">
        <f>"4011120-10"</f>
        <v>4011120-10</v>
      </c>
      <c r="G709" s="5">
        <v>250</v>
      </c>
      <c r="H709" t="str">
        <f>"4011120-10"</f>
        <v>4011120-10</v>
      </c>
    </row>
    <row r="710" spans="1:8" x14ac:dyDescent="0.25">
      <c r="E710" t="str">
        <f>"202004076326"</f>
        <v>202004076326</v>
      </c>
      <c r="F710" t="str">
        <f>"JP10207202K / J"</f>
        <v>JP10207202K / J</v>
      </c>
      <c r="G710" s="5">
        <v>375</v>
      </c>
      <c r="H710" t="str">
        <f>"JP10207202K / J"</f>
        <v>JP10207202K / J</v>
      </c>
    </row>
    <row r="711" spans="1:8" x14ac:dyDescent="0.25">
      <c r="E711" t="str">
        <f>"202004076327"</f>
        <v>202004076327</v>
      </c>
      <c r="F711" t="str">
        <f>"311202019D"</f>
        <v>311202019D</v>
      </c>
      <c r="G711" s="5">
        <v>250</v>
      </c>
      <c r="H711" t="str">
        <f>"311202019D"</f>
        <v>311202019D</v>
      </c>
    </row>
    <row r="712" spans="1:8" x14ac:dyDescent="0.25">
      <c r="A712" t="s">
        <v>175</v>
      </c>
      <c r="B712">
        <v>2525</v>
      </c>
      <c r="C712" s="5">
        <v>900</v>
      </c>
      <c r="D712" s="1">
        <v>43949</v>
      </c>
      <c r="E712" t="str">
        <f>"202004216526"</f>
        <v>202004216526</v>
      </c>
      <c r="F712" t="str">
        <f>"JP112262019D"</f>
        <v>JP112262019D</v>
      </c>
      <c r="G712" s="5">
        <v>250</v>
      </c>
      <c r="H712" t="str">
        <f>"JP112262019D"</f>
        <v>JP112262019D</v>
      </c>
    </row>
    <row r="713" spans="1:8" x14ac:dyDescent="0.25">
      <c r="E713" t="str">
        <f>"202004216527"</f>
        <v>202004216527</v>
      </c>
      <c r="F713" t="str">
        <f>"54675"</f>
        <v>54675</v>
      </c>
      <c r="G713" s="5">
        <v>250</v>
      </c>
      <c r="H713" t="str">
        <f>"54675"</f>
        <v>54675</v>
      </c>
    </row>
    <row r="714" spans="1:8" x14ac:dyDescent="0.25">
      <c r="E714" t="str">
        <f>"202004216528"</f>
        <v>202004216528</v>
      </c>
      <c r="F714" t="str">
        <f>"16598"</f>
        <v>16598</v>
      </c>
      <c r="G714" s="5">
        <v>400</v>
      </c>
      <c r="H714" t="str">
        <f>"16598"</f>
        <v>16598</v>
      </c>
    </row>
    <row r="715" spans="1:8" x14ac:dyDescent="0.25">
      <c r="A715" t="s">
        <v>176</v>
      </c>
      <c r="B715">
        <v>131702</v>
      </c>
      <c r="C715" s="5">
        <v>100</v>
      </c>
      <c r="D715" s="1">
        <v>43948</v>
      </c>
      <c r="E715" t="str">
        <f>"12929"</f>
        <v>12929</v>
      </c>
      <c r="F715" t="str">
        <f>"SERVICE"</f>
        <v>SERVICE</v>
      </c>
      <c r="G715" s="5">
        <v>100</v>
      </c>
      <c r="H715" t="str">
        <f>"SERVICE"</f>
        <v>SERVICE</v>
      </c>
    </row>
    <row r="716" spans="1:8" x14ac:dyDescent="0.25">
      <c r="A716" t="s">
        <v>177</v>
      </c>
      <c r="B716">
        <v>131703</v>
      </c>
      <c r="C716" s="5">
        <v>1902.5</v>
      </c>
      <c r="D716" s="1">
        <v>43948</v>
      </c>
      <c r="E716" t="str">
        <f>"202004206469"</f>
        <v>202004206469</v>
      </c>
      <c r="F716" t="str">
        <f>"423-4051"</f>
        <v>423-4051</v>
      </c>
      <c r="G716" s="5">
        <v>202.5</v>
      </c>
      <c r="H716" t="str">
        <f>"423-4051"</f>
        <v>423-4051</v>
      </c>
    </row>
    <row r="717" spans="1:8" x14ac:dyDescent="0.25">
      <c r="E717" t="str">
        <f>"202004206470"</f>
        <v>202004206470</v>
      </c>
      <c r="F717" t="str">
        <f>"423-2327"</f>
        <v>423-2327</v>
      </c>
      <c r="G717" s="5">
        <v>397.5</v>
      </c>
      <c r="H717" t="str">
        <f>"423-2327"</f>
        <v>423-2327</v>
      </c>
    </row>
    <row r="718" spans="1:8" x14ac:dyDescent="0.25">
      <c r="E718" t="str">
        <f>"202004216520"</f>
        <v>202004216520</v>
      </c>
      <c r="F718" t="str">
        <f>"19-19739"</f>
        <v>19-19739</v>
      </c>
      <c r="G718" s="5">
        <v>75</v>
      </c>
      <c r="H718" t="str">
        <f>"19-19739"</f>
        <v>19-19739</v>
      </c>
    </row>
    <row r="719" spans="1:8" x14ac:dyDescent="0.25">
      <c r="E719" t="str">
        <f>"202004216521"</f>
        <v>202004216521</v>
      </c>
      <c r="F719" t="str">
        <f>"19-20022"</f>
        <v>19-20022</v>
      </c>
      <c r="G719" s="5">
        <v>157.5</v>
      </c>
      <c r="H719" t="str">
        <f>"19-20022"</f>
        <v>19-20022</v>
      </c>
    </row>
    <row r="720" spans="1:8" x14ac:dyDescent="0.25">
      <c r="E720" t="str">
        <f>"202004216522"</f>
        <v>202004216522</v>
      </c>
      <c r="F720" t="str">
        <f>"20-20060"</f>
        <v>20-20060</v>
      </c>
      <c r="G720" s="5">
        <v>820</v>
      </c>
      <c r="H720" t="str">
        <f>"20-20060"</f>
        <v>20-20060</v>
      </c>
    </row>
    <row r="721" spans="1:8" x14ac:dyDescent="0.25">
      <c r="E721" t="str">
        <f>"202004216523"</f>
        <v>202004216523</v>
      </c>
      <c r="F721" t="str">
        <f>"20-S-00613"</f>
        <v>20-S-00613</v>
      </c>
      <c r="G721" s="5">
        <v>250</v>
      </c>
      <c r="H721" t="str">
        <f>"20-S-00613"</f>
        <v>20-S-00613</v>
      </c>
    </row>
    <row r="722" spans="1:8" x14ac:dyDescent="0.25">
      <c r="A722" t="s">
        <v>178</v>
      </c>
      <c r="B722">
        <v>131704</v>
      </c>
      <c r="C722" s="5">
        <v>8705</v>
      </c>
      <c r="D722" s="1">
        <v>43948</v>
      </c>
      <c r="E722" t="str">
        <f>"236"</f>
        <v>236</v>
      </c>
      <c r="F722" t="str">
        <f>"Night Vision"</f>
        <v>Night Vision</v>
      </c>
      <c r="G722" s="5">
        <v>8705</v>
      </c>
      <c r="H722" t="str">
        <f>"PVS-14-3NW"</f>
        <v>PVS-14-3NW</v>
      </c>
    </row>
    <row r="723" spans="1:8" x14ac:dyDescent="0.25">
      <c r="E723" t="str">
        <f>""</f>
        <v/>
      </c>
      <c r="F723" t="str">
        <f>""</f>
        <v/>
      </c>
      <c r="H723" t="str">
        <f>"S/H"</f>
        <v>S/H</v>
      </c>
    </row>
    <row r="724" spans="1:8" x14ac:dyDescent="0.25">
      <c r="A724" t="s">
        <v>179</v>
      </c>
      <c r="B724">
        <v>131553</v>
      </c>
      <c r="C724" s="5">
        <v>375</v>
      </c>
      <c r="D724" s="1">
        <v>43934</v>
      </c>
      <c r="E724" t="str">
        <f>"924837"</f>
        <v>924837</v>
      </c>
      <c r="F724" t="str">
        <f>"TRASH PICK UP/PCT#1"</f>
        <v>TRASH PICK UP/PCT#1</v>
      </c>
      <c r="G724" s="5">
        <v>375</v>
      </c>
      <c r="H724" t="str">
        <f>"TRASH PICK UP/PCT#1"</f>
        <v>TRASH PICK UP/PCT#1</v>
      </c>
    </row>
    <row r="725" spans="1:8" x14ac:dyDescent="0.25">
      <c r="A725" t="s">
        <v>179</v>
      </c>
      <c r="B725">
        <v>131705</v>
      </c>
      <c r="C725" s="5">
        <v>345</v>
      </c>
      <c r="D725" s="1">
        <v>43948</v>
      </c>
      <c r="E725" t="str">
        <f>"924840"</f>
        <v>924840</v>
      </c>
      <c r="F725" t="str">
        <f>"TRASH PICKUP/PCT#1"</f>
        <v>TRASH PICKUP/PCT#1</v>
      </c>
      <c r="G725" s="5">
        <v>345</v>
      </c>
      <c r="H725" t="str">
        <f>"TRASH PICKUP/PCT#1"</f>
        <v>TRASH PICKUP/PCT#1</v>
      </c>
    </row>
    <row r="726" spans="1:8" x14ac:dyDescent="0.25">
      <c r="A726" t="s">
        <v>180</v>
      </c>
      <c r="B726">
        <v>2455</v>
      </c>
      <c r="C726" s="5">
        <v>2717</v>
      </c>
      <c r="D726" s="1">
        <v>43935</v>
      </c>
      <c r="E726" t="str">
        <f>"302"</f>
        <v>302</v>
      </c>
      <c r="F726" t="str">
        <f>"TOWER RENT - APRIL 2020"</f>
        <v>TOWER RENT - APRIL 2020</v>
      </c>
      <c r="G726" s="5">
        <v>2717</v>
      </c>
      <c r="H726" t="str">
        <f>"TOWER RENT - APRIL 2020"</f>
        <v>TOWER RENT - APRIL 2020</v>
      </c>
    </row>
    <row r="727" spans="1:8" x14ac:dyDescent="0.25">
      <c r="A727" t="s">
        <v>181</v>
      </c>
      <c r="B727">
        <v>131554</v>
      </c>
      <c r="C727" s="5">
        <v>210</v>
      </c>
      <c r="D727" s="1">
        <v>43934</v>
      </c>
      <c r="E727" t="str">
        <f>"2712"</f>
        <v>2712</v>
      </c>
      <c r="F727" t="str">
        <f>"PORTABLE TOILET/HANDICAP"</f>
        <v>PORTABLE TOILET/HANDICAP</v>
      </c>
      <c r="G727" s="5">
        <v>210</v>
      </c>
      <c r="H727" t="str">
        <f>"PORTABLE TOILET/HANDICAP"</f>
        <v>PORTABLE TOILET/HANDICAP</v>
      </c>
    </row>
    <row r="728" spans="1:8" x14ac:dyDescent="0.25">
      <c r="A728" t="s">
        <v>182</v>
      </c>
      <c r="B728">
        <v>2494</v>
      </c>
      <c r="C728" s="5">
        <v>99</v>
      </c>
      <c r="D728" s="1">
        <v>43949</v>
      </c>
      <c r="E728" t="str">
        <f>"275104"</f>
        <v>275104</v>
      </c>
      <c r="F728" t="str">
        <f>"ORD#1269-9884/APRIL-JUNE 2020"</f>
        <v>ORD#1269-9884/APRIL-JUNE 2020</v>
      </c>
      <c r="G728" s="5">
        <v>99</v>
      </c>
      <c r="H728" t="str">
        <f>"ORD#1269-9884/APRIL-JUNE 2020"</f>
        <v>ORD#1269-9884/APRIL-JUNE 2020</v>
      </c>
    </row>
    <row r="729" spans="1:8" x14ac:dyDescent="0.25">
      <c r="A729" t="s">
        <v>183</v>
      </c>
      <c r="B729">
        <v>131555</v>
      </c>
      <c r="C729" s="5">
        <v>2324.08</v>
      </c>
      <c r="D729" s="1">
        <v>43934</v>
      </c>
      <c r="E729" t="str">
        <f>"R301011038:01"</f>
        <v>R301011038:01</v>
      </c>
      <c r="F729" t="str">
        <f>"ACCT#104992/2002 INTL/PCT#1"</f>
        <v>ACCT#104992/2002 INTL/PCT#1</v>
      </c>
      <c r="G729" s="5">
        <v>2160.2600000000002</v>
      </c>
      <c r="H729" t="str">
        <f>"ACCT#104992/2002 INTL/PCT#1"</f>
        <v>ACCT#104992/2002 INTL/PCT#1</v>
      </c>
    </row>
    <row r="730" spans="1:8" x14ac:dyDescent="0.25">
      <c r="E730" t="str">
        <f>"X301074236:01"</f>
        <v>X301074236:01</v>
      </c>
      <c r="F730" t="str">
        <f>"ACCT#104992/FLEET#748638/PCT#1"</f>
        <v>ACCT#104992/FLEET#748638/PCT#1</v>
      </c>
      <c r="G730" s="5">
        <v>163.82</v>
      </c>
      <c r="H730" t="str">
        <f>"ACCT#104992/FLEET#748638/PCT#1"</f>
        <v>ACCT#104992/FLEET#748638/PCT#1</v>
      </c>
    </row>
    <row r="731" spans="1:8" x14ac:dyDescent="0.25">
      <c r="A731" t="s">
        <v>183</v>
      </c>
      <c r="B731">
        <v>131706</v>
      </c>
      <c r="C731" s="5">
        <v>1135.74</v>
      </c>
      <c r="D731" s="1">
        <v>43948</v>
      </c>
      <c r="E731" t="str">
        <f>"R301011468:01"</f>
        <v>R301011468:01</v>
      </c>
      <c r="F731" t="str">
        <f>"ACCT#104992/PCT#1"</f>
        <v>ACCT#104992/PCT#1</v>
      </c>
      <c r="G731" s="5">
        <v>1135.74</v>
      </c>
      <c r="H731" t="str">
        <f>"ACCT#104992/PCT#1"</f>
        <v>ACCT#104992/PCT#1</v>
      </c>
    </row>
    <row r="732" spans="1:8" x14ac:dyDescent="0.25">
      <c r="A732" t="s">
        <v>184</v>
      </c>
      <c r="B732">
        <v>131556</v>
      </c>
      <c r="C732" s="5">
        <v>1063.8699999999999</v>
      </c>
      <c r="D732" s="1">
        <v>43934</v>
      </c>
      <c r="E732" t="str">
        <f>"202004036148"</f>
        <v>202004036148</v>
      </c>
      <c r="F732" t="str">
        <f>"ACCT#1645/WILDIFRE MITIGATION"</f>
        <v>ACCT#1645/WILDIFRE MITIGATION</v>
      </c>
      <c r="G732" s="5">
        <v>263.95</v>
      </c>
      <c r="H732" t="str">
        <f>"ACCT#1645/WILDIFRE MITIGATION"</f>
        <v>ACCT#1645/WILDIFRE MITIGATION</v>
      </c>
    </row>
    <row r="733" spans="1:8" x14ac:dyDescent="0.25">
      <c r="E733" t="str">
        <f>"202004036159"</f>
        <v>202004036159</v>
      </c>
      <c r="F733" t="str">
        <f>"ACCT#1650/PCT#1"</f>
        <v>ACCT#1650/PCT#1</v>
      </c>
      <c r="G733" s="5">
        <v>217.37</v>
      </c>
      <c r="H733" t="str">
        <f>"ACCT#1650/PCT#1"</f>
        <v>ACCT#1650/PCT#1</v>
      </c>
    </row>
    <row r="734" spans="1:8" x14ac:dyDescent="0.25">
      <c r="E734" t="str">
        <f>"202004036161"</f>
        <v>202004036161</v>
      </c>
      <c r="F734" t="str">
        <f>"ACCT#1700/PCT#2"</f>
        <v>ACCT#1700/PCT#2</v>
      </c>
      <c r="G734" s="5">
        <v>31.42</v>
      </c>
      <c r="H734" t="str">
        <f>"ACCT#1700/PCT#2"</f>
        <v>ACCT#1700/PCT#2</v>
      </c>
    </row>
    <row r="735" spans="1:8" x14ac:dyDescent="0.25">
      <c r="E735" t="str">
        <f>"202004036168"</f>
        <v>202004036168</v>
      </c>
      <c r="F735" t="str">
        <f>"ACCT#1750/PCT#3"</f>
        <v>ACCT#1750/PCT#3</v>
      </c>
      <c r="G735" s="5">
        <v>183.38</v>
      </c>
      <c r="H735" t="str">
        <f>"ACCT#1750/PCT#3"</f>
        <v>ACCT#1750/PCT#3</v>
      </c>
    </row>
    <row r="736" spans="1:8" x14ac:dyDescent="0.25">
      <c r="E736" t="str">
        <f>"202004086374"</f>
        <v>202004086374</v>
      </c>
      <c r="F736" t="str">
        <f>"ACCT#1800/PCT#4"</f>
        <v>ACCT#1800/PCT#4</v>
      </c>
      <c r="G736" s="5">
        <v>367.75</v>
      </c>
      <c r="H736" t="str">
        <f>"ACCT#1800/PCT#4"</f>
        <v>ACCT#1800/PCT#4</v>
      </c>
    </row>
    <row r="737" spans="1:8" x14ac:dyDescent="0.25">
      <c r="A737" t="s">
        <v>185</v>
      </c>
      <c r="B737">
        <v>2404</v>
      </c>
      <c r="C737" s="5">
        <v>5588.5</v>
      </c>
      <c r="D737" s="1">
        <v>43935</v>
      </c>
      <c r="E737" t="str">
        <f>"03189545 03254798"</f>
        <v>03189545 03254798</v>
      </c>
      <c r="F737" t="str">
        <f>"INV 03189545"</f>
        <v>INV 03189545</v>
      </c>
      <c r="G737" s="5">
        <v>5588.5</v>
      </c>
      <c r="H737" t="str">
        <f>"INV 03189545"</f>
        <v>INV 03189545</v>
      </c>
    </row>
    <row r="738" spans="1:8" x14ac:dyDescent="0.25">
      <c r="E738" t="str">
        <f>""</f>
        <v/>
      </c>
      <c r="F738" t="str">
        <f>""</f>
        <v/>
      </c>
      <c r="H738" t="str">
        <f>"INV 03254798"</f>
        <v>INV 03254798</v>
      </c>
    </row>
    <row r="739" spans="1:8" x14ac:dyDescent="0.25">
      <c r="E739" t="str">
        <f>""</f>
        <v/>
      </c>
      <c r="F739" t="str">
        <f>""</f>
        <v/>
      </c>
      <c r="H739" t="str">
        <f>"INV 04019788"</f>
        <v>INV 04019788</v>
      </c>
    </row>
    <row r="740" spans="1:8" x14ac:dyDescent="0.25">
      <c r="A740" t="s">
        <v>185</v>
      </c>
      <c r="B740">
        <v>2485</v>
      </c>
      <c r="C740" s="5">
        <v>1228.3699999999999</v>
      </c>
      <c r="D740" s="1">
        <v>43949</v>
      </c>
      <c r="E740" t="str">
        <f>"04084283  04159230"</f>
        <v>04084283  04159230</v>
      </c>
      <c r="F740" t="str">
        <f>"INV 04084283"</f>
        <v>INV 04084283</v>
      </c>
      <c r="G740" s="5">
        <v>1228.3699999999999</v>
      </c>
      <c r="H740" t="str">
        <f>"INV 04084283"</f>
        <v>INV 04084283</v>
      </c>
    </row>
    <row r="741" spans="1:8" x14ac:dyDescent="0.25">
      <c r="E741" t="str">
        <f>""</f>
        <v/>
      </c>
      <c r="F741" t="str">
        <f>""</f>
        <v/>
      </c>
      <c r="H741" t="str">
        <f>"INV 04159230"</f>
        <v>INV 04159230</v>
      </c>
    </row>
    <row r="742" spans="1:8" x14ac:dyDescent="0.25">
      <c r="A742" t="s">
        <v>186</v>
      </c>
      <c r="B742">
        <v>2437</v>
      </c>
      <c r="C742" s="5">
        <v>150</v>
      </c>
      <c r="D742" s="1">
        <v>43935</v>
      </c>
      <c r="E742" t="str">
        <f>"202004036165"</f>
        <v>202004036165</v>
      </c>
      <c r="F742" t="str">
        <f>"CLEANING SERVICE 03/29/PCT#2"</f>
        <v>CLEANING SERVICE 03/29/PCT#2</v>
      </c>
      <c r="G742" s="5">
        <v>150</v>
      </c>
      <c r="H742" t="str">
        <f>"CLEANING SERVICE 03/29/PCT#2"</f>
        <v>CLEANING SERVICE 03/29/PCT#2</v>
      </c>
    </row>
    <row r="743" spans="1:8" x14ac:dyDescent="0.25">
      <c r="A743" t="s">
        <v>186</v>
      </c>
      <c r="B743">
        <v>2505</v>
      </c>
      <c r="C743" s="5">
        <v>150</v>
      </c>
      <c r="D743" s="1">
        <v>43949</v>
      </c>
      <c r="E743" t="str">
        <f>"202004226574"</f>
        <v>202004226574</v>
      </c>
      <c r="F743" t="str">
        <f>"CLEANING SERVICE 04/12/PCT#2"</f>
        <v>CLEANING SERVICE 04/12/PCT#2</v>
      </c>
      <c r="G743" s="5">
        <v>150</v>
      </c>
      <c r="H743" t="str">
        <f>"CLEANING SERVICE 04/12/PCT#2"</f>
        <v>CLEANING SERVICE 04/12/PCT#2</v>
      </c>
    </row>
    <row r="744" spans="1:8" x14ac:dyDescent="0.25">
      <c r="A744" t="s">
        <v>187</v>
      </c>
      <c r="B744">
        <v>131557</v>
      </c>
      <c r="C744" s="5">
        <v>990</v>
      </c>
      <c r="D744" s="1">
        <v>43934</v>
      </c>
      <c r="E744" t="str">
        <f>"210622"</f>
        <v>210622</v>
      </c>
      <c r="F744" t="str">
        <f>"INV 210622"</f>
        <v>INV 210622</v>
      </c>
      <c r="G744" s="5">
        <v>990</v>
      </c>
      <c r="H744" t="str">
        <f>"INV 210622"</f>
        <v>INV 210622</v>
      </c>
    </row>
    <row r="745" spans="1:8" x14ac:dyDescent="0.25">
      <c r="A745" t="s">
        <v>188</v>
      </c>
      <c r="B745">
        <v>131474</v>
      </c>
      <c r="C745" s="5">
        <v>120.22</v>
      </c>
      <c r="D745" s="1">
        <v>43930</v>
      </c>
      <c r="E745" t="str">
        <f>"202004096414"</f>
        <v>202004096414</v>
      </c>
      <c r="F745" t="str">
        <f>"ACCT#1-09-00072-02 1/03252020"</f>
        <v>ACCT#1-09-00072-02 1/03252020</v>
      </c>
      <c r="G745" s="5">
        <v>120.22</v>
      </c>
      <c r="H745" t="str">
        <f>"ACCT#1-09-00072-02 1/03252020"</f>
        <v>ACCT#1-09-00072-02 1/03252020</v>
      </c>
    </row>
    <row r="746" spans="1:8" x14ac:dyDescent="0.25">
      <c r="A746" t="s">
        <v>189</v>
      </c>
      <c r="B746">
        <v>131558</v>
      </c>
      <c r="C746" s="5">
        <v>711</v>
      </c>
      <c r="D746" s="1">
        <v>43934</v>
      </c>
      <c r="E746" t="str">
        <f>"0558804087"</f>
        <v>0558804087</v>
      </c>
      <c r="F746" t="str">
        <f>"INV 0558804087"</f>
        <v>INV 0558804087</v>
      </c>
      <c r="G746" s="5">
        <v>711</v>
      </c>
      <c r="H746" t="str">
        <f>"INV 0558804087"</f>
        <v>INV 0558804087</v>
      </c>
    </row>
    <row r="747" spans="1:8" x14ac:dyDescent="0.25">
      <c r="A747" t="s">
        <v>190</v>
      </c>
      <c r="B747">
        <v>131559</v>
      </c>
      <c r="C747" s="5">
        <v>225</v>
      </c>
      <c r="D747" s="1">
        <v>43934</v>
      </c>
      <c r="E747" t="str">
        <f>"20256"</f>
        <v>20256</v>
      </c>
      <c r="F747" t="str">
        <f>"SPANISH TRANS  1SC-0020-19"</f>
        <v>SPANISH TRANS  1SC-0020-19</v>
      </c>
      <c r="G747" s="5">
        <v>225</v>
      </c>
      <c r="H747" t="str">
        <f>"SPANISH TRANS  1SC-0020-19"</f>
        <v>SPANISH TRANS  1SC-0020-19</v>
      </c>
    </row>
    <row r="748" spans="1:8" x14ac:dyDescent="0.25">
      <c r="A748" t="s">
        <v>191</v>
      </c>
      <c r="B748">
        <v>131560</v>
      </c>
      <c r="C748" s="5">
        <v>50</v>
      </c>
      <c r="D748" s="1">
        <v>43934</v>
      </c>
      <c r="E748" t="str">
        <f>"1394645-20200331"</f>
        <v>1394645-20200331</v>
      </c>
      <c r="F748" t="str">
        <f>"BILL ID:1394645/COUNTY CLERK"</f>
        <v>BILL ID:1394645/COUNTY CLERK</v>
      </c>
      <c r="G748" s="5">
        <v>50</v>
      </c>
      <c r="H748" t="str">
        <f>"BILL ID:1394645/COUNTY CLERK"</f>
        <v>BILL ID:1394645/COUNTY CLERK</v>
      </c>
    </row>
    <row r="749" spans="1:8" x14ac:dyDescent="0.25">
      <c r="A749" t="s">
        <v>191</v>
      </c>
      <c r="B749">
        <v>131707</v>
      </c>
      <c r="C749" s="5">
        <v>1325.3</v>
      </c>
      <c r="D749" s="1">
        <v>43948</v>
      </c>
      <c r="E749" t="str">
        <f>"1211621-20200331"</f>
        <v>1211621-20200331</v>
      </c>
      <c r="F749" t="str">
        <f>"BILL ID:1211621/HEALTH SERVICE"</f>
        <v>BILL ID:1211621/HEALTH SERVICE</v>
      </c>
      <c r="G749" s="5">
        <v>839.6</v>
      </c>
      <c r="H749" t="str">
        <f>"BILL ID:1211621/HEALTH SERVICE"</f>
        <v>BILL ID:1211621/HEALTH SERVICE</v>
      </c>
    </row>
    <row r="750" spans="1:8" x14ac:dyDescent="0.25">
      <c r="E750" t="str">
        <f>"1361725-20200331"</f>
        <v>1361725-20200331</v>
      </c>
      <c r="F750" t="str">
        <f>"BILL ID:1361725/INDIGENT HEALT"</f>
        <v>BILL ID:1361725/INDIGENT HEALT</v>
      </c>
      <c r="G750" s="5">
        <v>150</v>
      </c>
      <c r="H750" t="str">
        <f>"BILL ID:1361725/INDIGENT HEALT"</f>
        <v>BILL ID:1361725/INDIGENT HEALT</v>
      </c>
    </row>
    <row r="751" spans="1:8" x14ac:dyDescent="0.25">
      <c r="E751" t="str">
        <f>"1420944-20200331"</f>
        <v>1420944-20200331</v>
      </c>
      <c r="F751" t="str">
        <f>"BILL ID:1420944/SHERIFF'S OFF"</f>
        <v>BILL ID:1420944/SHERIFF'S OFF</v>
      </c>
      <c r="G751" s="5">
        <v>285.7</v>
      </c>
      <c r="H751" t="str">
        <f>"BILL ID:1420944/SHERIFF'S OFF"</f>
        <v>BILL ID:1420944/SHERIFF'S OFF</v>
      </c>
    </row>
    <row r="752" spans="1:8" x14ac:dyDescent="0.25">
      <c r="E752" t="str">
        <f>"1489870-2020331"</f>
        <v>1489870-2020331</v>
      </c>
      <c r="F752" t="str">
        <f>"BILL ID:1489870/DISTRICT CLERK"</f>
        <v>BILL ID:1489870/DISTRICT CLERK</v>
      </c>
      <c r="G752" s="5">
        <v>50</v>
      </c>
      <c r="H752" t="str">
        <f>"BILL ID:1489870/DISTRICT CLERK"</f>
        <v>BILL ID:1489870/DISTRICT CLERK</v>
      </c>
    </row>
    <row r="753" spans="1:8" x14ac:dyDescent="0.25">
      <c r="A753" t="s">
        <v>192</v>
      </c>
      <c r="B753">
        <v>2459</v>
      </c>
      <c r="C753" s="5">
        <v>7.5</v>
      </c>
      <c r="D753" s="1">
        <v>43935</v>
      </c>
      <c r="E753" t="str">
        <f>"202003256104"</f>
        <v>202003256104</v>
      </c>
      <c r="F753" t="str">
        <f>"VEHICLE REGISTRATION/PCT#4"</f>
        <v>VEHICLE REGISTRATION/PCT#4</v>
      </c>
      <c r="G753" s="5">
        <v>7.5</v>
      </c>
      <c r="H753" t="str">
        <f>"VEHICLE REGISTRATION/PCT#4"</f>
        <v>VEHICLE REGISTRATION/PCT#4</v>
      </c>
    </row>
    <row r="754" spans="1:8" x14ac:dyDescent="0.25">
      <c r="A754" t="s">
        <v>192</v>
      </c>
      <c r="B754">
        <v>2519</v>
      </c>
      <c r="C754" s="5">
        <v>70</v>
      </c>
      <c r="D754" s="1">
        <v>43949</v>
      </c>
      <c r="E754" t="str">
        <f>"202004206446"</f>
        <v>202004206446</v>
      </c>
      <c r="F754" t="str">
        <f>"2020 FORD F350/PCT#2"</f>
        <v>2020 FORD F350/PCT#2</v>
      </c>
      <c r="G754" s="5">
        <v>7.5</v>
      </c>
      <c r="H754" t="str">
        <f>"2020 FORD F350/PCT#2"</f>
        <v>2020 FORD F350/PCT#2</v>
      </c>
    </row>
    <row r="755" spans="1:8" x14ac:dyDescent="0.25">
      <c r="E755" t="str">
        <f>"202004206447"</f>
        <v>202004206447</v>
      </c>
      <c r="F755" t="str">
        <f>"2021 FRHT/PCT#2"</f>
        <v>2021 FRHT/PCT#2</v>
      </c>
      <c r="G755" s="5">
        <v>22</v>
      </c>
      <c r="H755" t="str">
        <f>"2021 FRHT/PCT#2"</f>
        <v>2021 FRHT/PCT#2</v>
      </c>
    </row>
    <row r="756" spans="1:8" x14ac:dyDescent="0.25">
      <c r="E756" t="str">
        <f>"202004206449"</f>
        <v>202004206449</v>
      </c>
      <c r="F756" t="str">
        <f>"2020 FORD F250REGIST/PCT#1"</f>
        <v>2020 FORD F250REGIST/PCT#1</v>
      </c>
      <c r="G756" s="5">
        <v>7.5</v>
      </c>
      <c r="H756" t="str">
        <f>"2020 FORD F250REGIST/PCT#1"</f>
        <v>2020 FORD F250REGIST/PCT#1</v>
      </c>
    </row>
    <row r="757" spans="1:8" x14ac:dyDescent="0.25">
      <c r="E757" t="str">
        <f>"202004226573"</f>
        <v>202004226573</v>
      </c>
      <c r="F757" t="str">
        <f>"TITLE ONLY-2006 HONDA/SHERIFF"</f>
        <v>TITLE ONLY-2006 HONDA/SHERIFF</v>
      </c>
      <c r="G757" s="5">
        <v>33</v>
      </c>
      <c r="H757" t="str">
        <f>"TITLE ONLY-2006 HONDA/SHERIFF"</f>
        <v>TITLE ONLY-2006 HONDA/SHERIFF</v>
      </c>
    </row>
    <row r="758" spans="1:8" x14ac:dyDescent="0.25">
      <c r="A758" t="s">
        <v>193</v>
      </c>
      <c r="B758">
        <v>2425</v>
      </c>
      <c r="C758" s="5">
        <v>18682.48</v>
      </c>
      <c r="D758" s="1">
        <v>43935</v>
      </c>
      <c r="E758" t="str">
        <f>"202003256102"</f>
        <v>202003256102</v>
      </c>
      <c r="F758" t="str">
        <f>"GRANT REIMBURSEMENT"</f>
        <v>GRANT REIMBURSEMENT</v>
      </c>
      <c r="G758" s="5">
        <v>18682.48</v>
      </c>
      <c r="H758" t="str">
        <f>"GRANT REIMBURSEMENT"</f>
        <v>GRANT REIMBURSEMENT</v>
      </c>
    </row>
    <row r="759" spans="1:8" x14ac:dyDescent="0.25">
      <c r="A759" t="s">
        <v>193</v>
      </c>
      <c r="B759">
        <v>2500</v>
      </c>
      <c r="C759" s="5">
        <v>656.61</v>
      </c>
      <c r="D759" s="1">
        <v>43949</v>
      </c>
      <c r="E759" t="str">
        <f>"202004226585"</f>
        <v>202004226585</v>
      </c>
      <c r="F759" t="str">
        <f>"INDIGENT HEALTH"</f>
        <v>INDIGENT HEALTH</v>
      </c>
      <c r="G759" s="5">
        <v>656.61</v>
      </c>
      <c r="H759" t="str">
        <f>"INDIGENT HEALTH"</f>
        <v>INDIGENT HEALTH</v>
      </c>
    </row>
    <row r="760" spans="1:8" x14ac:dyDescent="0.25">
      <c r="E760" t="str">
        <f>""</f>
        <v/>
      </c>
      <c r="F760" t="str">
        <f>""</f>
        <v/>
      </c>
      <c r="H760" t="str">
        <f>"INDIGENT HEALTH"</f>
        <v>INDIGENT HEALTH</v>
      </c>
    </row>
    <row r="761" spans="1:8" x14ac:dyDescent="0.25">
      <c r="E761" t="str">
        <f>""</f>
        <v/>
      </c>
      <c r="F761" t="str">
        <f>""</f>
        <v/>
      </c>
      <c r="H761" t="str">
        <f>"INDIGENT HEALTH"</f>
        <v>INDIGENT HEALTH</v>
      </c>
    </row>
    <row r="762" spans="1:8" x14ac:dyDescent="0.25">
      <c r="A762" t="s">
        <v>194</v>
      </c>
      <c r="B762">
        <v>2433</v>
      </c>
      <c r="C762" s="5">
        <v>1527.5</v>
      </c>
      <c r="D762" s="1">
        <v>43935</v>
      </c>
      <c r="E762" t="str">
        <f>"202004086369"</f>
        <v>202004086369</v>
      </c>
      <c r="F762" t="str">
        <f>"TRASH REMOVAL 04/02-04/11/P4"</f>
        <v>TRASH REMOVAL 04/02-04/11/P4</v>
      </c>
      <c r="G762" s="5">
        <v>806</v>
      </c>
      <c r="H762" t="str">
        <f>"TRASH REMOVAL 04/02-04/11/P4"</f>
        <v>TRASH REMOVAL 04/02-04/11/P4</v>
      </c>
    </row>
    <row r="763" spans="1:8" x14ac:dyDescent="0.25">
      <c r="E763" t="str">
        <f>"202004086370"</f>
        <v>202004086370</v>
      </c>
      <c r="F763" t="str">
        <f>"TRASH REMOVAL 03/23-03/31/P4"</f>
        <v>TRASH REMOVAL 03/23-03/31/P4</v>
      </c>
      <c r="G763" s="5">
        <v>721.5</v>
      </c>
      <c r="H763" t="str">
        <f>"TRASH REMOVAL 03/23-03/31/P4"</f>
        <v>TRASH REMOVAL 03/23-03/31/P4</v>
      </c>
    </row>
    <row r="764" spans="1:8" x14ac:dyDescent="0.25">
      <c r="A764" t="s">
        <v>194</v>
      </c>
      <c r="B764">
        <v>2504</v>
      </c>
      <c r="C764" s="5">
        <v>780</v>
      </c>
      <c r="D764" s="1">
        <v>43949</v>
      </c>
      <c r="E764" t="str">
        <f>"202004226564"</f>
        <v>202004226564</v>
      </c>
      <c r="F764" t="str">
        <f>"TRASH REMOVAL 04/13-04/24/P4"</f>
        <v>TRASH REMOVAL 04/13-04/24/P4</v>
      </c>
      <c r="G764" s="5">
        <v>780</v>
      </c>
      <c r="H764" t="str">
        <f>"TRASH REMOVAL 04/13-04/24/P4"</f>
        <v>TRASH REMOVAL 04/13-04/24/P4</v>
      </c>
    </row>
    <row r="765" spans="1:8" x14ac:dyDescent="0.25">
      <c r="A765" t="s">
        <v>195</v>
      </c>
      <c r="B765">
        <v>2464</v>
      </c>
      <c r="C765" s="5">
        <v>160</v>
      </c>
      <c r="D765" s="1">
        <v>43935</v>
      </c>
      <c r="E765" t="str">
        <f>"202004076247"</f>
        <v>202004076247</v>
      </c>
      <c r="F765" t="str">
        <f>"INV 10-0090351/10-0090350"</f>
        <v>INV 10-0090351/10-0090350</v>
      </c>
      <c r="G765" s="5">
        <v>160</v>
      </c>
      <c r="H765" t="str">
        <f>"INV 10-0090351"</f>
        <v>INV 10-0090351</v>
      </c>
    </row>
    <row r="766" spans="1:8" x14ac:dyDescent="0.25">
      <c r="E766" t="str">
        <f>""</f>
        <v/>
      </c>
      <c r="F766" t="str">
        <f>""</f>
        <v/>
      </c>
      <c r="H766" t="str">
        <f>"INV 10-0090350"</f>
        <v>INV 10-0090350</v>
      </c>
    </row>
    <row r="767" spans="1:8" x14ac:dyDescent="0.25">
      <c r="E767" t="str">
        <f>""</f>
        <v/>
      </c>
      <c r="F767" t="str">
        <f>""</f>
        <v/>
      </c>
      <c r="H767" t="str">
        <f>"INV 10-0089324"</f>
        <v>INV 10-0089324</v>
      </c>
    </row>
    <row r="768" spans="1:8" x14ac:dyDescent="0.25">
      <c r="E768" t="str">
        <f>""</f>
        <v/>
      </c>
      <c r="F768" t="str">
        <f>""</f>
        <v/>
      </c>
      <c r="H768" t="str">
        <f>"INV 10-0090423"</f>
        <v>INV 10-0090423</v>
      </c>
    </row>
    <row r="769" spans="1:8" x14ac:dyDescent="0.25">
      <c r="A769" t="s">
        <v>196</v>
      </c>
      <c r="B769">
        <v>131561</v>
      </c>
      <c r="C769" s="5">
        <v>291.31</v>
      </c>
      <c r="D769" s="1">
        <v>43934</v>
      </c>
      <c r="E769" t="str">
        <f>"202004076233"</f>
        <v>202004076233</v>
      </c>
      <c r="F769" t="str">
        <f>"acct# 8692"</f>
        <v>acct# 8692</v>
      </c>
      <c r="G769" s="5">
        <v>291.31</v>
      </c>
      <c r="H769" t="str">
        <f>"inv# 911176"</f>
        <v>inv# 911176</v>
      </c>
    </row>
    <row r="770" spans="1:8" x14ac:dyDescent="0.25">
      <c r="E770" t="str">
        <f>""</f>
        <v/>
      </c>
      <c r="F770" t="str">
        <f>""</f>
        <v/>
      </c>
      <c r="H770" t="str">
        <f>"inv# 908347"</f>
        <v>inv# 908347</v>
      </c>
    </row>
    <row r="771" spans="1:8" x14ac:dyDescent="0.25">
      <c r="E771" t="str">
        <f>""</f>
        <v/>
      </c>
      <c r="F771" t="str">
        <f>""</f>
        <v/>
      </c>
      <c r="H771" t="str">
        <f>"inv# 909007"</f>
        <v>inv# 909007</v>
      </c>
    </row>
    <row r="772" spans="1:8" x14ac:dyDescent="0.25">
      <c r="E772" t="str">
        <f>""</f>
        <v/>
      </c>
      <c r="F772" t="str">
        <f>""</f>
        <v/>
      </c>
      <c r="H772" t="str">
        <f>"inv# 909545"</f>
        <v>inv# 909545</v>
      </c>
    </row>
    <row r="773" spans="1:8" x14ac:dyDescent="0.25">
      <c r="A773" t="s">
        <v>197</v>
      </c>
      <c r="B773">
        <v>131708</v>
      </c>
      <c r="C773" s="5">
        <v>506.88</v>
      </c>
      <c r="D773" s="1">
        <v>43948</v>
      </c>
      <c r="E773" t="str">
        <f>"202004226586"</f>
        <v>202004226586</v>
      </c>
      <c r="F773" t="str">
        <f>"INDIGENT HEALTH"</f>
        <v>INDIGENT HEALTH</v>
      </c>
      <c r="G773" s="5">
        <v>506.88</v>
      </c>
      <c r="H773" t="str">
        <f>"INDIGENT HEALTH"</f>
        <v>INDIGENT HEALTH</v>
      </c>
    </row>
    <row r="774" spans="1:8" x14ac:dyDescent="0.25">
      <c r="E774" t="str">
        <f>""</f>
        <v/>
      </c>
      <c r="F774" t="str">
        <f>""</f>
        <v/>
      </c>
      <c r="H774" t="str">
        <f>"INDIGENT HEALTH"</f>
        <v>INDIGENT HEALTH</v>
      </c>
    </row>
    <row r="775" spans="1:8" x14ac:dyDescent="0.25">
      <c r="A775" t="s">
        <v>198</v>
      </c>
      <c r="B775">
        <v>131709</v>
      </c>
      <c r="C775" s="5">
        <v>588.34</v>
      </c>
      <c r="D775" s="1">
        <v>43948</v>
      </c>
      <c r="E775" t="str">
        <f>"001872729"</f>
        <v>001872729</v>
      </c>
      <c r="F775" t="str">
        <f>"INV001872729"</f>
        <v>INV001872729</v>
      </c>
      <c r="G775" s="5">
        <v>588.34</v>
      </c>
      <c r="H775" t="str">
        <f>"INV001872729"</f>
        <v>INV001872729</v>
      </c>
    </row>
    <row r="776" spans="1:8" x14ac:dyDescent="0.25">
      <c r="A776" t="s">
        <v>199</v>
      </c>
      <c r="B776">
        <v>2422</v>
      </c>
      <c r="C776" s="5">
        <v>1843.75</v>
      </c>
      <c r="D776" s="1">
        <v>43935</v>
      </c>
      <c r="E776" t="str">
        <f>"202004076338"</f>
        <v>202004076338</v>
      </c>
      <c r="F776" t="str">
        <f>"20-20056"</f>
        <v>20-20056</v>
      </c>
      <c r="G776" s="5">
        <v>618.75</v>
      </c>
      <c r="H776" t="str">
        <f>"20-20056"</f>
        <v>20-20056</v>
      </c>
    </row>
    <row r="777" spans="1:8" x14ac:dyDescent="0.25">
      <c r="E777" t="str">
        <f>"202004076339"</f>
        <v>202004076339</v>
      </c>
      <c r="F777" t="str">
        <f>"19-S-07104"</f>
        <v>19-S-07104</v>
      </c>
      <c r="G777" s="5">
        <v>250</v>
      </c>
      <c r="H777" t="str">
        <f>"19-S-07104"</f>
        <v>19-S-07104</v>
      </c>
    </row>
    <row r="778" spans="1:8" x14ac:dyDescent="0.25">
      <c r="E778" t="str">
        <f>"202004076340"</f>
        <v>202004076340</v>
      </c>
      <c r="F778" t="str">
        <f>"4071094"</f>
        <v>4071094</v>
      </c>
      <c r="G778" s="5">
        <v>250</v>
      </c>
      <c r="H778" t="str">
        <f>"4071094"</f>
        <v>4071094</v>
      </c>
    </row>
    <row r="779" spans="1:8" x14ac:dyDescent="0.25">
      <c r="E779" t="str">
        <f>"202004076341"</f>
        <v>202004076341</v>
      </c>
      <c r="F779" t="str">
        <f>"57 190"</f>
        <v>57 190</v>
      </c>
      <c r="G779" s="5">
        <v>250</v>
      </c>
      <c r="H779" t="str">
        <f>"57 190"</f>
        <v>57 190</v>
      </c>
    </row>
    <row r="780" spans="1:8" x14ac:dyDescent="0.25">
      <c r="E780" t="str">
        <f>"202004076342"</f>
        <v>202004076342</v>
      </c>
      <c r="F780" t="str">
        <f>"56 100"</f>
        <v>56 100</v>
      </c>
      <c r="G780" s="5">
        <v>250</v>
      </c>
      <c r="H780" t="str">
        <f>"56 100"</f>
        <v>56 100</v>
      </c>
    </row>
    <row r="781" spans="1:8" x14ac:dyDescent="0.25">
      <c r="E781" t="str">
        <f>"202004076343"</f>
        <v>202004076343</v>
      </c>
      <c r="F781" t="str">
        <f>"19-19465"</f>
        <v>19-19465</v>
      </c>
      <c r="G781" s="5">
        <v>225</v>
      </c>
      <c r="H781" t="str">
        <f>"19-19465"</f>
        <v>19-19465</v>
      </c>
    </row>
    <row r="782" spans="1:8" x14ac:dyDescent="0.25">
      <c r="A782" t="s">
        <v>200</v>
      </c>
      <c r="B782">
        <v>131562</v>
      </c>
      <c r="C782" s="5">
        <v>624.22</v>
      </c>
      <c r="D782" s="1">
        <v>43934</v>
      </c>
      <c r="E782" t="str">
        <f>"21385718"</f>
        <v>21385718</v>
      </c>
      <c r="F782" t="str">
        <f>"ACCT#S9549/PCT#1"</f>
        <v>ACCT#S9549/PCT#1</v>
      </c>
      <c r="G782" s="5">
        <v>73.45</v>
      </c>
      <c r="H782" t="str">
        <f>"ACCT#S9549/PCT#1"</f>
        <v>ACCT#S9549/PCT#1</v>
      </c>
    </row>
    <row r="783" spans="1:8" x14ac:dyDescent="0.25">
      <c r="E783" t="str">
        <f>"21423089"</f>
        <v>21423089</v>
      </c>
      <c r="F783" t="str">
        <f>"ACCT#S9549/PCT#1"</f>
        <v>ACCT#S9549/PCT#1</v>
      </c>
      <c r="G783" s="5">
        <v>266.89</v>
      </c>
      <c r="H783" t="str">
        <f>"ACCT#S9549/PCT#1"</f>
        <v>ACCT#S9549/PCT#1</v>
      </c>
    </row>
    <row r="784" spans="1:8" x14ac:dyDescent="0.25">
      <c r="E784" t="str">
        <f>"21466741"</f>
        <v>21466741</v>
      </c>
      <c r="F784" t="str">
        <f>"ACCT #41472 / PCT#1"</f>
        <v>ACCT #41472 / PCT#1</v>
      </c>
      <c r="G784" s="5">
        <v>26.73</v>
      </c>
      <c r="H784" t="str">
        <f>"ACCT #41472 / PCT#1"</f>
        <v>ACCT #41472 / PCT#1</v>
      </c>
    </row>
    <row r="785" spans="1:8" x14ac:dyDescent="0.25">
      <c r="E785" t="str">
        <f>"21466819"</f>
        <v>21466819</v>
      </c>
      <c r="F785" t="str">
        <f>"ACCT#45057/PCT#4"</f>
        <v>ACCT#45057/PCT#4</v>
      </c>
      <c r="G785" s="5">
        <v>48.73</v>
      </c>
      <c r="H785" t="str">
        <f>"ACCT#45057/PCT#4"</f>
        <v>ACCT#45057/PCT#4</v>
      </c>
    </row>
    <row r="786" spans="1:8" x14ac:dyDescent="0.25">
      <c r="E786" t="str">
        <f>"21466874"</f>
        <v>21466874</v>
      </c>
      <c r="F786" t="str">
        <f>"INV 21466874"</f>
        <v>INV 21466874</v>
      </c>
      <c r="G786" s="5">
        <v>58.42</v>
      </c>
      <c r="H786" t="str">
        <f>"INV 21466874"</f>
        <v>INV 21466874</v>
      </c>
    </row>
    <row r="787" spans="1:8" x14ac:dyDescent="0.25">
      <c r="E787" t="str">
        <f>"21474434"</f>
        <v>21474434</v>
      </c>
      <c r="F787" t="str">
        <f>"ACCT#S9549 / PCT#1"</f>
        <v>ACCT#S9549 / PCT#1</v>
      </c>
      <c r="G787" s="5">
        <v>150</v>
      </c>
      <c r="H787" t="str">
        <f>"ACCT#S9549 / PCT#1"</f>
        <v>ACCT#S9549 / PCT#1</v>
      </c>
    </row>
    <row r="788" spans="1:8" x14ac:dyDescent="0.25">
      <c r="A788" t="s">
        <v>201</v>
      </c>
      <c r="B788">
        <v>131710</v>
      </c>
      <c r="C788" s="5">
        <v>2430</v>
      </c>
      <c r="D788" s="1">
        <v>43948</v>
      </c>
      <c r="E788" t="str">
        <f>"202004206453"</f>
        <v>202004206453</v>
      </c>
      <c r="F788" t="str">
        <f>"16 172"</f>
        <v>16 172</v>
      </c>
      <c r="G788" s="5">
        <v>2430</v>
      </c>
      <c r="H788" t="str">
        <f>"16 172"</f>
        <v>16 172</v>
      </c>
    </row>
    <row r="789" spans="1:8" x14ac:dyDescent="0.25">
      <c r="A789" t="s">
        <v>202</v>
      </c>
      <c r="B789">
        <v>131711</v>
      </c>
      <c r="C789" s="5">
        <v>75</v>
      </c>
      <c r="D789" s="1">
        <v>43948</v>
      </c>
      <c r="E789" t="str">
        <f>"12938"</f>
        <v>12938</v>
      </c>
      <c r="F789" t="str">
        <f>"SERVICE  02/28/2020"</f>
        <v>SERVICE  02/28/2020</v>
      </c>
      <c r="G789" s="5">
        <v>75</v>
      </c>
      <c r="H789" t="str">
        <f>"SERVICE  02/28/2020"</f>
        <v>SERVICE  02/28/2020</v>
      </c>
    </row>
    <row r="790" spans="1:8" x14ac:dyDescent="0.25">
      <c r="A790" t="s">
        <v>203</v>
      </c>
      <c r="B790">
        <v>2456</v>
      </c>
      <c r="C790" s="5">
        <v>36.770000000000003</v>
      </c>
      <c r="D790" s="1">
        <v>43935</v>
      </c>
      <c r="E790" t="str">
        <f>"686516"</f>
        <v>686516</v>
      </c>
      <c r="F790" t="str">
        <f>"ACCT#0900-98011130-001/PCT#3"</f>
        <v>ACCT#0900-98011130-001/PCT#3</v>
      </c>
      <c r="G790" s="5">
        <v>36.770000000000003</v>
      </c>
      <c r="H790" t="str">
        <f>"ACCT#0900-98011130-001/PCT#3"</f>
        <v>ACCT#0900-98011130-001/PCT#3</v>
      </c>
    </row>
    <row r="791" spans="1:8" x14ac:dyDescent="0.25">
      <c r="A791" t="s">
        <v>203</v>
      </c>
      <c r="B791">
        <v>2516</v>
      </c>
      <c r="C791" s="5">
        <v>18.420000000000002</v>
      </c>
      <c r="D791" s="1">
        <v>43949</v>
      </c>
      <c r="E791" t="str">
        <f>"687488"</f>
        <v>687488</v>
      </c>
      <c r="F791" t="str">
        <f>"ACCT#0900-98011130-001"</f>
        <v>ACCT#0900-98011130-001</v>
      </c>
      <c r="G791" s="5">
        <v>18.420000000000002</v>
      </c>
      <c r="H791" t="str">
        <f>"ACCT#0900-98011130-001"</f>
        <v>ACCT#0900-98011130-001</v>
      </c>
    </row>
    <row r="792" spans="1:8" x14ac:dyDescent="0.25">
      <c r="A792" t="s">
        <v>204</v>
      </c>
      <c r="B792">
        <v>131563</v>
      </c>
      <c r="C792" s="5">
        <v>12214.68</v>
      </c>
      <c r="D792" s="1">
        <v>43934</v>
      </c>
      <c r="E792" t="str">
        <f>"13000"</f>
        <v>13000</v>
      </c>
      <c r="F792" t="str">
        <f>"ABST FEE  12/19/20"</f>
        <v>ABST FEE  12/19/20</v>
      </c>
      <c r="G792" s="5">
        <v>225</v>
      </c>
      <c r="H792" t="str">
        <f>"ABST FEE  12/19/20"</f>
        <v>ABST FEE  12/19/20</v>
      </c>
    </row>
    <row r="793" spans="1:8" x14ac:dyDescent="0.25">
      <c r="E793" t="str">
        <f>"13100"</f>
        <v>13100</v>
      </c>
      <c r="F793" t="str">
        <f>"ABST FEE  02/25/2020"</f>
        <v>ABST FEE  02/25/2020</v>
      </c>
      <c r="G793" s="5">
        <v>225</v>
      </c>
      <c r="H793" t="str">
        <f>"ABST FEE  02/25/2020"</f>
        <v>ABST FEE  02/25/2020</v>
      </c>
    </row>
    <row r="794" spans="1:8" x14ac:dyDescent="0.25">
      <c r="E794" t="str">
        <f>"13354"</f>
        <v>13354</v>
      </c>
      <c r="F794" t="str">
        <f>"ABST FEE  02/19/2020"</f>
        <v>ABST FEE  02/19/2020</v>
      </c>
      <c r="G794" s="5">
        <v>225</v>
      </c>
      <c r="H794" t="str">
        <f>"ABST FEE  02/19/2020"</f>
        <v>ABST FEE  02/19/2020</v>
      </c>
    </row>
    <row r="795" spans="1:8" x14ac:dyDescent="0.25">
      <c r="E795" t="str">
        <f>"13361"</f>
        <v>13361</v>
      </c>
      <c r="F795" t="str">
        <f>"ABST FEE  02/21/2020"</f>
        <v>ABST FEE  02/21/2020</v>
      </c>
      <c r="G795" s="5">
        <v>225</v>
      </c>
      <c r="H795" t="str">
        <f>"ABST FEE  02/21/2020"</f>
        <v>ABST FEE  02/21/2020</v>
      </c>
    </row>
    <row r="796" spans="1:8" x14ac:dyDescent="0.25">
      <c r="E796" t="str">
        <f>"202004086392"</f>
        <v>202004086392</v>
      </c>
      <c r="F796" t="str">
        <f>"COLL OF DELINQ TAXES-MARCH2020"</f>
        <v>COLL OF DELINQ TAXES-MARCH2020</v>
      </c>
      <c r="G796" s="5">
        <v>11314.68</v>
      </c>
      <c r="H796" t="str">
        <f>"COLL OF DELINQ TAXES-MARCH2020"</f>
        <v>COLL OF DELINQ TAXES-MARCH2020</v>
      </c>
    </row>
    <row r="797" spans="1:8" x14ac:dyDescent="0.25">
      <c r="A797" t="s">
        <v>204</v>
      </c>
      <c r="B797">
        <v>131712</v>
      </c>
      <c r="C797" s="5">
        <v>2460</v>
      </c>
      <c r="D797" s="1">
        <v>43948</v>
      </c>
      <c r="E797" t="str">
        <f>"12431"</f>
        <v>12431</v>
      </c>
      <c r="F797" t="str">
        <f>"ABST FEE  02/27/20"</f>
        <v>ABST FEE  02/27/20</v>
      </c>
      <c r="G797" s="5">
        <v>175</v>
      </c>
      <c r="H797" t="str">
        <f>"ABST FEE  02/27/20"</f>
        <v>ABST FEE  02/27/20</v>
      </c>
    </row>
    <row r="798" spans="1:8" x14ac:dyDescent="0.25">
      <c r="E798" t="str">
        <f>"12805"</f>
        <v>12805</v>
      </c>
      <c r="F798" t="str">
        <f>"ABST FEE"</f>
        <v>ABST FEE</v>
      </c>
      <c r="G798" s="5">
        <v>225</v>
      </c>
      <c r="H798" t="str">
        <f>"ABST FEE"</f>
        <v>ABST FEE</v>
      </c>
    </row>
    <row r="799" spans="1:8" x14ac:dyDescent="0.25">
      <c r="E799" t="str">
        <f>"12833"</f>
        <v>12833</v>
      </c>
      <c r="F799" t="str">
        <f>"ABST FEE  02/27/20"</f>
        <v>ABST FEE  02/27/20</v>
      </c>
      <c r="G799" s="5">
        <v>225</v>
      </c>
      <c r="H799" t="str">
        <f>"ABST FEE  02/27/20"</f>
        <v>ABST FEE  02/27/20</v>
      </c>
    </row>
    <row r="800" spans="1:8" x14ac:dyDescent="0.25">
      <c r="E800" t="str">
        <f>"12900  03/09/20"</f>
        <v>12900  03/09/20</v>
      </c>
      <c r="F800" t="str">
        <f>"ABST FEE"</f>
        <v>ABST FEE</v>
      </c>
      <c r="G800" s="5">
        <v>8</v>
      </c>
      <c r="H800" t="str">
        <f>"ABST FEE"</f>
        <v>ABST FEE</v>
      </c>
    </row>
    <row r="801" spans="1:8" x14ac:dyDescent="0.25">
      <c r="E801" t="str">
        <f>"12923"</f>
        <v>12923</v>
      </c>
      <c r="F801" t="str">
        <f>"ABST FEE"</f>
        <v>ABST FEE</v>
      </c>
      <c r="G801" s="5">
        <v>225</v>
      </c>
      <c r="H801" t="str">
        <f>"ABST FEE"</f>
        <v>ABST FEE</v>
      </c>
    </row>
    <row r="802" spans="1:8" x14ac:dyDescent="0.25">
      <c r="E802" t="str">
        <f>"12929"</f>
        <v>12929</v>
      </c>
      <c r="F802" t="str">
        <f>"ABST FEE"</f>
        <v>ABST FEE</v>
      </c>
      <c r="G802" s="5">
        <v>225</v>
      </c>
      <c r="H802" t="str">
        <f>"ABST FEE"</f>
        <v>ABST FEE</v>
      </c>
    </row>
    <row r="803" spans="1:8" x14ac:dyDescent="0.25">
      <c r="E803" t="str">
        <f>"12938"</f>
        <v>12938</v>
      </c>
      <c r="F803" t="str">
        <f>"ABST FEE-$225/SERVICE-$110"</f>
        <v>ABST FEE-$225/SERVICE-$110</v>
      </c>
      <c r="G803" s="5">
        <v>335</v>
      </c>
      <c r="H803" t="str">
        <f>"ABST FEE-$225/SERVICE-$110"</f>
        <v>ABST FEE-$225/SERVICE-$110</v>
      </c>
    </row>
    <row r="804" spans="1:8" x14ac:dyDescent="0.25">
      <c r="E804" t="s">
        <v>46</v>
      </c>
      <c r="F804" t="str">
        <f>"ABST FEE"</f>
        <v>ABST FEE</v>
      </c>
      <c r="G804" s="5">
        <v>142</v>
      </c>
      <c r="H804" t="str">
        <f>"ABST FEE"</f>
        <v>ABST FEE</v>
      </c>
    </row>
    <row r="805" spans="1:8" x14ac:dyDescent="0.25">
      <c r="E805" t="str">
        <f>"13019"</f>
        <v>13019</v>
      </c>
      <c r="F805" t="str">
        <f>"ABSTRACT FEE"</f>
        <v>ABSTRACT FEE</v>
      </c>
      <c r="G805" s="5">
        <v>225</v>
      </c>
      <c r="H805" t="str">
        <f>"ABSTRACT FEE"</f>
        <v>ABSTRACT FEE</v>
      </c>
    </row>
    <row r="806" spans="1:8" x14ac:dyDescent="0.25">
      <c r="E806" t="str">
        <f>"13095"</f>
        <v>13095</v>
      </c>
      <c r="F806" t="str">
        <f>"ABST FEE"</f>
        <v>ABST FEE</v>
      </c>
      <c r="G806" s="5">
        <v>225</v>
      </c>
      <c r="H806" t="str">
        <f>"ABST FEE"</f>
        <v>ABST FEE</v>
      </c>
    </row>
    <row r="807" spans="1:8" x14ac:dyDescent="0.25">
      <c r="E807" t="str">
        <f>"13111"</f>
        <v>13111</v>
      </c>
      <c r="F807" t="str">
        <f>"ABST FEE"</f>
        <v>ABST FEE</v>
      </c>
      <c r="G807" s="5">
        <v>225</v>
      </c>
      <c r="H807" t="str">
        <f>"ABST FEE"</f>
        <v>ABST FEE</v>
      </c>
    </row>
    <row r="808" spans="1:8" x14ac:dyDescent="0.25">
      <c r="E808" t="str">
        <f>"13351"</f>
        <v>13351</v>
      </c>
      <c r="F808" t="str">
        <f>"ABST FEE"</f>
        <v>ABST FEE</v>
      </c>
      <c r="G808" s="5">
        <v>225</v>
      </c>
      <c r="H808" t="str">
        <f>"ABST FEE"</f>
        <v>ABST FEE</v>
      </c>
    </row>
    <row r="809" spans="1:8" x14ac:dyDescent="0.25">
      <c r="A809" t="s">
        <v>205</v>
      </c>
      <c r="B809">
        <v>131713</v>
      </c>
      <c r="C809" s="5">
        <v>3662.91</v>
      </c>
      <c r="D809" s="1">
        <v>43948</v>
      </c>
      <c r="E809" t="str">
        <f>"202004226587"</f>
        <v>202004226587</v>
      </c>
      <c r="F809" t="str">
        <f>"INDIGENT HEALTH"</f>
        <v>INDIGENT HEALTH</v>
      </c>
      <c r="G809" s="5">
        <v>3662.91</v>
      </c>
      <c r="H809" t="str">
        <f>"INDIGENT HEALTH"</f>
        <v>INDIGENT HEALTH</v>
      </c>
    </row>
    <row r="810" spans="1:8" x14ac:dyDescent="0.25">
      <c r="E810" t="str">
        <f>""</f>
        <v/>
      </c>
      <c r="F810" t="str">
        <f>""</f>
        <v/>
      </c>
      <c r="H810" t="str">
        <f>"INDIGENT HEALTH"</f>
        <v>INDIGENT HEALTH</v>
      </c>
    </row>
    <row r="811" spans="1:8" x14ac:dyDescent="0.25">
      <c r="A811" t="s">
        <v>206</v>
      </c>
      <c r="B811">
        <v>2436</v>
      </c>
      <c r="C811" s="5">
        <v>500</v>
      </c>
      <c r="D811" s="1">
        <v>43935</v>
      </c>
      <c r="E811" t="str">
        <f>"202004086395"</f>
        <v>202004086395</v>
      </c>
      <c r="F811" t="str">
        <f>"VET SURG SVCS 03/19"</f>
        <v>VET SURG SVCS 03/19</v>
      </c>
      <c r="G811" s="5">
        <v>500</v>
      </c>
      <c r="H811" t="str">
        <f>"VET SURG SVCS 03/19"</f>
        <v>VET SURG SVCS 03/19</v>
      </c>
    </row>
    <row r="812" spans="1:8" x14ac:dyDescent="0.25">
      <c r="A812" t="s">
        <v>207</v>
      </c>
      <c r="B812">
        <v>2410</v>
      </c>
      <c r="C812" s="5">
        <v>7543.75</v>
      </c>
      <c r="D812" s="1">
        <v>43935</v>
      </c>
      <c r="E812" t="str">
        <f>"21770"</f>
        <v>21770</v>
      </c>
      <c r="F812" t="str">
        <f>"FREIGHT SALES/PCT#2"</f>
        <v>FREIGHT SALES/PCT#2</v>
      </c>
      <c r="G812" s="5">
        <v>3099.55</v>
      </c>
      <c r="H812" t="str">
        <f>"FREIGHT SALES/PCT#2"</f>
        <v>FREIGHT SALES/PCT#2</v>
      </c>
    </row>
    <row r="813" spans="1:8" x14ac:dyDescent="0.25">
      <c r="E813" t="str">
        <f>"21819"</f>
        <v>21819</v>
      </c>
      <c r="F813" t="str">
        <f>"FREIGHT SALES/PCT#2"</f>
        <v>FREIGHT SALES/PCT#2</v>
      </c>
      <c r="G813" s="5">
        <v>4444.2</v>
      </c>
      <c r="H813" t="str">
        <f>"FREIGHT SALES/PCT#2"</f>
        <v>FREIGHT SALES/PCT#2</v>
      </c>
    </row>
    <row r="814" spans="1:8" x14ac:dyDescent="0.25">
      <c r="A814" t="s">
        <v>207</v>
      </c>
      <c r="B814">
        <v>2489</v>
      </c>
      <c r="C814" s="5">
        <v>5305.75</v>
      </c>
      <c r="D814" s="1">
        <v>43949</v>
      </c>
      <c r="E814" t="str">
        <f>"21860"</f>
        <v>21860</v>
      </c>
      <c r="F814" t="str">
        <f>"FREIGHT SALES/PCT#2"</f>
        <v>FREIGHT SALES/PCT#2</v>
      </c>
      <c r="G814" s="5">
        <v>1706.6</v>
      </c>
      <c r="H814" t="str">
        <f>"FREIGHT SALES/PCT#2"</f>
        <v>FREIGHT SALES/PCT#2</v>
      </c>
    </row>
    <row r="815" spans="1:8" x14ac:dyDescent="0.25">
      <c r="E815" t="str">
        <f>"21899"</f>
        <v>21899</v>
      </c>
      <c r="F815" t="str">
        <f>"FREIGHT SALES/PCT#2"</f>
        <v>FREIGHT SALES/PCT#2</v>
      </c>
      <c r="G815" s="5">
        <v>233.1</v>
      </c>
      <c r="H815" t="str">
        <f>"FREIGHT SALES/PCT#2"</f>
        <v>FREIGHT SALES/PCT#2</v>
      </c>
    </row>
    <row r="816" spans="1:8" x14ac:dyDescent="0.25">
      <c r="E816" t="str">
        <f>"21907"</f>
        <v>21907</v>
      </c>
      <c r="F816" t="str">
        <f>"FREIGHT SALES/PCT#2"</f>
        <v>FREIGHT SALES/PCT#2</v>
      </c>
      <c r="G816" s="5">
        <v>3366.05</v>
      </c>
      <c r="H816" t="str">
        <f>"FREIGHT SALES/PCT#2"</f>
        <v>FREIGHT SALES/PCT#2</v>
      </c>
    </row>
    <row r="817" spans="1:8" x14ac:dyDescent="0.25">
      <c r="A817" t="s">
        <v>208</v>
      </c>
      <c r="B817">
        <v>131564</v>
      </c>
      <c r="C817" s="5">
        <v>663</v>
      </c>
      <c r="D817" s="1">
        <v>43934</v>
      </c>
      <c r="E817" t="str">
        <f>"16098924"</f>
        <v>16098924</v>
      </c>
      <c r="F817" t="str">
        <f>"Radio Batteries"</f>
        <v>Radio Batteries</v>
      </c>
      <c r="G817" s="5">
        <v>663</v>
      </c>
      <c r="H817" t="str">
        <f>"PMNN4505A"</f>
        <v>PMNN4505A</v>
      </c>
    </row>
    <row r="818" spans="1:8" x14ac:dyDescent="0.25">
      <c r="A818" t="s">
        <v>208</v>
      </c>
      <c r="B818">
        <v>131714</v>
      </c>
      <c r="C818" s="5">
        <v>20769.310000000001</v>
      </c>
      <c r="D818" s="1">
        <v>43948</v>
      </c>
      <c r="E818" t="str">
        <f>"8230266737"</f>
        <v>8230266737</v>
      </c>
      <c r="F818" t="str">
        <f>"ACCT#1036215277"</f>
        <v>ACCT#1036215277</v>
      </c>
      <c r="G818" s="5">
        <v>20769.310000000001</v>
      </c>
      <c r="H818" t="str">
        <f>"ACCT#1036215277"</f>
        <v>ACCT#1036215277</v>
      </c>
    </row>
    <row r="819" spans="1:8" x14ac:dyDescent="0.25">
      <c r="A819" t="s">
        <v>209</v>
      </c>
      <c r="B819">
        <v>131715</v>
      </c>
      <c r="C819" s="5">
        <v>312.72000000000003</v>
      </c>
      <c r="D819" s="1">
        <v>43948</v>
      </c>
      <c r="E819" t="str">
        <f>"202004226588"</f>
        <v>202004226588</v>
      </c>
      <c r="F819" t="str">
        <f>"INDIGENT HEALTH"</f>
        <v>INDIGENT HEALTH</v>
      </c>
      <c r="G819" s="5">
        <v>312.72000000000003</v>
      </c>
      <c r="H819" t="str">
        <f>"INDIGENT HEALTH"</f>
        <v>INDIGENT HEALTH</v>
      </c>
    </row>
    <row r="820" spans="1:8" x14ac:dyDescent="0.25">
      <c r="A820" t="s">
        <v>210</v>
      </c>
      <c r="B820">
        <v>131716</v>
      </c>
      <c r="C820" s="5">
        <v>525</v>
      </c>
      <c r="D820" s="1">
        <v>43948</v>
      </c>
      <c r="E820" t="str">
        <f>"202004206483"</f>
        <v>202004206483</v>
      </c>
      <c r="F820" t="str">
        <f>"REIMBURSE BAIL BOND COUPONS"</f>
        <v>REIMBURSE BAIL BOND COUPONS</v>
      </c>
      <c r="G820" s="5">
        <v>525</v>
      </c>
      <c r="H820" t="str">
        <f>"REIMBURSE BAIL BOND COUPONS"</f>
        <v>REIMBURSE BAIL BOND COUPONS</v>
      </c>
    </row>
    <row r="821" spans="1:8" x14ac:dyDescent="0.25">
      <c r="A821" t="s">
        <v>211</v>
      </c>
      <c r="B821">
        <v>2424</v>
      </c>
      <c r="C821" s="5">
        <v>788.98</v>
      </c>
      <c r="D821" s="1">
        <v>43935</v>
      </c>
      <c r="E821" t="str">
        <f>"PART5214485"</f>
        <v>PART5214485</v>
      </c>
      <c r="F821" t="str">
        <f>"CUST#1006635/OEM"</f>
        <v>CUST#1006635/OEM</v>
      </c>
      <c r="G821" s="5">
        <v>471.56</v>
      </c>
      <c r="H821" t="str">
        <f>"CUST#1006635/OEM"</f>
        <v>CUST#1006635/OEM</v>
      </c>
    </row>
    <row r="822" spans="1:8" x14ac:dyDescent="0.25">
      <c r="E822" t="str">
        <f>"PART5214487"</f>
        <v>PART5214487</v>
      </c>
      <c r="F822" t="str">
        <f>"CUST#1006635/OEM"</f>
        <v>CUST#1006635/OEM</v>
      </c>
      <c r="G822" s="5">
        <v>25.32</v>
      </c>
      <c r="H822" t="str">
        <f>"CUST#1006635/OEM"</f>
        <v>CUST#1006635/OEM</v>
      </c>
    </row>
    <row r="823" spans="1:8" x14ac:dyDescent="0.25">
      <c r="E823" t="str">
        <f>"PART5215574"</f>
        <v>PART5215574</v>
      </c>
      <c r="F823" t="str">
        <f>"CUST#1006635/OEM"</f>
        <v>CUST#1006635/OEM</v>
      </c>
      <c r="G823" s="5">
        <v>292.10000000000002</v>
      </c>
      <c r="H823" t="str">
        <f>"CUST#1006635/OEM"</f>
        <v>CUST#1006635/OEM</v>
      </c>
    </row>
    <row r="824" spans="1:8" x14ac:dyDescent="0.25">
      <c r="A824" t="s">
        <v>212</v>
      </c>
      <c r="B824">
        <v>131717</v>
      </c>
      <c r="C824" s="5">
        <v>902.95</v>
      </c>
      <c r="D824" s="1">
        <v>43948</v>
      </c>
      <c r="E824" t="str">
        <f>"86835369"</f>
        <v>86835369</v>
      </c>
      <c r="F824" t="str">
        <f>"AGREEMENT#9241424"</f>
        <v>AGREEMENT#9241424</v>
      </c>
      <c r="G824" s="5">
        <v>902.95</v>
      </c>
      <c r="H824" t="str">
        <f>"AGREEMENT#9241424"</f>
        <v>AGREEMENT#9241424</v>
      </c>
    </row>
    <row r="825" spans="1:8" x14ac:dyDescent="0.25">
      <c r="A825" t="s">
        <v>213</v>
      </c>
      <c r="B825">
        <v>131565</v>
      </c>
      <c r="C825" s="5">
        <v>1870</v>
      </c>
      <c r="D825" s="1">
        <v>43934</v>
      </c>
      <c r="E825" t="str">
        <f>"202004076249"</f>
        <v>202004076249</v>
      </c>
      <c r="F825" t="str">
        <f>"JOB 3-9-20-2"</f>
        <v>JOB 3-9-20-2</v>
      </c>
      <c r="G825" s="5">
        <v>1615</v>
      </c>
      <c r="H825" t="str">
        <f>"JOB 3-9-20-2"</f>
        <v>JOB 3-9-20-2</v>
      </c>
    </row>
    <row r="826" spans="1:8" x14ac:dyDescent="0.25">
      <c r="E826" t="str">
        <f>"202004076250"</f>
        <v>202004076250</v>
      </c>
      <c r="F826" t="str">
        <f>"JOB 3-23-20-02"</f>
        <v>JOB 3-23-20-02</v>
      </c>
      <c r="G826" s="5">
        <v>255</v>
      </c>
      <c r="H826" t="str">
        <f>"JOB 3-23-20-02"</f>
        <v>JOB 3-23-20-02</v>
      </c>
    </row>
    <row r="827" spans="1:8" x14ac:dyDescent="0.25">
      <c r="A827" t="s">
        <v>213</v>
      </c>
      <c r="B827">
        <v>131718</v>
      </c>
      <c r="C827" s="5">
        <v>680</v>
      </c>
      <c r="D827" s="1">
        <v>43948</v>
      </c>
      <c r="E827" t="str">
        <f>"202004216558"</f>
        <v>202004216558</v>
      </c>
      <c r="F827" t="str">
        <f>"JOB 4-6-20-02"</f>
        <v>JOB 4-6-20-02</v>
      </c>
      <c r="G827" s="5">
        <v>680</v>
      </c>
      <c r="H827" t="str">
        <f>"JOB 4-6-20-02"</f>
        <v>JOB 4-6-20-02</v>
      </c>
    </row>
    <row r="828" spans="1:8" x14ac:dyDescent="0.25">
      <c r="A828" t="s">
        <v>214</v>
      </c>
      <c r="B828">
        <v>2401</v>
      </c>
      <c r="C828" s="5">
        <v>6148.53</v>
      </c>
      <c r="D828" s="1">
        <v>43935</v>
      </c>
      <c r="E828" t="str">
        <f>"IN0838701  IN08388"</f>
        <v>IN0838701  IN08388</v>
      </c>
      <c r="F828" t="str">
        <f>"INV IN0838701"</f>
        <v>INV IN0838701</v>
      </c>
      <c r="G828" s="5">
        <v>3686.07</v>
      </c>
      <c r="H828" t="str">
        <f>"INV IN0838701"</f>
        <v>INV IN0838701</v>
      </c>
    </row>
    <row r="829" spans="1:8" x14ac:dyDescent="0.25">
      <c r="E829" t="str">
        <f>""</f>
        <v/>
      </c>
      <c r="F829" t="str">
        <f>""</f>
        <v/>
      </c>
      <c r="H829" t="str">
        <f>"INV IN0838877"</f>
        <v>INV IN0838877</v>
      </c>
    </row>
    <row r="830" spans="1:8" x14ac:dyDescent="0.25">
      <c r="E830" t="str">
        <f>"IN0838723 IN083939"</f>
        <v>IN0838723 IN083939</v>
      </c>
      <c r="F830" t="str">
        <f>"INV IN0838723"</f>
        <v>INV IN0838723</v>
      </c>
      <c r="G830" s="5">
        <v>2462.46</v>
      </c>
      <c r="H830" t="str">
        <f>"INV IN0838723"</f>
        <v>INV IN0838723</v>
      </c>
    </row>
    <row r="831" spans="1:8" x14ac:dyDescent="0.25">
      <c r="E831" t="str">
        <f>""</f>
        <v/>
      </c>
      <c r="F831" t="str">
        <f>""</f>
        <v/>
      </c>
      <c r="H831" t="str">
        <f>"INV IN0839395"</f>
        <v>INV IN0839395</v>
      </c>
    </row>
    <row r="832" spans="1:8" x14ac:dyDescent="0.25">
      <c r="A832" t="s">
        <v>214</v>
      </c>
      <c r="B832">
        <v>2481</v>
      </c>
      <c r="C832" s="5">
        <v>3185.68</v>
      </c>
      <c r="D832" s="1">
        <v>43949</v>
      </c>
      <c r="E832" t="str">
        <f>"IN0839527 IN083998"</f>
        <v>IN0839527 IN083998</v>
      </c>
      <c r="F832" t="str">
        <f>"INV IN0839527"</f>
        <v>INV IN0839527</v>
      </c>
      <c r="G832" s="5">
        <v>3185.68</v>
      </c>
      <c r="H832" t="str">
        <f>"INV IN0839527"</f>
        <v>INV IN0839527</v>
      </c>
    </row>
    <row r="833" spans="1:8" x14ac:dyDescent="0.25">
      <c r="E833" t="str">
        <f>""</f>
        <v/>
      </c>
      <c r="F833" t="str">
        <f>""</f>
        <v/>
      </c>
      <c r="H833" t="str">
        <f>"INV IN0839989"</f>
        <v>INV IN0839989</v>
      </c>
    </row>
    <row r="834" spans="1:8" x14ac:dyDescent="0.25">
      <c r="A834" t="s">
        <v>215</v>
      </c>
      <c r="B834">
        <v>131566</v>
      </c>
      <c r="C834" s="5">
        <v>7200</v>
      </c>
      <c r="D834" s="1">
        <v>43934</v>
      </c>
      <c r="E834" t="str">
        <f>"1509"</f>
        <v>1509</v>
      </c>
      <c r="F834" t="str">
        <f>"Video Magistrate"</f>
        <v>Video Magistrate</v>
      </c>
      <c r="G834" s="5">
        <v>7200</v>
      </c>
      <c r="H834" t="str">
        <f>"Video Magistrate"</f>
        <v>Video Magistrate</v>
      </c>
    </row>
    <row r="835" spans="1:8" x14ac:dyDescent="0.25">
      <c r="A835" t="s">
        <v>216</v>
      </c>
      <c r="B835">
        <v>131719</v>
      </c>
      <c r="C835" s="5">
        <v>4385.92</v>
      </c>
      <c r="D835" s="1">
        <v>43948</v>
      </c>
      <c r="E835" t="str">
        <f>"2023010292"</f>
        <v>2023010292</v>
      </c>
      <c r="F835" t="str">
        <f>"inv# 2023010292"</f>
        <v>inv# 2023010292</v>
      </c>
      <c r="G835" s="5">
        <v>4385.92</v>
      </c>
      <c r="H835" t="str">
        <f>"inv# 2023010292"</f>
        <v>inv# 2023010292</v>
      </c>
    </row>
    <row r="836" spans="1:8" x14ac:dyDescent="0.25">
      <c r="A836" t="s">
        <v>217</v>
      </c>
      <c r="B836">
        <v>131720</v>
      </c>
      <c r="C836" s="5">
        <v>1409</v>
      </c>
      <c r="D836" s="1">
        <v>43948</v>
      </c>
      <c r="E836" t="str">
        <f>"AUS-0016030"</f>
        <v>AUS-0016030</v>
      </c>
      <c r="F836" t="str">
        <f>"10961 AUTOMATING ADMINISTRATIO"</f>
        <v>10961 AUTOMATING ADMINISTRATIO</v>
      </c>
      <c r="G836" s="5">
        <v>1409</v>
      </c>
      <c r="H836" t="str">
        <f>"10961 AUTOMATING ADMINISTRATIO"</f>
        <v>10961 AUTOMATING ADMINISTRATIO</v>
      </c>
    </row>
    <row r="837" spans="1:8" x14ac:dyDescent="0.25">
      <c r="A837" t="s">
        <v>218</v>
      </c>
      <c r="B837">
        <v>2469</v>
      </c>
      <c r="C837" s="5">
        <v>262.39</v>
      </c>
      <c r="D837" s="1">
        <v>43935</v>
      </c>
      <c r="E837" t="str">
        <f>"0581-145649/153478"</f>
        <v>0581-145649/153478</v>
      </c>
      <c r="F837" t="str">
        <f>"INV 0581-145649/0581-1534"</f>
        <v>INV 0581-145649/0581-1534</v>
      </c>
      <c r="G837" s="5">
        <v>76.3</v>
      </c>
      <c r="H837" t="str">
        <f>"INV 0581-145649"</f>
        <v>INV 0581-145649</v>
      </c>
    </row>
    <row r="838" spans="1:8" x14ac:dyDescent="0.25">
      <c r="E838" t="str">
        <f>""</f>
        <v/>
      </c>
      <c r="F838" t="str">
        <f>""</f>
        <v/>
      </c>
      <c r="H838" t="str">
        <f>"INV 0581-153478"</f>
        <v>INV 0581-153478</v>
      </c>
    </row>
    <row r="839" spans="1:8" x14ac:dyDescent="0.25">
      <c r="E839" t="str">
        <f>""</f>
        <v/>
      </c>
      <c r="F839" t="str">
        <f>""</f>
        <v/>
      </c>
      <c r="H839" t="str">
        <f>"INV 0581-153774"</f>
        <v>INV 0581-153774</v>
      </c>
    </row>
    <row r="840" spans="1:8" x14ac:dyDescent="0.25">
      <c r="E840" t="str">
        <f>"202004076243"</f>
        <v>202004076243</v>
      </c>
      <c r="F840" t="str">
        <f>"CUST #1772018 / PCT#1"</f>
        <v>CUST #1772018 / PCT#1</v>
      </c>
      <c r="G840" s="5">
        <v>96.89</v>
      </c>
      <c r="H840" t="str">
        <f>"CUST #1772018 / PCT#1"</f>
        <v>CUST #1772018 / PCT#1</v>
      </c>
    </row>
    <row r="841" spans="1:8" x14ac:dyDescent="0.25">
      <c r="E841" t="str">
        <f>"202004086368"</f>
        <v>202004086368</v>
      </c>
      <c r="F841" t="str">
        <f>"CUST#99088/PCT#4"</f>
        <v>CUST#99088/PCT#4</v>
      </c>
      <c r="G841" s="5">
        <v>89.2</v>
      </c>
      <c r="H841" t="str">
        <f>"CUST#99088/PCT#4"</f>
        <v>CUST#99088/PCT#4</v>
      </c>
    </row>
    <row r="842" spans="1:8" x14ac:dyDescent="0.25">
      <c r="A842" t="s">
        <v>218</v>
      </c>
      <c r="B842">
        <v>2527</v>
      </c>
      <c r="C842" s="5">
        <v>8.08</v>
      </c>
      <c r="D842" s="1">
        <v>43949</v>
      </c>
      <c r="E842" t="str">
        <f>"0581-148588"</f>
        <v>0581-148588</v>
      </c>
      <c r="F842" t="str">
        <f>"ACCT#1772018/WIPER BLADE"</f>
        <v>ACCT#1772018/WIPER BLADE</v>
      </c>
      <c r="G842" s="5">
        <v>8.08</v>
      </c>
      <c r="H842" t="str">
        <f>"ACCT#1772018/WIPER BLADE"</f>
        <v>ACCT#1772018/WIPER BLADE</v>
      </c>
    </row>
    <row r="843" spans="1:8" x14ac:dyDescent="0.25">
      <c r="A843" t="s">
        <v>219</v>
      </c>
      <c r="B843">
        <v>131567</v>
      </c>
      <c r="C843" s="5">
        <v>1399.68</v>
      </c>
      <c r="D843" s="1">
        <v>43934</v>
      </c>
      <c r="E843" t="str">
        <f>"1909530 1914931 19"</f>
        <v>1909530 1914931 19</v>
      </c>
      <c r="F843" t="str">
        <f>"INV 1909530"</f>
        <v>INV 1909530</v>
      </c>
      <c r="G843" s="5">
        <v>1399.68</v>
      </c>
      <c r="H843" t="str">
        <f>"INV 1909530"</f>
        <v>INV 1909530</v>
      </c>
    </row>
    <row r="844" spans="1:8" x14ac:dyDescent="0.25">
      <c r="E844" t="str">
        <f>""</f>
        <v/>
      </c>
      <c r="F844" t="str">
        <f>""</f>
        <v/>
      </c>
      <c r="H844" t="str">
        <f>"INV 1914931"</f>
        <v>INV 1914931</v>
      </c>
    </row>
    <row r="845" spans="1:8" x14ac:dyDescent="0.25">
      <c r="E845" t="str">
        <f>""</f>
        <v/>
      </c>
      <c r="F845" t="str">
        <f>""</f>
        <v/>
      </c>
      <c r="H845" t="str">
        <f>"INV 1920033"</f>
        <v>INV 1920033</v>
      </c>
    </row>
    <row r="846" spans="1:8" x14ac:dyDescent="0.25">
      <c r="A846" t="s">
        <v>219</v>
      </c>
      <c r="B846">
        <v>131721</v>
      </c>
      <c r="C846" s="5">
        <v>932.73</v>
      </c>
      <c r="D846" s="1">
        <v>43948</v>
      </c>
      <c r="E846" t="str">
        <f>"1924942 1929923"</f>
        <v>1924942 1929923</v>
      </c>
      <c r="F846" t="str">
        <f>"INV 1924942"</f>
        <v>INV 1924942</v>
      </c>
      <c r="G846" s="5">
        <v>932.73</v>
      </c>
      <c r="H846" t="str">
        <f>"INV 1924942"</f>
        <v>INV 1924942</v>
      </c>
    </row>
    <row r="847" spans="1:8" x14ac:dyDescent="0.25">
      <c r="E847" t="str">
        <f>""</f>
        <v/>
      </c>
      <c r="F847" t="str">
        <f>""</f>
        <v/>
      </c>
      <c r="H847" t="str">
        <f>"INV 1929923"</f>
        <v>INV 1929923</v>
      </c>
    </row>
    <row r="848" spans="1:8" x14ac:dyDescent="0.25">
      <c r="A848" t="s">
        <v>220</v>
      </c>
      <c r="B848">
        <v>131568</v>
      </c>
      <c r="C848" s="5">
        <v>2087.33</v>
      </c>
      <c r="D848" s="1">
        <v>43934</v>
      </c>
      <c r="E848" t="str">
        <f>"14429831"</f>
        <v>14429831</v>
      </c>
      <c r="F848" t="str">
        <f>"bill# 14429831"</f>
        <v>bill# 14429831</v>
      </c>
      <c r="G848" s="5">
        <v>231.74</v>
      </c>
      <c r="H848" t="str">
        <f>"Ord# 470395522001"</f>
        <v>Ord# 470395522001</v>
      </c>
    </row>
    <row r="849" spans="5:8" x14ac:dyDescent="0.25">
      <c r="E849" t="str">
        <f>""</f>
        <v/>
      </c>
      <c r="F849" t="str">
        <f>""</f>
        <v/>
      </c>
      <c r="H849" t="str">
        <f>"Ord# 470396824001"</f>
        <v>Ord# 470396824001</v>
      </c>
    </row>
    <row r="850" spans="5:8" x14ac:dyDescent="0.25">
      <c r="E850" t="str">
        <f>""</f>
        <v/>
      </c>
      <c r="F850" t="str">
        <f>""</f>
        <v/>
      </c>
      <c r="H850" t="str">
        <f>"Ord# 461776368002"</f>
        <v>Ord# 461776368002</v>
      </c>
    </row>
    <row r="851" spans="5:8" x14ac:dyDescent="0.25">
      <c r="E851" t="str">
        <f>""</f>
        <v/>
      </c>
      <c r="F851" t="str">
        <f>""</f>
        <v/>
      </c>
      <c r="H851" t="str">
        <f>"Ord# 470610434001"</f>
        <v>Ord# 470610434001</v>
      </c>
    </row>
    <row r="852" spans="5:8" x14ac:dyDescent="0.25">
      <c r="E852" t="str">
        <f>"202004086398"</f>
        <v>202004086398</v>
      </c>
      <c r="F852" t="str">
        <f>"bill# 14249896"</f>
        <v>bill# 14249896</v>
      </c>
      <c r="G852" s="5">
        <v>1855.59</v>
      </c>
      <c r="H852" t="str">
        <f>"Ord# 452870818001"</f>
        <v>Ord# 452870818001</v>
      </c>
    </row>
    <row r="853" spans="5:8" x14ac:dyDescent="0.25">
      <c r="E853" t="str">
        <f>""</f>
        <v/>
      </c>
      <c r="F853" t="str">
        <f>""</f>
        <v/>
      </c>
      <c r="H853" t="str">
        <f>"Ord# 452872944001"</f>
        <v>Ord# 452872944001</v>
      </c>
    </row>
    <row r="854" spans="5:8" x14ac:dyDescent="0.25">
      <c r="E854" t="str">
        <f>""</f>
        <v/>
      </c>
      <c r="F854" t="str">
        <f>""</f>
        <v/>
      </c>
      <c r="H854" t="str">
        <f>"Ord# 453007186001"</f>
        <v>Ord# 453007186001</v>
      </c>
    </row>
    <row r="855" spans="5:8" x14ac:dyDescent="0.25">
      <c r="E855" t="str">
        <f>""</f>
        <v/>
      </c>
      <c r="F855" t="str">
        <f>""</f>
        <v/>
      </c>
      <c r="H855" t="str">
        <f>"Ord# 45685641001"</f>
        <v>Ord# 45685641001</v>
      </c>
    </row>
    <row r="856" spans="5:8" x14ac:dyDescent="0.25">
      <c r="E856" t="str">
        <f>""</f>
        <v/>
      </c>
      <c r="F856" t="str">
        <f>""</f>
        <v/>
      </c>
      <c r="H856" t="str">
        <f>"Ord# 452889754001"</f>
        <v>Ord# 452889754001</v>
      </c>
    </row>
    <row r="857" spans="5:8" x14ac:dyDescent="0.25">
      <c r="E857" t="str">
        <f>""</f>
        <v/>
      </c>
      <c r="F857" t="str">
        <f>""</f>
        <v/>
      </c>
      <c r="H857" t="str">
        <f>"Ord# 455747646001"</f>
        <v>Ord# 455747646001</v>
      </c>
    </row>
    <row r="858" spans="5:8" x14ac:dyDescent="0.25">
      <c r="E858" t="str">
        <f>""</f>
        <v/>
      </c>
      <c r="F858" t="str">
        <f>""</f>
        <v/>
      </c>
      <c r="H858" t="str">
        <f>"Ord# 459728426001"</f>
        <v>Ord# 459728426001</v>
      </c>
    </row>
    <row r="859" spans="5:8" x14ac:dyDescent="0.25">
      <c r="E859" t="str">
        <f>""</f>
        <v/>
      </c>
      <c r="F859" t="str">
        <f>""</f>
        <v/>
      </c>
      <c r="H859" t="str">
        <f>"Ord# 459729828001"</f>
        <v>Ord# 459729828001</v>
      </c>
    </row>
    <row r="860" spans="5:8" x14ac:dyDescent="0.25">
      <c r="E860" t="str">
        <f>""</f>
        <v/>
      </c>
      <c r="F860" t="str">
        <f>""</f>
        <v/>
      </c>
      <c r="H860" t="str">
        <f>"Ord# 455978895001"</f>
        <v>Ord# 455978895001</v>
      </c>
    </row>
    <row r="861" spans="5:8" x14ac:dyDescent="0.25">
      <c r="E861" t="str">
        <f>""</f>
        <v/>
      </c>
      <c r="F861" t="str">
        <f>""</f>
        <v/>
      </c>
      <c r="H861" t="str">
        <f>"Ord# 45637216001"</f>
        <v>Ord# 45637216001</v>
      </c>
    </row>
    <row r="862" spans="5:8" x14ac:dyDescent="0.25">
      <c r="E862" t="str">
        <f>""</f>
        <v/>
      </c>
      <c r="F862" t="str">
        <f>""</f>
        <v/>
      </c>
      <c r="H862" t="str">
        <f>"Ord# 456376569001"</f>
        <v>Ord# 456376569001</v>
      </c>
    </row>
    <row r="863" spans="5:8" x14ac:dyDescent="0.25">
      <c r="E863" t="str">
        <f>""</f>
        <v/>
      </c>
      <c r="F863" t="str">
        <f>""</f>
        <v/>
      </c>
      <c r="H863" t="str">
        <f>"Ord# 461776368001"</f>
        <v>Ord# 461776368001</v>
      </c>
    </row>
    <row r="864" spans="5:8" x14ac:dyDescent="0.25">
      <c r="E864" t="str">
        <f>""</f>
        <v/>
      </c>
      <c r="F864" t="str">
        <f>""</f>
        <v/>
      </c>
      <c r="H864" t="str">
        <f>"Ord# 461352812001"</f>
        <v>Ord# 461352812001</v>
      </c>
    </row>
    <row r="865" spans="1:8" x14ac:dyDescent="0.25">
      <c r="A865" t="s">
        <v>220</v>
      </c>
      <c r="B865">
        <v>131722</v>
      </c>
      <c r="C865" s="5">
        <v>277.11</v>
      </c>
      <c r="D865" s="1">
        <v>43948</v>
      </c>
      <c r="E865" t="str">
        <f>"14554896"</f>
        <v>14554896</v>
      </c>
      <c r="F865" t="str">
        <f>"bill# 14554896"</f>
        <v>bill# 14554896</v>
      </c>
      <c r="G865" s="5">
        <v>277.11</v>
      </c>
      <c r="H865" t="str">
        <f>"ord# 474030151001"</f>
        <v>ord# 474030151001</v>
      </c>
    </row>
    <row r="866" spans="1:8" x14ac:dyDescent="0.25">
      <c r="E866" t="str">
        <f>""</f>
        <v/>
      </c>
      <c r="F866" t="str">
        <f>""</f>
        <v/>
      </c>
      <c r="H866" t="str">
        <f>"ord# 474031107001"</f>
        <v>ord# 474031107001</v>
      </c>
    </row>
    <row r="867" spans="1:8" x14ac:dyDescent="0.25">
      <c r="E867" t="str">
        <f>""</f>
        <v/>
      </c>
      <c r="F867" t="str">
        <f>""</f>
        <v/>
      </c>
      <c r="H867" t="str">
        <f>"Ord# 470987767001"</f>
        <v>Ord# 470987767001</v>
      </c>
    </row>
    <row r="868" spans="1:8" x14ac:dyDescent="0.25">
      <c r="A868" t="s">
        <v>221</v>
      </c>
      <c r="B868">
        <v>131569</v>
      </c>
      <c r="C868" s="5">
        <v>28350</v>
      </c>
      <c r="D868" s="1">
        <v>43934</v>
      </c>
      <c r="E868" t="str">
        <f>"43708"</f>
        <v>43708</v>
      </c>
      <c r="F868" t="str">
        <f>"INV 43708"</f>
        <v>INV 43708</v>
      </c>
      <c r="G868" s="5">
        <v>4750</v>
      </c>
      <c r="H868" t="str">
        <f>"INV 43708"</f>
        <v>INV 43708</v>
      </c>
    </row>
    <row r="869" spans="1:8" x14ac:dyDescent="0.25">
      <c r="E869" t="str">
        <f>"43710"</f>
        <v>43710</v>
      </c>
      <c r="F869" t="str">
        <f>"INV 43710"</f>
        <v>INV 43710</v>
      </c>
      <c r="G869" s="5">
        <v>11800</v>
      </c>
      <c r="H869" t="str">
        <f>"INV 43710"</f>
        <v>INV 43710</v>
      </c>
    </row>
    <row r="870" spans="1:8" x14ac:dyDescent="0.25">
      <c r="E870" t="str">
        <f>"43712"</f>
        <v>43712</v>
      </c>
      <c r="F870" t="str">
        <f>"INV 43712"</f>
        <v>INV 43712</v>
      </c>
      <c r="G870" s="5">
        <v>11800</v>
      </c>
      <c r="H870" t="str">
        <f>"INV 43712"</f>
        <v>INV 43712</v>
      </c>
    </row>
    <row r="871" spans="1:8" x14ac:dyDescent="0.25">
      <c r="A871" t="s">
        <v>222</v>
      </c>
      <c r="B871">
        <v>131570</v>
      </c>
      <c r="C871" s="5">
        <v>471.97</v>
      </c>
      <c r="D871" s="1">
        <v>43934</v>
      </c>
      <c r="E871" t="str">
        <f>"73688"</f>
        <v>73688</v>
      </c>
      <c r="F871" t="str">
        <f>"CHAIN SAW/PCT#1"</f>
        <v>CHAIN SAW/PCT#1</v>
      </c>
      <c r="G871" s="5">
        <v>471.97</v>
      </c>
      <c r="H871" t="str">
        <f>"CHAIN SAW/PCT#1"</f>
        <v>CHAIN SAW/PCT#1</v>
      </c>
    </row>
    <row r="872" spans="1:8" x14ac:dyDescent="0.25">
      <c r="A872" t="s">
        <v>222</v>
      </c>
      <c r="B872">
        <v>131723</v>
      </c>
      <c r="C872" s="5">
        <v>26.99</v>
      </c>
      <c r="D872" s="1">
        <v>43948</v>
      </c>
      <c r="E872" t="str">
        <f>"73910"</f>
        <v>73910</v>
      </c>
      <c r="F872" t="str">
        <f>"STIHL CHAIN/PCT#1"</f>
        <v>STIHL CHAIN/PCT#1</v>
      </c>
      <c r="G872" s="5">
        <v>26.99</v>
      </c>
      <c r="H872" t="str">
        <f>"STIHL CHAIN/PCT#1"</f>
        <v>STIHL CHAIN/PCT#1</v>
      </c>
    </row>
    <row r="873" spans="1:8" x14ac:dyDescent="0.25">
      <c r="A873" t="s">
        <v>223</v>
      </c>
      <c r="B873">
        <v>131571</v>
      </c>
      <c r="C873" s="5">
        <v>145</v>
      </c>
      <c r="D873" s="1">
        <v>43934</v>
      </c>
      <c r="E873" t="str">
        <f>"0000049853"</f>
        <v>0000049853</v>
      </c>
      <c r="F873" t="str">
        <f>"INV 0000049853"</f>
        <v>INV 0000049853</v>
      </c>
      <c r="G873" s="5">
        <v>145</v>
      </c>
      <c r="H873" t="str">
        <f>"INV 0000049853"</f>
        <v>INV 0000049853</v>
      </c>
    </row>
    <row r="874" spans="1:8" x14ac:dyDescent="0.25">
      <c r="A874" t="s">
        <v>224</v>
      </c>
      <c r="B874">
        <v>131572</v>
      </c>
      <c r="C874" s="5">
        <v>180.61</v>
      </c>
      <c r="D874" s="1">
        <v>43934</v>
      </c>
      <c r="E874" t="str">
        <f>"202004086373"</f>
        <v>202004086373</v>
      </c>
      <c r="F874" t="str">
        <f>"ACCT#1137/PCT#4"</f>
        <v>ACCT#1137/PCT#4</v>
      </c>
      <c r="G874" s="5">
        <v>180.61</v>
      </c>
      <c r="H874" t="str">
        <f>"ACCT#1137/PCT#4"</f>
        <v>ACCT#1137/PCT#4</v>
      </c>
    </row>
    <row r="875" spans="1:8" x14ac:dyDescent="0.25">
      <c r="A875" t="s">
        <v>225</v>
      </c>
      <c r="B875">
        <v>2412</v>
      </c>
      <c r="C875" s="5">
        <v>3985.7</v>
      </c>
      <c r="D875" s="1">
        <v>43935</v>
      </c>
      <c r="E875" t="str">
        <f>"2008419"</f>
        <v>2008419</v>
      </c>
      <c r="F875" t="str">
        <f>"ADD 2 OUTLETS IN OFFICE/PCT1"</f>
        <v>ADD 2 OUTLETS IN OFFICE/PCT1</v>
      </c>
      <c r="G875" s="5">
        <v>548.25</v>
      </c>
      <c r="H875" t="str">
        <f>"ADD 2 OUTLETS IN OFFICE/PCT1"</f>
        <v>ADD 2 OUTLETS IN OFFICE/PCT1</v>
      </c>
    </row>
    <row r="876" spans="1:8" x14ac:dyDescent="0.25">
      <c r="E876" t="str">
        <f>"2008420"</f>
        <v>2008420</v>
      </c>
      <c r="F876" t="str">
        <f>"BUILD &amp; DELIVER METER LOOP/PAR"</f>
        <v>BUILD &amp; DELIVER METER LOOP/PAR</v>
      </c>
      <c r="G876" s="5">
        <v>1672.25</v>
      </c>
      <c r="H876" t="str">
        <f>"BUILD &amp; DELIVER METER LOOP/PAR"</f>
        <v>BUILD &amp; DELIVER METER LOOP/PAR</v>
      </c>
    </row>
    <row r="877" spans="1:8" x14ac:dyDescent="0.25">
      <c r="E877" t="str">
        <f>"2008421"</f>
        <v>2008421</v>
      </c>
      <c r="F877" t="str">
        <f>"INSTALL LIGHTS/OUTLETS/PCT1"</f>
        <v>INSTALL LIGHTS/OUTLETS/PCT1</v>
      </c>
      <c r="G877" s="5">
        <v>1765.2</v>
      </c>
      <c r="H877" t="str">
        <f>"INSTALL LIGHTS/OUTLETS/PCT1"</f>
        <v>INSTALL LIGHTS/OUTLETS/PCT1</v>
      </c>
    </row>
    <row r="878" spans="1:8" x14ac:dyDescent="0.25">
      <c r="A878" t="s">
        <v>226</v>
      </c>
      <c r="B878">
        <v>131573</v>
      </c>
      <c r="C878" s="5">
        <v>2622.62</v>
      </c>
      <c r="D878" s="1">
        <v>43934</v>
      </c>
      <c r="E878" t="str">
        <f>"202004086377"</f>
        <v>202004086377</v>
      </c>
      <c r="F878" t="str">
        <f>"ACCT#0200140783/ANIMAL CONTROL"</f>
        <v>ACCT#0200140783/ANIMAL CONTROL</v>
      </c>
      <c r="G878" s="5">
        <v>2622.62</v>
      </c>
      <c r="H878" t="str">
        <f>"ACCT#0200140783/ANIMAL CONTROL"</f>
        <v>ACCT#0200140783/ANIMAL CONTROL</v>
      </c>
    </row>
    <row r="879" spans="1:8" x14ac:dyDescent="0.25">
      <c r="E879" t="str">
        <f>""</f>
        <v/>
      </c>
      <c r="F879" t="str">
        <f>""</f>
        <v/>
      </c>
      <c r="H879" t="str">
        <f>"ACCT#0200140783/ANIMAL CONTROL"</f>
        <v>ACCT#0200140783/ANIMAL CONTROL</v>
      </c>
    </row>
    <row r="880" spans="1:8" x14ac:dyDescent="0.25">
      <c r="E880" t="str">
        <f>""</f>
        <v/>
      </c>
      <c r="F880" t="str">
        <f>""</f>
        <v/>
      </c>
      <c r="H880" t="str">
        <f>"ACCT#0200140783/ANIMAL CONTROL"</f>
        <v>ACCT#0200140783/ANIMAL CONTROL</v>
      </c>
    </row>
    <row r="881" spans="1:8" x14ac:dyDescent="0.25">
      <c r="A881" t="s">
        <v>227</v>
      </c>
      <c r="B881">
        <v>131574</v>
      </c>
      <c r="C881" s="5">
        <v>2700</v>
      </c>
      <c r="D881" s="1">
        <v>43934</v>
      </c>
      <c r="E881" t="str">
        <f>"416239"</f>
        <v>416239</v>
      </c>
      <c r="F881" t="str">
        <f>"CLIENT#20442/FINAL BILLING"</f>
        <v>CLIENT#20442/FINAL BILLING</v>
      </c>
      <c r="G881" s="5">
        <v>2700</v>
      </c>
      <c r="H881" t="str">
        <f>"CLIENT#20442/FINAL BILLING"</f>
        <v>CLIENT#20442/FINAL BILLING</v>
      </c>
    </row>
    <row r="882" spans="1:8" x14ac:dyDescent="0.25">
      <c r="A882" t="s">
        <v>228</v>
      </c>
      <c r="B882">
        <v>131724</v>
      </c>
      <c r="C882" s="5">
        <v>25</v>
      </c>
      <c r="D882" s="1">
        <v>43948</v>
      </c>
      <c r="E882" t="str">
        <f>"202004206492"</f>
        <v>202004206492</v>
      </c>
      <c r="F882" t="str">
        <f>"REFUND DRIVEWAY PERMIT FEE"</f>
        <v>REFUND DRIVEWAY PERMIT FEE</v>
      </c>
      <c r="G882" s="5">
        <v>25</v>
      </c>
      <c r="H882" t="str">
        <f>"REFUND DRIVEWAY PERMIT FEE"</f>
        <v>REFUND DRIVEWAY PERMIT FEE</v>
      </c>
    </row>
    <row r="883" spans="1:8" x14ac:dyDescent="0.25">
      <c r="A883" t="s">
        <v>229</v>
      </c>
      <c r="B883">
        <v>131725</v>
      </c>
      <c r="C883" s="5">
        <v>51958.92</v>
      </c>
      <c r="D883" s="1">
        <v>43948</v>
      </c>
      <c r="E883" t="str">
        <f>"IVC00052579"</f>
        <v>IVC00052579</v>
      </c>
      <c r="F883" t="str">
        <f>"ATTNY FEES  JAN-MARCH 2020"</f>
        <v>ATTNY FEES  JAN-MARCH 2020</v>
      </c>
      <c r="G883" s="5">
        <v>13873.31</v>
      </c>
      <c r="H883" t="str">
        <f>"ATTNY FEES  JAN-MARCH 2020"</f>
        <v>ATTNY FEES  JAN-MARCH 2020</v>
      </c>
    </row>
    <row r="884" spans="1:8" x14ac:dyDescent="0.25">
      <c r="E884" t="str">
        <f>"IVC00052580"</f>
        <v>IVC00052580</v>
      </c>
      <c r="F884" t="str">
        <f>"ATTNY FEES JAN-MAR 2020"</f>
        <v>ATTNY FEES JAN-MAR 2020</v>
      </c>
      <c r="G884" s="5">
        <v>15173.44</v>
      </c>
      <c r="H884" t="str">
        <f>"ATTNY FEES JAN-MAR 2020"</f>
        <v>ATTNY FEES JAN-MAR 2020</v>
      </c>
    </row>
    <row r="885" spans="1:8" x14ac:dyDescent="0.25">
      <c r="E885" t="str">
        <f>"IVC0052578"</f>
        <v>IVC0052578</v>
      </c>
      <c r="F885" t="str">
        <f>"ATTNY FEES JAN-MARCH 2020"</f>
        <v>ATTNY FEES JAN-MARCH 2020</v>
      </c>
      <c r="G885" s="5">
        <v>22912.17</v>
      </c>
      <c r="H885" t="str">
        <f>"ATTNY FEES JAN-MARCH 2020"</f>
        <v>ATTNY FEES JAN-MARCH 2020</v>
      </c>
    </row>
    <row r="886" spans="1:8" x14ac:dyDescent="0.25">
      <c r="A886" t="s">
        <v>230</v>
      </c>
      <c r="B886">
        <v>2517</v>
      </c>
      <c r="C886" s="5">
        <v>752.5</v>
      </c>
      <c r="D886" s="1">
        <v>43949</v>
      </c>
      <c r="E886" t="str">
        <f>"202004216499"</f>
        <v>202004216499</v>
      </c>
      <c r="F886" t="str">
        <f>"17-18176"</f>
        <v>17-18176</v>
      </c>
      <c r="G886" s="5">
        <v>367.5</v>
      </c>
      <c r="H886" t="str">
        <f>"17-18176"</f>
        <v>17-18176</v>
      </c>
    </row>
    <row r="887" spans="1:8" x14ac:dyDescent="0.25">
      <c r="E887" t="str">
        <f>"202004216500"</f>
        <v>202004216500</v>
      </c>
      <c r="F887" t="str">
        <f>"1915713"</f>
        <v>1915713</v>
      </c>
      <c r="G887" s="5">
        <v>135</v>
      </c>
      <c r="H887" t="str">
        <f>"1915713"</f>
        <v>1915713</v>
      </c>
    </row>
    <row r="888" spans="1:8" x14ac:dyDescent="0.25">
      <c r="E888" t="str">
        <f>"202004216501"</f>
        <v>202004216501</v>
      </c>
      <c r="F888" t="str">
        <f>"02-07236  925-353"</f>
        <v>02-07236  925-353</v>
      </c>
      <c r="G888" s="5">
        <v>250</v>
      </c>
      <c r="H888" t="str">
        <f>"02-07236  925-353"</f>
        <v>02-07236  925-353</v>
      </c>
    </row>
    <row r="889" spans="1:8" x14ac:dyDescent="0.25">
      <c r="A889" t="s">
        <v>231</v>
      </c>
      <c r="B889">
        <v>131575</v>
      </c>
      <c r="C889" s="5">
        <v>32.25</v>
      </c>
      <c r="D889" s="1">
        <v>43934</v>
      </c>
      <c r="E889" t="str">
        <f>"1015345415"</f>
        <v>1015345415</v>
      </c>
      <c r="F889" t="str">
        <f>"INV 1015345415"</f>
        <v>INV 1015345415</v>
      </c>
      <c r="G889" s="5">
        <v>32.25</v>
      </c>
      <c r="H889" t="str">
        <f>"INV 1015345415"</f>
        <v>INV 1015345415</v>
      </c>
    </row>
    <row r="890" spans="1:8" x14ac:dyDescent="0.25">
      <c r="A890" t="s">
        <v>232</v>
      </c>
      <c r="B890">
        <v>2458</v>
      </c>
      <c r="C890" s="5">
        <v>1631.01</v>
      </c>
      <c r="D890" s="1">
        <v>43935</v>
      </c>
      <c r="E890" t="str">
        <f>"3310972369"</f>
        <v>3310972369</v>
      </c>
      <c r="F890" t="str">
        <f>"ACCT#0011198047"</f>
        <v>ACCT#0011198047</v>
      </c>
      <c r="G890" s="5">
        <v>1631.01</v>
      </c>
      <c r="H890" t="str">
        <f>"ACCT#0011198047"</f>
        <v>ACCT#0011198047</v>
      </c>
    </row>
    <row r="891" spans="1:8" x14ac:dyDescent="0.25">
      <c r="A891" t="s">
        <v>233</v>
      </c>
      <c r="B891">
        <v>2416</v>
      </c>
      <c r="C891" s="5">
        <v>14097.5</v>
      </c>
      <c r="D891" s="1">
        <v>43935</v>
      </c>
      <c r="E891" t="str">
        <f>"202004076251"</f>
        <v>202004076251</v>
      </c>
      <c r="F891" t="str">
        <f>"19-19763"</f>
        <v>19-19763</v>
      </c>
      <c r="G891" s="5">
        <v>916.25</v>
      </c>
      <c r="H891" t="str">
        <f>"19-19763"</f>
        <v>19-19763</v>
      </c>
    </row>
    <row r="892" spans="1:8" x14ac:dyDescent="0.25">
      <c r="E892" t="str">
        <f>"202004076252"</f>
        <v>202004076252</v>
      </c>
      <c r="F892" t="str">
        <f>"19-19641"</f>
        <v>19-19641</v>
      </c>
      <c r="G892" s="5">
        <v>1080</v>
      </c>
      <c r="H892" t="str">
        <f>"19-19641"</f>
        <v>19-19641</v>
      </c>
    </row>
    <row r="893" spans="1:8" x14ac:dyDescent="0.25">
      <c r="E893" t="str">
        <f>"202004076253"</f>
        <v>202004076253</v>
      </c>
      <c r="F893" t="str">
        <f>"18-19190"</f>
        <v>18-19190</v>
      </c>
      <c r="G893" s="5">
        <v>587.5</v>
      </c>
      <c r="H893" t="str">
        <f>"18-19190"</f>
        <v>18-19190</v>
      </c>
    </row>
    <row r="894" spans="1:8" x14ac:dyDescent="0.25">
      <c r="E894" t="str">
        <f>"202004076254"</f>
        <v>202004076254</v>
      </c>
      <c r="F894" t="str">
        <f>"423-4499"</f>
        <v>423-4499</v>
      </c>
      <c r="G894" s="5">
        <v>1110</v>
      </c>
      <c r="H894" t="str">
        <f>"423-4499"</f>
        <v>423-4499</v>
      </c>
    </row>
    <row r="895" spans="1:8" x14ac:dyDescent="0.25">
      <c r="E895" t="str">
        <f>"202004076255"</f>
        <v>202004076255</v>
      </c>
      <c r="F895" t="str">
        <f>"18-18864  11/01/19"</f>
        <v>18-18864  11/01/19</v>
      </c>
      <c r="G895" s="5">
        <v>427.5</v>
      </c>
      <c r="H895" t="str">
        <f>"18-18864  11/01/19"</f>
        <v>18-18864  11/01/19</v>
      </c>
    </row>
    <row r="896" spans="1:8" x14ac:dyDescent="0.25">
      <c r="E896" t="str">
        <f>"202004076256"</f>
        <v>202004076256</v>
      </c>
      <c r="F896" t="str">
        <f>"19-19718"</f>
        <v>19-19718</v>
      </c>
      <c r="G896" s="5">
        <v>1547.5</v>
      </c>
      <c r="H896" t="str">
        <f>"19-19718"</f>
        <v>19-19718</v>
      </c>
    </row>
    <row r="897" spans="1:8" x14ac:dyDescent="0.25">
      <c r="E897" t="str">
        <f>"202004076257"</f>
        <v>202004076257</v>
      </c>
      <c r="F897" t="str">
        <f>"19-19680"</f>
        <v>19-19680</v>
      </c>
      <c r="G897" s="5">
        <v>543.75</v>
      </c>
      <c r="H897" t="str">
        <f>"19-19680"</f>
        <v>19-19680</v>
      </c>
    </row>
    <row r="898" spans="1:8" x14ac:dyDescent="0.25">
      <c r="E898" t="str">
        <f>"202004076258"</f>
        <v>202004076258</v>
      </c>
      <c r="F898" t="str">
        <f>"19-19975  11/21-12/10"</f>
        <v>19-19975  11/21-12/10</v>
      </c>
      <c r="G898" s="5">
        <v>1170</v>
      </c>
      <c r="H898" t="str">
        <f>"19-19975  11/21-12/10"</f>
        <v>19-19975  11/21-12/10</v>
      </c>
    </row>
    <row r="899" spans="1:8" x14ac:dyDescent="0.25">
      <c r="E899" t="str">
        <f>"202004076259"</f>
        <v>202004076259</v>
      </c>
      <c r="F899" t="str">
        <f>"20-0056"</f>
        <v>20-0056</v>
      </c>
      <c r="G899" s="5">
        <v>1257.5</v>
      </c>
      <c r="H899" t="str">
        <f>"20-0056"</f>
        <v>20-0056</v>
      </c>
    </row>
    <row r="900" spans="1:8" x14ac:dyDescent="0.25">
      <c r="E900" t="str">
        <f>"202004076260"</f>
        <v>202004076260</v>
      </c>
      <c r="F900" t="str">
        <f>"19-19862"</f>
        <v>19-19862</v>
      </c>
      <c r="G900" s="5">
        <v>1247.5</v>
      </c>
      <c r="H900" t="str">
        <f>"19-19862"</f>
        <v>19-19862</v>
      </c>
    </row>
    <row r="901" spans="1:8" x14ac:dyDescent="0.25">
      <c r="E901" t="str">
        <f>"202004076261"</f>
        <v>202004076261</v>
      </c>
      <c r="F901" t="str">
        <f>"19-19567"</f>
        <v>19-19567</v>
      </c>
      <c r="G901" s="5">
        <v>1250</v>
      </c>
      <c r="H901" t="str">
        <f>"19-19567"</f>
        <v>19-19567</v>
      </c>
    </row>
    <row r="902" spans="1:8" x14ac:dyDescent="0.25">
      <c r="E902" t="str">
        <f>"202004076262"</f>
        <v>202004076262</v>
      </c>
      <c r="F902" t="str">
        <f>"19-19786"</f>
        <v>19-19786</v>
      </c>
      <c r="G902" s="5">
        <v>1465</v>
      </c>
      <c r="H902" t="str">
        <f>"19-19786"</f>
        <v>19-19786</v>
      </c>
    </row>
    <row r="903" spans="1:8" x14ac:dyDescent="0.25">
      <c r="E903" t="str">
        <f>"202004076263"</f>
        <v>202004076263</v>
      </c>
      <c r="F903" t="str">
        <f>"19-19931  11/12-02/24"</f>
        <v>19-19931  11/12-02/24</v>
      </c>
      <c r="G903" s="5">
        <v>1245</v>
      </c>
      <c r="H903" t="str">
        <f>"19-19931  11/12-02/24"</f>
        <v>19-19931  11/12-02/24</v>
      </c>
    </row>
    <row r="904" spans="1:8" x14ac:dyDescent="0.25">
      <c r="E904" t="str">
        <f>"202004076264"</f>
        <v>202004076264</v>
      </c>
      <c r="F904" t="str">
        <f>"301042020A"</f>
        <v>301042020A</v>
      </c>
      <c r="G904" s="5">
        <v>250</v>
      </c>
      <c r="H904" t="str">
        <f>"301042020A"</f>
        <v>301042020A</v>
      </c>
    </row>
    <row r="905" spans="1:8" x14ac:dyDescent="0.25">
      <c r="A905" t="s">
        <v>233</v>
      </c>
      <c r="B905">
        <v>2492</v>
      </c>
      <c r="C905" s="5">
        <v>4751.25</v>
      </c>
      <c r="D905" s="1">
        <v>43949</v>
      </c>
      <c r="E905" t="str">
        <f>"202004216546"</f>
        <v>202004216546</v>
      </c>
      <c r="F905" t="str">
        <f>"20-20030"</f>
        <v>20-20030</v>
      </c>
      <c r="G905" s="5">
        <v>618.75</v>
      </c>
      <c r="H905" t="str">
        <f>"20-20030"</f>
        <v>20-20030</v>
      </c>
    </row>
    <row r="906" spans="1:8" x14ac:dyDescent="0.25">
      <c r="E906" t="str">
        <f>"202004216547"</f>
        <v>202004216547</v>
      </c>
      <c r="F906" t="str">
        <f>"19-19684"</f>
        <v>19-19684</v>
      </c>
      <c r="G906" s="5">
        <v>1190</v>
      </c>
      <c r="H906" t="str">
        <f>"19-19684"</f>
        <v>19-19684</v>
      </c>
    </row>
    <row r="907" spans="1:8" x14ac:dyDescent="0.25">
      <c r="E907" t="str">
        <f>"202004216548"</f>
        <v>202004216548</v>
      </c>
      <c r="F907" t="str">
        <f>"J-3218"</f>
        <v>J-3218</v>
      </c>
      <c r="G907" s="5">
        <v>588.75</v>
      </c>
      <c r="H907" t="str">
        <f>"J-3218"</f>
        <v>J-3218</v>
      </c>
    </row>
    <row r="908" spans="1:8" x14ac:dyDescent="0.25">
      <c r="E908" t="str">
        <f>"202004216549"</f>
        <v>202004216549</v>
      </c>
      <c r="F908" t="str">
        <f>"17-18617"</f>
        <v>17-18617</v>
      </c>
      <c r="G908" s="5">
        <v>251.25</v>
      </c>
      <c r="H908" t="str">
        <f>"17-18617"</f>
        <v>17-18617</v>
      </c>
    </row>
    <row r="909" spans="1:8" x14ac:dyDescent="0.25">
      <c r="E909" t="str">
        <f>"202004216550"</f>
        <v>202004216550</v>
      </c>
      <c r="F909" t="str">
        <f>"20-20084"</f>
        <v>20-20084</v>
      </c>
      <c r="G909" s="5">
        <v>1027.5</v>
      </c>
      <c r="H909" t="str">
        <f>"20-20084"</f>
        <v>20-20084</v>
      </c>
    </row>
    <row r="910" spans="1:8" x14ac:dyDescent="0.25">
      <c r="E910" t="str">
        <f>"202004216551"</f>
        <v>202004216551</v>
      </c>
      <c r="F910" t="str">
        <f>"18-19279"</f>
        <v>18-19279</v>
      </c>
      <c r="G910" s="5">
        <v>1075</v>
      </c>
      <c r="H910" t="str">
        <f>"18-19279"</f>
        <v>18-19279</v>
      </c>
    </row>
    <row r="911" spans="1:8" x14ac:dyDescent="0.25">
      <c r="A911" t="s">
        <v>234</v>
      </c>
      <c r="B911">
        <v>2431</v>
      </c>
      <c r="C911" s="5">
        <v>390.12</v>
      </c>
      <c r="D911" s="1">
        <v>43935</v>
      </c>
      <c r="E911" t="str">
        <f>"202004086367"</f>
        <v>202004086367</v>
      </c>
      <c r="F911" t="str">
        <f>"ACCT#0005/PCT#4"</f>
        <v>ACCT#0005/PCT#4</v>
      </c>
      <c r="G911" s="5">
        <v>390.12</v>
      </c>
      <c r="H911" t="str">
        <f>"ACCT#0005/PCT#4"</f>
        <v>ACCT#0005/PCT#4</v>
      </c>
    </row>
    <row r="912" spans="1:8" x14ac:dyDescent="0.25">
      <c r="A912" t="s">
        <v>235</v>
      </c>
      <c r="B912">
        <v>131576</v>
      </c>
      <c r="C912" s="5">
        <v>62.84</v>
      </c>
      <c r="D912" s="1">
        <v>43934</v>
      </c>
      <c r="E912" t="str">
        <f>"4617*03116*2"</f>
        <v>4617*03116*2</v>
      </c>
      <c r="F912" t="str">
        <f>"JAIL MEDICAL"</f>
        <v>JAIL MEDICAL</v>
      </c>
      <c r="G912" s="5">
        <v>62.84</v>
      </c>
      <c r="H912" t="str">
        <f>"JAIL MEDICAL"</f>
        <v>JAIL MEDICAL</v>
      </c>
    </row>
    <row r="913" spans="1:8" x14ac:dyDescent="0.25">
      <c r="A913" t="s">
        <v>236</v>
      </c>
      <c r="B913">
        <v>131577</v>
      </c>
      <c r="C913" s="5">
        <v>7011</v>
      </c>
      <c r="D913" s="1">
        <v>43934</v>
      </c>
      <c r="E913" t="str">
        <f>"133287"</f>
        <v>133287</v>
      </c>
      <c r="F913" t="str">
        <f>"2017 FORD / PCT#1"</f>
        <v>2017 FORD / PCT#1</v>
      </c>
      <c r="G913" s="5">
        <v>6406</v>
      </c>
      <c r="H913" t="str">
        <f>"2017 FORD / PCT#1"</f>
        <v>2017 FORD / PCT#1</v>
      </c>
    </row>
    <row r="914" spans="1:8" x14ac:dyDescent="0.25">
      <c r="E914" t="str">
        <f>"133289"</f>
        <v>133289</v>
      </c>
      <c r="F914" t="str">
        <f>"GRILL GUARD/INSTALL/PCT#4"</f>
        <v>GRILL GUARD/INSTALL/PCT#4</v>
      </c>
      <c r="G914" s="5">
        <v>605</v>
      </c>
      <c r="H914" t="str">
        <f>"GRILL GUARD/INSTALL/PCT#4"</f>
        <v>GRILL GUARD/INSTALL/PCT#4</v>
      </c>
    </row>
    <row r="915" spans="1:8" x14ac:dyDescent="0.25">
      <c r="A915" t="s">
        <v>236</v>
      </c>
      <c r="B915">
        <v>131726</v>
      </c>
      <c r="C915" s="5">
        <v>1323.5</v>
      </c>
      <c r="D915" s="1">
        <v>43948</v>
      </c>
      <c r="E915" t="str">
        <f>"133296"</f>
        <v>133296</v>
      </c>
      <c r="F915" t="str">
        <f>"TRIPLE TOW BALL MOUNT/PCT#1"</f>
        <v>TRIPLE TOW BALL MOUNT/PCT#1</v>
      </c>
      <c r="G915" s="5">
        <v>152.5</v>
      </c>
      <c r="H915" t="str">
        <f>"TRIPLE TOW BALL MOUNT/PCT#1"</f>
        <v>TRIPLE TOW BALL MOUNT/PCT#1</v>
      </c>
    </row>
    <row r="916" spans="1:8" x14ac:dyDescent="0.25">
      <c r="E916" t="str">
        <f>"133299"</f>
        <v>133299</v>
      </c>
      <c r="F916" t="str">
        <f>"RECEIVER REDUCER SLEEVE/PCT#1"</f>
        <v>RECEIVER REDUCER SLEEVE/PCT#1</v>
      </c>
      <c r="G916" s="5">
        <v>24</v>
      </c>
      <c r="H916" t="str">
        <f>"RECEIVER REDUCER SLEEVE/PCT#1"</f>
        <v>RECEIVER REDUCER SLEEVE/PCT#1</v>
      </c>
    </row>
    <row r="917" spans="1:8" x14ac:dyDescent="0.25">
      <c r="E917" t="str">
        <f>"133307"</f>
        <v>133307</v>
      </c>
      <c r="F917" t="str">
        <f>"FIRE SAFTEY EQUIP / PCT#1"</f>
        <v>FIRE SAFTEY EQUIP / PCT#1</v>
      </c>
      <c r="G917" s="5">
        <v>352</v>
      </c>
      <c r="H917" t="str">
        <f>"FIRE SAFTEY EQUIP / PCT#1"</f>
        <v>FIRE SAFTEY EQUIP / PCT#1</v>
      </c>
    </row>
    <row r="918" spans="1:8" x14ac:dyDescent="0.25">
      <c r="E918" t="str">
        <f>"133314"</f>
        <v>133314</v>
      </c>
      <c r="F918" t="str">
        <f>"RANCH HAND BUMBER / PCT#1"</f>
        <v>RANCH HAND BUMBER / PCT#1</v>
      </c>
      <c r="G918" s="5">
        <v>795</v>
      </c>
      <c r="H918" t="str">
        <f>"RANCH HAND BUMBER / PCT#1"</f>
        <v>RANCH HAND BUMBER / PCT#1</v>
      </c>
    </row>
    <row r="919" spans="1:8" x14ac:dyDescent="0.25">
      <c r="A919" t="s">
        <v>237</v>
      </c>
      <c r="B919">
        <v>2482</v>
      </c>
      <c r="C919" s="5">
        <v>42.92</v>
      </c>
      <c r="D919" s="1">
        <v>43949</v>
      </c>
      <c r="E919" t="str">
        <f>"10D0121587851"</f>
        <v>10D0121587851</v>
      </c>
      <c r="F919" t="str">
        <f>"ACCT#0121587851/PCT#4"</f>
        <v>ACCT#0121587851/PCT#4</v>
      </c>
      <c r="G919" s="5">
        <v>42.92</v>
      </c>
      <c r="H919" t="str">
        <f>"ACCT#0121587851/PCT#4"</f>
        <v>ACCT#0121587851/PCT#4</v>
      </c>
    </row>
    <row r="920" spans="1:8" x14ac:dyDescent="0.25">
      <c r="A920" t="s">
        <v>238</v>
      </c>
      <c r="B920">
        <v>131727</v>
      </c>
      <c r="C920" s="5">
        <v>1000</v>
      </c>
      <c r="D920" s="1">
        <v>43948</v>
      </c>
      <c r="E920" t="str">
        <f>"202004226572"</f>
        <v>202004226572</v>
      </c>
      <c r="F920" t="str">
        <f>"VET SURG SCVS 04/13 &amp; 04/20"</f>
        <v>VET SURG SCVS 04/13 &amp; 04/20</v>
      </c>
      <c r="G920" s="5">
        <v>1000</v>
      </c>
      <c r="H920" t="str">
        <f>"VET SURG SCVS 04/13 &amp; 04/20"</f>
        <v>VET SURG SCVS 04/13 &amp; 04/20</v>
      </c>
    </row>
    <row r="921" spans="1:8" x14ac:dyDescent="0.25">
      <c r="A921" t="s">
        <v>239</v>
      </c>
      <c r="B921">
        <v>131475</v>
      </c>
      <c r="C921" s="5">
        <v>1399.96</v>
      </c>
      <c r="D921" s="1">
        <v>43930</v>
      </c>
      <c r="E921" t="str">
        <f>"116 007 159 379 3"</f>
        <v>116 007 159 379 3</v>
      </c>
      <c r="F921" t="str">
        <f>"ACCT#15 069 451-1/03302020"</f>
        <v>ACCT#15 069 451-1/03302020</v>
      </c>
      <c r="G921" s="5">
        <v>354.14</v>
      </c>
      <c r="H921" t="str">
        <f>"ACCT#15 069 451-1/03302020"</f>
        <v>ACCT#15 069 451-1/03302020</v>
      </c>
    </row>
    <row r="922" spans="1:8" x14ac:dyDescent="0.25">
      <c r="E922" t="str">
        <f>"306 000 464 937 3"</f>
        <v>306 000 464 937 3</v>
      </c>
      <c r="F922" t="str">
        <f>"ACCT#15 070 712-3 / 03302020"</f>
        <v>ACCT#15 070 712-3 / 03302020</v>
      </c>
      <c r="G922" s="5">
        <v>17.88</v>
      </c>
      <c r="H922" t="str">
        <f>"ACCT#15 070 712-3 / 03302020"</f>
        <v>ACCT#15 070 712-3 / 03302020</v>
      </c>
    </row>
    <row r="923" spans="1:8" x14ac:dyDescent="0.25">
      <c r="E923" t="str">
        <f>"306 000 464 938 1"</f>
        <v>306 000 464 938 1</v>
      </c>
      <c r="F923" t="str">
        <f>"ACCT#15 070 713-1/03302020"</f>
        <v>ACCT#15 070 713-1/03302020</v>
      </c>
      <c r="G923" s="5">
        <v>21.37</v>
      </c>
      <c r="H923" t="str">
        <f>"ACCT#15 070 713-1/03302020"</f>
        <v>ACCT#15 070 713-1/03302020</v>
      </c>
    </row>
    <row r="924" spans="1:8" x14ac:dyDescent="0.25">
      <c r="E924" t="str">
        <f>"306 000 464 939 9"</f>
        <v>306 000 464 939 9</v>
      </c>
      <c r="F924" t="str">
        <f>"ACCT#15 072 199-1/03302020"</f>
        <v>ACCT#15 072 199-1/03302020</v>
      </c>
      <c r="G924" s="5">
        <v>107.93</v>
      </c>
      <c r="H924" t="str">
        <f>"ACCT#15 072 199-1/03302020"</f>
        <v>ACCT#15 072 199-1/03302020</v>
      </c>
    </row>
    <row r="925" spans="1:8" x14ac:dyDescent="0.25">
      <c r="E925" t="str">
        <f>"306 000 464 940 7"</f>
        <v>306 000 464 940 7</v>
      </c>
      <c r="F925" t="str">
        <f>"ACCT#15 072 200-7/03302020"</f>
        <v>ACCT#15 072 200-7/03302020</v>
      </c>
      <c r="G925" s="5">
        <v>233.08</v>
      </c>
      <c r="H925" t="str">
        <f>"ACCT#15 072 200-7/03302020"</f>
        <v>ACCT#15 072 200-7/03302020</v>
      </c>
    </row>
    <row r="926" spans="1:8" x14ac:dyDescent="0.25">
      <c r="E926" t="str">
        <f>"306 000 464 941 5"</f>
        <v>306 000 464 941 5</v>
      </c>
      <c r="F926" t="str">
        <f>"ACCT#15 072 201-5/03302020"</f>
        <v>ACCT#15 072 201-5/03302020</v>
      </c>
      <c r="G926" s="5">
        <v>377.87</v>
      </c>
      <c r="H926" t="str">
        <f>"ACCT#15 072 201-5/03302020"</f>
        <v>ACCT#15 072 201-5/03302020</v>
      </c>
    </row>
    <row r="927" spans="1:8" x14ac:dyDescent="0.25">
      <c r="E927" t="str">
        <f>"306 000 464 942 3"</f>
        <v>306 000 464 942 3</v>
      </c>
      <c r="F927" t="str">
        <f>"ACCT#15 072 202-3/03302020"</f>
        <v>ACCT#15 072 202-3/03302020</v>
      </c>
      <c r="G927" s="5">
        <v>27.64</v>
      </c>
      <c r="H927" t="str">
        <f>"ACCT#15 072 202-3/03302020"</f>
        <v>ACCT#15 072 202-3/03302020</v>
      </c>
    </row>
    <row r="928" spans="1:8" x14ac:dyDescent="0.25">
      <c r="E928" t="str">
        <f>"306 000 464 943 1"</f>
        <v>306 000 464 943 1</v>
      </c>
      <c r="F928" t="str">
        <f>"ACCT#15 072 203-1/03302020"</f>
        <v>ACCT#15 072 203-1/03302020</v>
      </c>
      <c r="G928" s="5">
        <v>13.95</v>
      </c>
      <c r="H928" t="str">
        <f>"ACCT#15 072 203-1/03302020"</f>
        <v>ACCT#15 072 203-1/03302020</v>
      </c>
    </row>
    <row r="929" spans="1:8" x14ac:dyDescent="0.25">
      <c r="E929" t="str">
        <f>"306 000 464 944 9"</f>
        <v>306 000 464 944 9</v>
      </c>
      <c r="F929" t="str">
        <f>"ACCT#15 072 204-9/03302020"</f>
        <v>ACCT#15 072 204-9/03302020</v>
      </c>
      <c r="G929" s="5">
        <v>246.1</v>
      </c>
      <c r="H929" t="str">
        <f>"ACCT#15 072 204-9/03302020"</f>
        <v>ACCT#15 072 204-9/03302020</v>
      </c>
    </row>
    <row r="930" spans="1:8" x14ac:dyDescent="0.25">
      <c r="A930" t="s">
        <v>240</v>
      </c>
      <c r="B930">
        <v>2499</v>
      </c>
      <c r="C930" s="5">
        <v>293.5</v>
      </c>
      <c r="D930" s="1">
        <v>43949</v>
      </c>
      <c r="E930" t="str">
        <f>"14846"</f>
        <v>14846</v>
      </c>
      <c r="F930" t="str">
        <f>"PARTS / PCT#4"</f>
        <v>PARTS / PCT#4</v>
      </c>
      <c r="G930" s="5">
        <v>293.5</v>
      </c>
      <c r="H930" t="str">
        <f>"PARTS / PCT#4"</f>
        <v>PARTS / PCT#4</v>
      </c>
    </row>
    <row r="931" spans="1:8" x14ac:dyDescent="0.25">
      <c r="A931" t="s">
        <v>241</v>
      </c>
      <c r="B931">
        <v>2461</v>
      </c>
      <c r="C931" s="5">
        <v>560</v>
      </c>
      <c r="D931" s="1">
        <v>43935</v>
      </c>
      <c r="E931" t="str">
        <f>"202003306120"</f>
        <v>202003306120</v>
      </c>
      <c r="F931" t="str">
        <f>"423-7082"</f>
        <v>423-7082</v>
      </c>
      <c r="G931" s="5">
        <v>560</v>
      </c>
      <c r="H931" t="str">
        <f>"423-7082"</f>
        <v>423-7082</v>
      </c>
    </row>
    <row r="932" spans="1:8" x14ac:dyDescent="0.25">
      <c r="A932" t="s">
        <v>241</v>
      </c>
      <c r="B932">
        <v>2520</v>
      </c>
      <c r="C932" s="5">
        <v>500</v>
      </c>
      <c r="D932" s="1">
        <v>43949</v>
      </c>
      <c r="E932" t="str">
        <f>"202004216524"</f>
        <v>202004216524</v>
      </c>
      <c r="F932" t="str">
        <f>"311072019A"</f>
        <v>311072019A</v>
      </c>
      <c r="G932" s="5">
        <v>250</v>
      </c>
      <c r="H932" t="str">
        <f>"311072019A"</f>
        <v>311072019A</v>
      </c>
    </row>
    <row r="933" spans="1:8" x14ac:dyDescent="0.25">
      <c r="E933" t="str">
        <f>"202004216525"</f>
        <v>202004216525</v>
      </c>
      <c r="F933" t="str">
        <f>"BC20200115C"</f>
        <v>BC20200115C</v>
      </c>
      <c r="G933" s="5">
        <v>250</v>
      </c>
      <c r="H933" t="str">
        <f>"BC20200115C"</f>
        <v>BC20200115C</v>
      </c>
    </row>
    <row r="934" spans="1:8" x14ac:dyDescent="0.25">
      <c r="A934" t="s">
        <v>242</v>
      </c>
      <c r="B934">
        <v>131578</v>
      </c>
      <c r="C934" s="5">
        <v>15891.39</v>
      </c>
      <c r="D934" s="1">
        <v>43934</v>
      </c>
      <c r="E934" t="str">
        <f>"202004076232"</f>
        <v>202004076232</v>
      </c>
      <c r="F934" t="str">
        <f>"RIATA FORD"</f>
        <v>RIATA FORD</v>
      </c>
      <c r="G934" s="5">
        <v>15891.39</v>
      </c>
      <c r="H934" t="str">
        <f>"GASKET REPAIR"</f>
        <v>GASKET REPAIR</v>
      </c>
    </row>
    <row r="935" spans="1:8" x14ac:dyDescent="0.25">
      <c r="A935" t="s">
        <v>243</v>
      </c>
      <c r="B935">
        <v>131579</v>
      </c>
      <c r="C935" s="5">
        <v>275</v>
      </c>
      <c r="D935" s="1">
        <v>43934</v>
      </c>
      <c r="E935" t="str">
        <f>"W014331"</f>
        <v>W014331</v>
      </c>
      <c r="F935" t="str">
        <f>"SKID STEER/PCT#3"</f>
        <v>SKID STEER/PCT#3</v>
      </c>
      <c r="G935" s="5">
        <v>275</v>
      </c>
      <c r="H935" t="str">
        <f>"SKID STEER/PCT#3"</f>
        <v>SKID STEER/PCT#3</v>
      </c>
    </row>
    <row r="936" spans="1:8" x14ac:dyDescent="0.25">
      <c r="A936" t="s">
        <v>244</v>
      </c>
      <c r="B936">
        <v>2498</v>
      </c>
      <c r="C936" s="5">
        <v>400</v>
      </c>
      <c r="D936" s="1">
        <v>43949</v>
      </c>
      <c r="E936" t="str">
        <f>"BCSPMAR20"</f>
        <v>BCSPMAR20</v>
      </c>
      <c r="F936" t="str">
        <f>"INV BCSPMAR20"</f>
        <v>INV BCSPMAR20</v>
      </c>
      <c r="G936" s="5">
        <v>400</v>
      </c>
      <c r="H936" t="str">
        <f>"INV BCSPMAR20"</f>
        <v>INV BCSPMAR20</v>
      </c>
    </row>
    <row r="937" spans="1:8" x14ac:dyDescent="0.25">
      <c r="A937" t="s">
        <v>245</v>
      </c>
      <c r="B937">
        <v>131580</v>
      </c>
      <c r="C937" s="5">
        <v>378.96</v>
      </c>
      <c r="D937" s="1">
        <v>43934</v>
      </c>
      <c r="E937" t="str">
        <f>"4892990"</f>
        <v>4892990</v>
      </c>
      <c r="F937" t="str">
        <f>"INV 4892990"</f>
        <v>INV 4892990</v>
      </c>
      <c r="G937" s="5">
        <v>364.91</v>
      </c>
      <c r="H937" t="str">
        <f>"INV 4892990"</f>
        <v>INV 4892990</v>
      </c>
    </row>
    <row r="938" spans="1:8" x14ac:dyDescent="0.25">
      <c r="E938" t="str">
        <f>"4898118"</f>
        <v>4898118</v>
      </c>
      <c r="F938" t="str">
        <f>"CUST ID:90564/ORD#2907245"</f>
        <v>CUST ID:90564/ORD#2907245</v>
      </c>
      <c r="G938" s="5">
        <v>14.05</v>
      </c>
      <c r="H938" t="str">
        <f>"CUST ID:90564/ORD#2907245"</f>
        <v>CUST ID:90564/ORD#2907245</v>
      </c>
    </row>
    <row r="939" spans="1:8" x14ac:dyDescent="0.25">
      <c r="A939" t="s">
        <v>246</v>
      </c>
      <c r="B939">
        <v>131581</v>
      </c>
      <c r="C939" s="5">
        <v>143</v>
      </c>
      <c r="D939" s="1">
        <v>43934</v>
      </c>
      <c r="E939" t="str">
        <f>"200313-2"</f>
        <v>200313-2</v>
      </c>
      <c r="F939" t="str">
        <f>"inv# 200313-2"</f>
        <v>inv# 200313-2</v>
      </c>
      <c r="G939" s="5">
        <v>84</v>
      </c>
      <c r="H939" t="str">
        <f>"Payment for shirts"</f>
        <v>Payment for shirts</v>
      </c>
    </row>
    <row r="940" spans="1:8" x14ac:dyDescent="0.25">
      <c r="E940" t="str">
        <f>"200324  200307"</f>
        <v>200324  200307</v>
      </c>
      <c r="F940" t="str">
        <f>"Uniform Shirts"</f>
        <v>Uniform Shirts</v>
      </c>
      <c r="G940" s="5">
        <v>59</v>
      </c>
      <c r="H940" t="str">
        <f>"#200324"</f>
        <v>#200324</v>
      </c>
    </row>
    <row r="941" spans="1:8" x14ac:dyDescent="0.25">
      <c r="E941" t="str">
        <f>""</f>
        <v/>
      </c>
      <c r="F941" t="str">
        <f>""</f>
        <v/>
      </c>
      <c r="H941" t="str">
        <f>"#200307"</f>
        <v>#200307</v>
      </c>
    </row>
    <row r="942" spans="1:8" x14ac:dyDescent="0.25">
      <c r="A942" t="s">
        <v>247</v>
      </c>
      <c r="B942">
        <v>131582</v>
      </c>
      <c r="C942" s="5">
        <v>678</v>
      </c>
      <c r="D942" s="1">
        <v>43934</v>
      </c>
      <c r="E942" t="str">
        <f>"202004086390"</f>
        <v>202004086390</v>
      </c>
      <c r="F942" t="str">
        <f>"LPHCP RECORDING FEES"</f>
        <v>LPHCP RECORDING FEES</v>
      </c>
      <c r="G942" s="5">
        <v>678</v>
      </c>
      <c r="H942" t="str">
        <f>"LPHCP RECORDING FEES"</f>
        <v>LPHCP RECORDING FEES</v>
      </c>
    </row>
    <row r="943" spans="1:8" x14ac:dyDescent="0.25">
      <c r="A943" t="s">
        <v>247</v>
      </c>
      <c r="B943">
        <v>131583</v>
      </c>
      <c r="C943" s="5">
        <v>549</v>
      </c>
      <c r="D943" s="1">
        <v>43934</v>
      </c>
      <c r="E943" t="str">
        <f>"202004086393"</f>
        <v>202004086393</v>
      </c>
      <c r="F943" t="str">
        <f>"DEVELOPMENT SVCS RECORDING FEE"</f>
        <v>DEVELOPMENT SVCS RECORDING FEE</v>
      </c>
      <c r="G943" s="5">
        <v>549</v>
      </c>
      <c r="H943" t="str">
        <f>"DEVELOPMENT SVCS RECORDING FEE"</f>
        <v>DEVELOPMENT SVCS RECORDING FEE</v>
      </c>
    </row>
    <row r="944" spans="1:8" x14ac:dyDescent="0.25">
      <c r="A944" t="s">
        <v>247</v>
      </c>
      <c r="B944">
        <v>131728</v>
      </c>
      <c r="C944" s="5">
        <v>120</v>
      </c>
      <c r="D944" s="1">
        <v>43948</v>
      </c>
      <c r="E944" t="str">
        <f>"202004226567"</f>
        <v>202004226567</v>
      </c>
      <c r="F944" t="str">
        <f>"LPHCP RECORDING FEES"</f>
        <v>LPHCP RECORDING FEES</v>
      </c>
      <c r="G944" s="5">
        <v>120</v>
      </c>
      <c r="H944" t="str">
        <f>"LPHCP RECORDING FEES"</f>
        <v>LPHCP RECORDING FEES</v>
      </c>
    </row>
    <row r="945" spans="1:8" x14ac:dyDescent="0.25">
      <c r="A945" t="s">
        <v>248</v>
      </c>
      <c r="B945">
        <v>2523</v>
      </c>
      <c r="C945" s="5">
        <v>282.66000000000003</v>
      </c>
      <c r="D945" s="1">
        <v>43949</v>
      </c>
      <c r="E945" t="str">
        <f>"202004226584"</f>
        <v>202004226584</v>
      </c>
      <c r="F945" t="str">
        <f>"INDIGENT HEALTH"</f>
        <v>INDIGENT HEALTH</v>
      </c>
      <c r="G945" s="5">
        <v>282.66000000000003</v>
      </c>
      <c r="H945" t="str">
        <f>"INDIGENT HEALTH"</f>
        <v>INDIGENT HEALTH</v>
      </c>
    </row>
    <row r="946" spans="1:8" x14ac:dyDescent="0.25">
      <c r="A946" t="s">
        <v>249</v>
      </c>
      <c r="B946">
        <v>131729</v>
      </c>
      <c r="C946" s="5">
        <v>7449.26</v>
      </c>
      <c r="D946" s="1">
        <v>43948</v>
      </c>
      <c r="E946" t="str">
        <f>"202004206497"</f>
        <v>202004206497</v>
      </c>
      <c r="F946" t="str">
        <f>"SETON PRESCRIPTION ASSISTANCE"</f>
        <v>SETON PRESCRIPTION ASSISTANCE</v>
      </c>
      <c r="G946" s="5">
        <v>3333</v>
      </c>
      <c r="H946" t="str">
        <f>"SETON PRESCRIPTION ASSISTANCE"</f>
        <v>SETON PRESCRIPTION ASSISTANCE</v>
      </c>
    </row>
    <row r="947" spans="1:8" x14ac:dyDescent="0.25">
      <c r="E947" t="str">
        <f>"202004226576"</f>
        <v>202004226576</v>
      </c>
      <c r="F947" t="str">
        <f>"INDIGENT HEALTH"</f>
        <v>INDIGENT HEALTH</v>
      </c>
      <c r="G947" s="5">
        <v>4116.26</v>
      </c>
      <c r="H947" t="str">
        <f>"INDIGENT HEALTH"</f>
        <v>INDIGENT HEALTH</v>
      </c>
    </row>
    <row r="948" spans="1:8" x14ac:dyDescent="0.25">
      <c r="A948" t="s">
        <v>250</v>
      </c>
      <c r="B948">
        <v>131584</v>
      </c>
      <c r="C948" s="5">
        <v>34</v>
      </c>
      <c r="D948" s="1">
        <v>43934</v>
      </c>
      <c r="E948" t="s">
        <v>251</v>
      </c>
      <c r="F948" t="str">
        <f>"RESTITUTION-D. MCCOMB"</f>
        <v>RESTITUTION-D. MCCOMB</v>
      </c>
      <c r="G948" s="5">
        <v>34</v>
      </c>
      <c r="H948" t="str">
        <f>"RESTITUTION-D. MCCOMB"</f>
        <v>RESTITUTION-D. MCCOMB</v>
      </c>
    </row>
    <row r="949" spans="1:8" x14ac:dyDescent="0.25">
      <c r="A949" t="s">
        <v>252</v>
      </c>
      <c r="B949">
        <v>131585</v>
      </c>
      <c r="C949" s="5">
        <v>46128.26</v>
      </c>
      <c r="D949" s="1">
        <v>43934</v>
      </c>
      <c r="E949" t="str">
        <f>"GB00363006"</f>
        <v>GB00363006</v>
      </c>
      <c r="F949" t="str">
        <f>"SHI Order"</f>
        <v>SHI Order</v>
      </c>
      <c r="G949" s="5">
        <v>211</v>
      </c>
      <c r="H949" t="str">
        <f>"IP Phone 8811"</f>
        <v>IP Phone 8811</v>
      </c>
    </row>
    <row r="950" spans="1:8" x14ac:dyDescent="0.25">
      <c r="E950" t="str">
        <f>"GB00363290 GB00363"</f>
        <v>GB00363290 GB00363</v>
      </c>
      <c r="F950" t="str">
        <f>"SMARTNET renewal"</f>
        <v>SMARTNET renewal</v>
      </c>
      <c r="G950" s="5">
        <v>24772.26</v>
      </c>
      <c r="H950" t="str">
        <f>"CON-SNT-SMS-1"</f>
        <v>CON-SNT-SMS-1</v>
      </c>
    </row>
    <row r="951" spans="1:8" x14ac:dyDescent="0.25">
      <c r="E951" t="str">
        <f>""</f>
        <v/>
      </c>
      <c r="F951" t="str">
        <f>""</f>
        <v/>
      </c>
      <c r="H951" t="str">
        <f>"CON-SNT-SMS-1"</f>
        <v>CON-SNT-SMS-1</v>
      </c>
    </row>
    <row r="952" spans="1:8" x14ac:dyDescent="0.25">
      <c r="E952" t="str">
        <f>""</f>
        <v/>
      </c>
      <c r="F952" t="str">
        <f>""</f>
        <v/>
      </c>
      <c r="H952" t="str">
        <f>" CON-ECMU-SMS-1"</f>
        <v xml:space="preserve"> CON-ECMU-SMS-1</v>
      </c>
    </row>
    <row r="953" spans="1:8" x14ac:dyDescent="0.25">
      <c r="E953" t="str">
        <f>""</f>
        <v/>
      </c>
      <c r="F953" t="str">
        <f>""</f>
        <v/>
      </c>
      <c r="H953" t="str">
        <f>"CON-SNT-SMS-1"</f>
        <v>CON-SNT-SMS-1</v>
      </c>
    </row>
    <row r="954" spans="1:8" x14ac:dyDescent="0.25">
      <c r="E954" t="str">
        <f>""</f>
        <v/>
      </c>
      <c r="F954" t="str">
        <f>""</f>
        <v/>
      </c>
      <c r="H954" t="str">
        <f>"CON-SNTP-SMS-1"</f>
        <v>CON-SNTP-SMS-1</v>
      </c>
    </row>
    <row r="955" spans="1:8" x14ac:dyDescent="0.25">
      <c r="E955" t="str">
        <f>""</f>
        <v/>
      </c>
      <c r="F955" t="str">
        <f>""</f>
        <v/>
      </c>
      <c r="H955" t="str">
        <f>"CON-SNTP-SMS-1"</f>
        <v>CON-SNTP-SMS-1</v>
      </c>
    </row>
    <row r="956" spans="1:8" x14ac:dyDescent="0.25">
      <c r="E956" t="str">
        <f>""</f>
        <v/>
      </c>
      <c r="F956" t="str">
        <f>""</f>
        <v/>
      </c>
      <c r="H956" t="str">
        <f>"ESA-ESI-SMS-1"</f>
        <v>ESA-ESI-SMS-1</v>
      </c>
    </row>
    <row r="957" spans="1:8" x14ac:dyDescent="0.25">
      <c r="E957" t="str">
        <f>""</f>
        <v/>
      </c>
      <c r="F957" t="str">
        <f>""</f>
        <v/>
      </c>
      <c r="H957" t="str">
        <f>"CON-ECMU-SMS-1"</f>
        <v>CON-ECMU-SMS-1</v>
      </c>
    </row>
    <row r="958" spans="1:8" x14ac:dyDescent="0.25">
      <c r="E958" t="str">
        <f>""</f>
        <v/>
      </c>
      <c r="F958" t="str">
        <f>""</f>
        <v/>
      </c>
      <c r="H958" t="str">
        <f>"ESA-ESI-SMS-1"</f>
        <v>ESA-ESI-SMS-1</v>
      </c>
    </row>
    <row r="959" spans="1:8" x14ac:dyDescent="0.25">
      <c r="E959" t="str">
        <f>""</f>
        <v/>
      </c>
      <c r="F959" t="str">
        <f>""</f>
        <v/>
      </c>
      <c r="H959" t="str">
        <f>"CON-SNT-SMS-1"</f>
        <v>CON-SNT-SMS-1</v>
      </c>
    </row>
    <row r="960" spans="1:8" x14ac:dyDescent="0.25">
      <c r="E960" t="str">
        <f>""</f>
        <v/>
      </c>
      <c r="F960" t="str">
        <f>""</f>
        <v/>
      </c>
      <c r="H960" t="str">
        <f>"CON-SNT-SMS-1000"</f>
        <v>CON-SNT-SMS-1000</v>
      </c>
    </row>
    <row r="961" spans="1:8" x14ac:dyDescent="0.25">
      <c r="E961" t="str">
        <f>""</f>
        <v/>
      </c>
      <c r="F961" t="str">
        <f>""</f>
        <v/>
      </c>
      <c r="H961" t="str">
        <f>"ESA-ESI-SMS-1"</f>
        <v>ESA-ESI-SMS-1</v>
      </c>
    </row>
    <row r="962" spans="1:8" x14ac:dyDescent="0.25">
      <c r="E962" t="str">
        <f>""</f>
        <v/>
      </c>
      <c r="F962" t="str">
        <f>""</f>
        <v/>
      </c>
      <c r="H962" t="str">
        <f>"CON-ECMU-SMS-1"</f>
        <v>CON-ECMU-SMS-1</v>
      </c>
    </row>
    <row r="963" spans="1:8" x14ac:dyDescent="0.25">
      <c r="E963" t="str">
        <f>""</f>
        <v/>
      </c>
      <c r="F963" t="str">
        <f>""</f>
        <v/>
      </c>
      <c r="H963" t="str">
        <f>"CON-SNT-SMS-1"</f>
        <v>CON-SNT-SMS-1</v>
      </c>
    </row>
    <row r="964" spans="1:8" x14ac:dyDescent="0.25">
      <c r="E964" t="str">
        <f>""</f>
        <v/>
      </c>
      <c r="F964" t="str">
        <f>""</f>
        <v/>
      </c>
      <c r="H964" t="str">
        <f>"CON-ECMU-SMS-1"</f>
        <v>CON-ECMU-SMS-1</v>
      </c>
    </row>
    <row r="965" spans="1:8" x14ac:dyDescent="0.25">
      <c r="E965" t="str">
        <f>"GB00363887"</f>
        <v>GB00363887</v>
      </c>
      <c r="F965" t="str">
        <f>"Netmotion Licenses"</f>
        <v>Netmotion Licenses</v>
      </c>
      <c r="G965" s="5">
        <v>2710</v>
      </c>
      <c r="H965" t="str">
        <f>"11NMXP25-6mts"</f>
        <v>11NMXP25-6mts</v>
      </c>
    </row>
    <row r="966" spans="1:8" x14ac:dyDescent="0.25">
      <c r="E966" t="str">
        <f>""</f>
        <v/>
      </c>
      <c r="F966" t="str">
        <f>""</f>
        <v/>
      </c>
      <c r="H966" t="str">
        <f>"11NMUPA100"</f>
        <v>11NMUPA100</v>
      </c>
    </row>
    <row r="967" spans="1:8" x14ac:dyDescent="0.25">
      <c r="E967" t="str">
        <f>""</f>
        <v/>
      </c>
      <c r="F967" t="str">
        <f>""</f>
        <v/>
      </c>
      <c r="H967" t="str">
        <f>"11NMXP25-6mts"</f>
        <v>11NMXP25-6mts</v>
      </c>
    </row>
    <row r="968" spans="1:8" x14ac:dyDescent="0.25">
      <c r="E968" t="str">
        <f>"GB00363888"</f>
        <v>GB00363888</v>
      </c>
      <c r="F968" t="str">
        <f>"Meraki Switches"</f>
        <v>Meraki Switches</v>
      </c>
      <c r="G968" s="5">
        <v>17920</v>
      </c>
      <c r="H968" t="str">
        <f>"MS425-16-HW"</f>
        <v>MS425-16-HW</v>
      </c>
    </row>
    <row r="969" spans="1:8" x14ac:dyDescent="0.25">
      <c r="E969" t="str">
        <f>"GB00364501"</f>
        <v>GB00364501</v>
      </c>
      <c r="F969" t="str">
        <f>"JP 3"</f>
        <v>JP 3</v>
      </c>
      <c r="G969" s="5">
        <v>215</v>
      </c>
      <c r="H969" t="str">
        <f>"HP LaserJet Pro"</f>
        <v>HP LaserJet Pro</v>
      </c>
    </row>
    <row r="970" spans="1:8" x14ac:dyDescent="0.25">
      <c r="E970" t="str">
        <f>"GB00364533"</f>
        <v>GB00364533</v>
      </c>
      <c r="F970" t="str">
        <f>"ESET Licenses"</f>
        <v>ESET Licenses</v>
      </c>
      <c r="G970" s="5">
        <v>300</v>
      </c>
      <c r="H970" t="str">
        <f>"ESE-G1-C"</f>
        <v>ESE-G1-C</v>
      </c>
    </row>
    <row r="971" spans="1:8" x14ac:dyDescent="0.25">
      <c r="A971" t="s">
        <v>252</v>
      </c>
      <c r="B971">
        <v>131730</v>
      </c>
      <c r="C971" s="5">
        <v>790</v>
      </c>
      <c r="D971" s="1">
        <v>43948</v>
      </c>
      <c r="E971" t="str">
        <f>"GB00365138"</f>
        <v>GB00365138</v>
      </c>
      <c r="F971" t="str">
        <f>"Zoom Pro- 1 Year"</f>
        <v>Zoom Pro- 1 Year</v>
      </c>
      <c r="G971" s="5">
        <v>790</v>
      </c>
      <c r="H971" t="str">
        <f>"Zoom Pro- 1 Year"</f>
        <v>Zoom Pro- 1 Year</v>
      </c>
    </row>
    <row r="972" spans="1:8" x14ac:dyDescent="0.25">
      <c r="A972" t="s">
        <v>253</v>
      </c>
      <c r="B972">
        <v>131586</v>
      </c>
      <c r="C972" s="5">
        <v>779.6</v>
      </c>
      <c r="D972" s="1">
        <v>43934</v>
      </c>
      <c r="E972" t="str">
        <f>"8129552473"</f>
        <v>8129552473</v>
      </c>
      <c r="F972" t="str">
        <f>"INV 8129552473"</f>
        <v>INV 8129552473</v>
      </c>
      <c r="G972" s="5">
        <v>338.86</v>
      </c>
      <c r="H972" t="str">
        <f>"INV 8129552473 - LE"</f>
        <v>INV 8129552473 - LE</v>
      </c>
    </row>
    <row r="973" spans="1:8" x14ac:dyDescent="0.25">
      <c r="E973" t="str">
        <f>""</f>
        <v/>
      </c>
      <c r="F973" t="str">
        <f>""</f>
        <v/>
      </c>
      <c r="H973" t="str">
        <f>"INV 8129552473 - JAI"</f>
        <v>INV 8129552473 - JAI</v>
      </c>
    </row>
    <row r="974" spans="1:8" x14ac:dyDescent="0.25">
      <c r="E974" t="str">
        <f>"8129553006"</f>
        <v>8129553006</v>
      </c>
      <c r="F974" t="str">
        <f>"CUST#16155373"</f>
        <v>CUST#16155373</v>
      </c>
      <c r="G974" s="5">
        <v>262.98</v>
      </c>
      <c r="H974" t="str">
        <f t="shared" ref="H974:H979" si="12">"CUST#16155373/PURCHASING"</f>
        <v>CUST#16155373/PURCHASING</v>
      </c>
    </row>
    <row r="975" spans="1:8" x14ac:dyDescent="0.25">
      <c r="E975" t="str">
        <f>""</f>
        <v/>
      </c>
      <c r="F975" t="str">
        <f>""</f>
        <v/>
      </c>
      <c r="H975" t="str">
        <f t="shared" si="12"/>
        <v>CUST#16155373/PURCHASING</v>
      </c>
    </row>
    <row r="976" spans="1:8" x14ac:dyDescent="0.25">
      <c r="E976" t="str">
        <f>""</f>
        <v/>
      </c>
      <c r="F976" t="str">
        <f>""</f>
        <v/>
      </c>
      <c r="H976" t="str">
        <f t="shared" si="12"/>
        <v>CUST#16155373/PURCHASING</v>
      </c>
    </row>
    <row r="977" spans="1:8" x14ac:dyDescent="0.25">
      <c r="E977" t="str">
        <f>""</f>
        <v/>
      </c>
      <c r="F977" t="str">
        <f>""</f>
        <v/>
      </c>
      <c r="H977" t="str">
        <f t="shared" si="12"/>
        <v>CUST#16155373/PURCHASING</v>
      </c>
    </row>
    <row r="978" spans="1:8" x14ac:dyDescent="0.25">
      <c r="E978" t="str">
        <f>""</f>
        <v/>
      </c>
      <c r="F978" t="str">
        <f>""</f>
        <v/>
      </c>
      <c r="H978" t="str">
        <f t="shared" si="12"/>
        <v>CUST#16155373/PURCHASING</v>
      </c>
    </row>
    <row r="979" spans="1:8" x14ac:dyDescent="0.25">
      <c r="E979" t="str">
        <f>""</f>
        <v/>
      </c>
      <c r="F979" t="str">
        <f>""</f>
        <v/>
      </c>
      <c r="H979" t="str">
        <f t="shared" si="12"/>
        <v>CUST#16155373/PURCHASING</v>
      </c>
    </row>
    <row r="980" spans="1:8" x14ac:dyDescent="0.25">
      <c r="E980" t="str">
        <f>"8129553047"</f>
        <v>8129553047</v>
      </c>
      <c r="F980" t="str">
        <f>"CUST#16156071/TAX OFFICE"</f>
        <v>CUST#16156071/TAX OFFICE</v>
      </c>
      <c r="G980" s="5">
        <v>177.76</v>
      </c>
      <c r="H980" t="str">
        <f>"CUST#16156071/TAX OFFICE"</f>
        <v>CUST#16156071/TAX OFFICE</v>
      </c>
    </row>
    <row r="981" spans="1:8" x14ac:dyDescent="0.25">
      <c r="A981" t="s">
        <v>253</v>
      </c>
      <c r="B981">
        <v>131731</v>
      </c>
      <c r="C981" s="5">
        <v>112.17</v>
      </c>
      <c r="D981" s="1">
        <v>43948</v>
      </c>
      <c r="E981" t="str">
        <f>"8129552861"</f>
        <v>8129552861</v>
      </c>
      <c r="F981" t="str">
        <f>"CUST#16151857/PURCHASING"</f>
        <v>CUST#16151857/PURCHASING</v>
      </c>
      <c r="G981" s="5">
        <v>112.17</v>
      </c>
      <c r="H981" t="str">
        <f>"CUST#16151857/PURCHASING"</f>
        <v>CUST#16151857/PURCHASING</v>
      </c>
    </row>
    <row r="982" spans="1:8" x14ac:dyDescent="0.25">
      <c r="E982" t="str">
        <f>""</f>
        <v/>
      </c>
      <c r="F982" t="str">
        <f>""</f>
        <v/>
      </c>
      <c r="H982" t="str">
        <f>"CUST#16151857/PURCHASING"</f>
        <v>CUST#16151857/PURCHASING</v>
      </c>
    </row>
    <row r="983" spans="1:8" x14ac:dyDescent="0.25">
      <c r="A983" t="s">
        <v>254</v>
      </c>
      <c r="B983">
        <v>2417</v>
      </c>
      <c r="C983" s="5">
        <v>84140.85</v>
      </c>
      <c r="D983" s="1">
        <v>43935</v>
      </c>
      <c r="E983" t="str">
        <f>"202004036170"</f>
        <v>202004036170</v>
      </c>
      <c r="F983" t="str">
        <f>"2020 Ford F250 4X4"</f>
        <v>2020 Ford F250 4X4</v>
      </c>
      <c r="G983" s="5">
        <v>41272.050000000003</v>
      </c>
      <c r="H983" t="str">
        <f>"Ford F 250"</f>
        <v>Ford F 250</v>
      </c>
    </row>
    <row r="984" spans="1:8" x14ac:dyDescent="0.25">
      <c r="E984" t="str">
        <f>""</f>
        <v/>
      </c>
      <c r="F984" t="str">
        <f>""</f>
        <v/>
      </c>
      <c r="H984" t="str">
        <f>"Goodbuy Fee"</f>
        <v>Goodbuy Fee</v>
      </c>
    </row>
    <row r="985" spans="1:8" x14ac:dyDescent="0.25">
      <c r="E985" t="str">
        <f>"202004086363"</f>
        <v>202004086363</v>
      </c>
      <c r="F985" t="str">
        <f>"SILSBEE FORD"</f>
        <v>SILSBEE FORD</v>
      </c>
      <c r="G985" s="5">
        <v>42868.800000000003</v>
      </c>
      <c r="H985" t="str">
        <f>"2020 Ford F350"</f>
        <v>2020 Ford F350</v>
      </c>
    </row>
    <row r="986" spans="1:8" x14ac:dyDescent="0.25">
      <c r="E986" t="str">
        <f>""</f>
        <v/>
      </c>
      <c r="F986" t="str">
        <f>""</f>
        <v/>
      </c>
      <c r="H986" t="str">
        <f>"Good Buy Fee"</f>
        <v>Good Buy Fee</v>
      </c>
    </row>
    <row r="987" spans="1:8" x14ac:dyDescent="0.25">
      <c r="E987" t="str">
        <f>""</f>
        <v/>
      </c>
      <c r="F987" t="str">
        <f>""</f>
        <v/>
      </c>
      <c r="H987" t="str">
        <f>"Delivery Fee"</f>
        <v>Delivery Fee</v>
      </c>
    </row>
    <row r="988" spans="1:8" x14ac:dyDescent="0.25">
      <c r="A988" t="s">
        <v>255</v>
      </c>
      <c r="B988">
        <v>131587</v>
      </c>
      <c r="C988" s="5">
        <v>79.92</v>
      </c>
      <c r="D988" s="1">
        <v>43934</v>
      </c>
      <c r="E988" t="str">
        <f>"202004086381"</f>
        <v>202004086381</v>
      </c>
      <c r="F988" t="str">
        <f>"JAIL MEDICAL"</f>
        <v>JAIL MEDICAL</v>
      </c>
      <c r="G988" s="5">
        <v>79.92</v>
      </c>
      <c r="H988" t="str">
        <f>"JAIL MEDICAL"</f>
        <v>JAIL MEDICAL</v>
      </c>
    </row>
    <row r="989" spans="1:8" x14ac:dyDescent="0.25">
      <c r="A989" t="s">
        <v>255</v>
      </c>
      <c r="B989">
        <v>131732</v>
      </c>
      <c r="C989" s="5">
        <v>87.94</v>
      </c>
      <c r="D989" s="1">
        <v>43948</v>
      </c>
      <c r="E989" t="str">
        <f>"202004226559"</f>
        <v>202004226559</v>
      </c>
      <c r="F989" t="str">
        <f>"JAIL MEDICAL"</f>
        <v>JAIL MEDICAL</v>
      </c>
      <c r="G989" s="5">
        <v>87.94</v>
      </c>
      <c r="H989" t="str">
        <f>"JAIL MEDICAL"</f>
        <v>JAIL MEDICAL</v>
      </c>
    </row>
    <row r="990" spans="1:8" x14ac:dyDescent="0.25">
      <c r="A990" t="s">
        <v>256</v>
      </c>
      <c r="B990">
        <v>2518</v>
      </c>
      <c r="C990" s="5">
        <v>1072.3499999999999</v>
      </c>
      <c r="D990" s="1">
        <v>43949</v>
      </c>
      <c r="E990" t="str">
        <f>"80879"</f>
        <v>80879</v>
      </c>
      <c r="F990" t="str">
        <f>"INV 80879"</f>
        <v>INV 80879</v>
      </c>
      <c r="G990" s="5">
        <v>1072.3499999999999</v>
      </c>
      <c r="H990" t="str">
        <f>"INV 80879"</f>
        <v>INV 80879</v>
      </c>
    </row>
    <row r="991" spans="1:8" x14ac:dyDescent="0.25">
      <c r="A991" t="s">
        <v>257</v>
      </c>
      <c r="B991">
        <v>131588</v>
      </c>
      <c r="C991" s="5">
        <v>1644.85</v>
      </c>
      <c r="D991" s="1">
        <v>43934</v>
      </c>
      <c r="E991" t="str">
        <f>"33013 - 03312020"</f>
        <v>33013 - 03312020</v>
      </c>
      <c r="F991" t="str">
        <f>"STATEMENT 33013 / PCT#1"</f>
        <v>STATEMENT 33013 / PCT#1</v>
      </c>
      <c r="G991" s="5">
        <v>1573.45</v>
      </c>
      <c r="H991" t="str">
        <f>"STATEMENT 33013 / PCT#1"</f>
        <v>STATEMENT 33013 / PCT#1</v>
      </c>
    </row>
    <row r="992" spans="1:8" x14ac:dyDescent="0.25">
      <c r="E992" t="str">
        <f>"33014 - 03312020"</f>
        <v>33014 - 03312020</v>
      </c>
      <c r="F992" t="str">
        <f>"STATEMENT#33014/PCT#2"</f>
        <v>STATEMENT#33014/PCT#2</v>
      </c>
      <c r="G992" s="5">
        <v>71.400000000000006</v>
      </c>
      <c r="H992" t="str">
        <f>"STATEMENT#33014/PCT#2"</f>
        <v>STATEMENT#33014/PCT#2</v>
      </c>
    </row>
    <row r="993" spans="1:8" x14ac:dyDescent="0.25">
      <c r="A993" t="s">
        <v>258</v>
      </c>
      <c r="B993">
        <v>131589</v>
      </c>
      <c r="C993" s="5">
        <v>434.59</v>
      </c>
      <c r="D993" s="1">
        <v>43934</v>
      </c>
      <c r="E993" t="str">
        <f>"202004076230"</f>
        <v>202004076230</v>
      </c>
      <c r="F993" t="str">
        <f>"ACCT#260/PCT#2"</f>
        <v>ACCT#260/PCT#2</v>
      </c>
      <c r="G993" s="5">
        <v>434.59</v>
      </c>
      <c r="H993" t="str">
        <f>"ACCT#260/PCT#2"</f>
        <v>ACCT#260/PCT#2</v>
      </c>
    </row>
    <row r="994" spans="1:8" x14ac:dyDescent="0.25">
      <c r="A994" t="s">
        <v>259</v>
      </c>
      <c r="B994">
        <v>131590</v>
      </c>
      <c r="C994" s="5">
        <v>6500</v>
      </c>
      <c r="D994" s="1">
        <v>43934</v>
      </c>
      <c r="E994" t="str">
        <f>"00602"</f>
        <v>00602</v>
      </c>
      <c r="F994" t="str">
        <f>"CLARITY CONNECT/ENR ANN ASSURA"</f>
        <v>CLARITY CONNECT/ENR ANN ASSURA</v>
      </c>
      <c r="G994" s="5">
        <v>6500</v>
      </c>
      <c r="H994" t="str">
        <f>"CLARITY CONNECT/ENR ANN ASSURA"</f>
        <v>CLARITY CONNECT/ENR ANN ASSURA</v>
      </c>
    </row>
    <row r="995" spans="1:8" x14ac:dyDescent="0.25">
      <c r="A995" t="s">
        <v>260</v>
      </c>
      <c r="B995">
        <v>131591</v>
      </c>
      <c r="C995" s="5">
        <v>614.22</v>
      </c>
      <c r="D995" s="1">
        <v>43934</v>
      </c>
      <c r="E995" t="str">
        <f>"4650040436"</f>
        <v>4650040436</v>
      </c>
      <c r="F995" t="str">
        <f>"CUST#52157/PCT#4"</f>
        <v>CUST#52157/PCT#4</v>
      </c>
      <c r="G995" s="5">
        <v>614.22</v>
      </c>
      <c r="H995" t="str">
        <f>"CUST#52157/PCT#4"</f>
        <v>CUST#52157/PCT#4</v>
      </c>
    </row>
    <row r="996" spans="1:8" x14ac:dyDescent="0.25">
      <c r="A996" t="s">
        <v>260</v>
      </c>
      <c r="B996">
        <v>131733</v>
      </c>
      <c r="C996" s="5">
        <v>205.45</v>
      </c>
      <c r="D996" s="1">
        <v>43948</v>
      </c>
      <c r="E996" t="str">
        <f>"4650041578"</f>
        <v>4650041578</v>
      </c>
      <c r="F996" t="str">
        <f>"CUST#52157/PCT#3"</f>
        <v>CUST#52157/PCT#3</v>
      </c>
      <c r="G996" s="5">
        <v>205.45</v>
      </c>
      <c r="H996" t="str">
        <f>"CUST#52157/PCT#3"</f>
        <v>CUST#52157/PCT#3</v>
      </c>
    </row>
    <row r="997" spans="1:8" x14ac:dyDescent="0.25">
      <c r="A997" t="s">
        <v>261</v>
      </c>
      <c r="B997">
        <v>131592</v>
      </c>
      <c r="C997" s="5">
        <v>41.41</v>
      </c>
      <c r="D997" s="1">
        <v>43934</v>
      </c>
      <c r="E997" t="str">
        <f>"9604456 032620"</f>
        <v>9604456 032620</v>
      </c>
      <c r="F997" t="str">
        <f>"ACCT#46668439604456"</f>
        <v>ACCT#46668439604456</v>
      </c>
      <c r="G997" s="5">
        <v>41.41</v>
      </c>
      <c r="H997" t="str">
        <f>"ACCT#46668439604456"</f>
        <v>ACCT#46668439604456</v>
      </c>
    </row>
    <row r="998" spans="1:8" x14ac:dyDescent="0.25">
      <c r="A998" t="s">
        <v>262</v>
      </c>
      <c r="B998">
        <v>131593</v>
      </c>
      <c r="C998" s="5">
        <v>126.52</v>
      </c>
      <c r="D998" s="1">
        <v>43934</v>
      </c>
      <c r="E998" t="str">
        <f>"S1049782"</f>
        <v>S1049782</v>
      </c>
      <c r="F998" t="str">
        <f>"ACCT#114382/ANIMAL SHELTER"</f>
        <v>ACCT#114382/ANIMAL SHELTER</v>
      </c>
      <c r="G998" s="5">
        <v>126.52</v>
      </c>
      <c r="H998" t="str">
        <f>"ACCT#114382/ANIMAL SHELTER"</f>
        <v>ACCT#114382/ANIMAL SHELTER</v>
      </c>
    </row>
    <row r="999" spans="1:8" x14ac:dyDescent="0.25">
      <c r="A999" t="s">
        <v>263</v>
      </c>
      <c r="B999">
        <v>2466</v>
      </c>
      <c r="C999" s="5">
        <v>3296.82</v>
      </c>
      <c r="D999" s="1">
        <v>43935</v>
      </c>
      <c r="E999" t="str">
        <f>"28297"</f>
        <v>28297</v>
      </c>
      <c r="F999" t="str">
        <f>"TRUCK ACCESSORIES/PCT#2"</f>
        <v>TRUCK ACCESSORIES/PCT#2</v>
      </c>
      <c r="G999" s="5">
        <v>3296.82</v>
      </c>
      <c r="H999" t="str">
        <f>"TRUCK ACCESSORIES/PCT#2"</f>
        <v>TRUCK ACCESSORIES/PCT#2</v>
      </c>
    </row>
    <row r="1000" spans="1:8" x14ac:dyDescent="0.25">
      <c r="A1000" t="s">
        <v>264</v>
      </c>
      <c r="B1000">
        <v>131594</v>
      </c>
      <c r="C1000" s="5">
        <v>248.13</v>
      </c>
      <c r="D1000" s="1">
        <v>43934</v>
      </c>
      <c r="E1000" t="str">
        <f>"202004086382"</f>
        <v>202004086382</v>
      </c>
      <c r="F1000" t="str">
        <f>"JAIL MEDICAL"</f>
        <v>JAIL MEDICAL</v>
      </c>
      <c r="G1000" s="5">
        <v>248.13</v>
      </c>
      <c r="H1000" t="str">
        <f>"JAIL MEDICAL"</f>
        <v>JAIL MEDICAL</v>
      </c>
    </row>
    <row r="1001" spans="1:8" x14ac:dyDescent="0.25">
      <c r="A1001" t="s">
        <v>264</v>
      </c>
      <c r="B1001">
        <v>131734</v>
      </c>
      <c r="C1001" s="5">
        <v>265.68</v>
      </c>
      <c r="D1001" s="1">
        <v>43948</v>
      </c>
      <c r="E1001" t="str">
        <f>"202004226591"</f>
        <v>202004226591</v>
      </c>
      <c r="F1001" t="str">
        <f>"INDIGENT HEALTH"</f>
        <v>INDIGENT HEALTH</v>
      </c>
      <c r="G1001" s="5">
        <v>265.68</v>
      </c>
      <c r="H1001" t="str">
        <f>"INDIGENT HEALTH"</f>
        <v>INDIGENT HEALTH</v>
      </c>
    </row>
    <row r="1002" spans="1:8" x14ac:dyDescent="0.25">
      <c r="A1002" t="s">
        <v>265</v>
      </c>
      <c r="B1002">
        <v>131735</v>
      </c>
      <c r="C1002" s="5">
        <v>139.79</v>
      </c>
      <c r="D1002" s="1">
        <v>43948</v>
      </c>
      <c r="E1002" t="str">
        <f>"202004226590"</f>
        <v>202004226590</v>
      </c>
      <c r="F1002" t="str">
        <f>"INDIGENT HEALTH"</f>
        <v>INDIGENT HEALTH</v>
      </c>
      <c r="G1002" s="5">
        <v>139.79</v>
      </c>
      <c r="H1002" t="str">
        <f>"INDIGENT HEALTH"</f>
        <v>INDIGENT HEALTH</v>
      </c>
    </row>
    <row r="1003" spans="1:8" x14ac:dyDescent="0.25">
      <c r="A1003" t="s">
        <v>266</v>
      </c>
      <c r="B1003">
        <v>131736</v>
      </c>
      <c r="C1003" s="5">
        <v>46.73</v>
      </c>
      <c r="D1003" s="1">
        <v>43948</v>
      </c>
      <c r="E1003" t="str">
        <f>"202004226592"</f>
        <v>202004226592</v>
      </c>
      <c r="F1003" t="str">
        <f>"INDIGENT HEALTH"</f>
        <v>INDIGENT HEALTH</v>
      </c>
      <c r="G1003" s="5">
        <v>46.73</v>
      </c>
      <c r="H1003" t="str">
        <f>"INDIGENT HEALTH"</f>
        <v>INDIGENT HEALTH</v>
      </c>
    </row>
    <row r="1004" spans="1:8" x14ac:dyDescent="0.25">
      <c r="A1004" t="s">
        <v>267</v>
      </c>
      <c r="B1004">
        <v>131595</v>
      </c>
      <c r="C1004" s="5">
        <v>1420.82</v>
      </c>
      <c r="D1004" s="1">
        <v>43934</v>
      </c>
      <c r="E1004" t="str">
        <f>"8057862172"</f>
        <v>8057862172</v>
      </c>
      <c r="F1004" t="str">
        <f>"sum inv# 8057862172"</f>
        <v>sum inv# 8057862172</v>
      </c>
      <c r="G1004" s="5">
        <v>1420.82</v>
      </c>
      <c r="H1004" t="str">
        <f>"inv# 3442497116"</f>
        <v>inv# 3442497116</v>
      </c>
    </row>
    <row r="1005" spans="1:8" x14ac:dyDescent="0.25">
      <c r="E1005" t="str">
        <f>""</f>
        <v/>
      </c>
      <c r="F1005" t="str">
        <f>""</f>
        <v/>
      </c>
      <c r="H1005" t="str">
        <f>"inv# 3442497117"</f>
        <v>inv# 3442497117</v>
      </c>
    </row>
    <row r="1006" spans="1:8" x14ac:dyDescent="0.25">
      <c r="E1006" t="str">
        <f>""</f>
        <v/>
      </c>
      <c r="F1006" t="str">
        <f>""</f>
        <v/>
      </c>
      <c r="H1006" t="str">
        <f>"inv# 3442497118"</f>
        <v>inv# 3442497118</v>
      </c>
    </row>
    <row r="1007" spans="1:8" x14ac:dyDescent="0.25">
      <c r="E1007" t="str">
        <f>""</f>
        <v/>
      </c>
      <c r="F1007" t="str">
        <f>""</f>
        <v/>
      </c>
      <c r="H1007" t="str">
        <f>"inv# 3442497120"</f>
        <v>inv# 3442497120</v>
      </c>
    </row>
    <row r="1008" spans="1:8" x14ac:dyDescent="0.25">
      <c r="E1008" t="str">
        <f>""</f>
        <v/>
      </c>
      <c r="F1008" t="str">
        <f>""</f>
        <v/>
      </c>
      <c r="H1008" t="str">
        <f>"inv# 3442497122"</f>
        <v>inv# 3442497122</v>
      </c>
    </row>
    <row r="1009" spans="1:8" x14ac:dyDescent="0.25">
      <c r="E1009" t="str">
        <f>""</f>
        <v/>
      </c>
      <c r="F1009" t="str">
        <f>""</f>
        <v/>
      </c>
      <c r="H1009" t="str">
        <f>"inv# 3442497119"</f>
        <v>inv# 3442497119</v>
      </c>
    </row>
    <row r="1010" spans="1:8" x14ac:dyDescent="0.25">
      <c r="E1010" t="str">
        <f>""</f>
        <v/>
      </c>
      <c r="F1010" t="str">
        <f>""</f>
        <v/>
      </c>
      <c r="H1010" t="str">
        <f>"Inv# 3442497121"</f>
        <v>Inv# 3442497121</v>
      </c>
    </row>
    <row r="1011" spans="1:8" x14ac:dyDescent="0.25">
      <c r="E1011" t="str">
        <f>""</f>
        <v/>
      </c>
      <c r="F1011" t="str">
        <f>""</f>
        <v/>
      </c>
      <c r="H1011" t="str">
        <f>"inv# 3442497123"</f>
        <v>inv# 3442497123</v>
      </c>
    </row>
    <row r="1012" spans="1:8" x14ac:dyDescent="0.25">
      <c r="E1012" t="str">
        <f>""</f>
        <v/>
      </c>
      <c r="F1012" t="str">
        <f>""</f>
        <v/>
      </c>
      <c r="H1012" t="str">
        <f>"inv# 3442497114"</f>
        <v>inv# 3442497114</v>
      </c>
    </row>
    <row r="1013" spans="1:8" x14ac:dyDescent="0.25">
      <c r="E1013" t="str">
        <f>""</f>
        <v/>
      </c>
      <c r="F1013" t="str">
        <f>""</f>
        <v/>
      </c>
      <c r="H1013" t="str">
        <f>"inv# 3442497113"</f>
        <v>inv# 3442497113</v>
      </c>
    </row>
    <row r="1014" spans="1:8" x14ac:dyDescent="0.25">
      <c r="E1014" t="str">
        <f>""</f>
        <v/>
      </c>
      <c r="F1014" t="str">
        <f>""</f>
        <v/>
      </c>
      <c r="H1014" t="str">
        <f>"inv# 3442497109"</f>
        <v>inv# 3442497109</v>
      </c>
    </row>
    <row r="1015" spans="1:8" x14ac:dyDescent="0.25">
      <c r="E1015" t="str">
        <f>""</f>
        <v/>
      </c>
      <c r="F1015" t="str">
        <f>""</f>
        <v/>
      </c>
      <c r="H1015" t="str">
        <f>"inv# 3442497112"</f>
        <v>inv# 3442497112</v>
      </c>
    </row>
    <row r="1016" spans="1:8" x14ac:dyDescent="0.25">
      <c r="E1016" t="str">
        <f>""</f>
        <v/>
      </c>
      <c r="F1016" t="str">
        <f>""</f>
        <v/>
      </c>
      <c r="H1016" t="str">
        <f>"inv# 3442497125"</f>
        <v>inv# 3442497125</v>
      </c>
    </row>
    <row r="1017" spans="1:8" x14ac:dyDescent="0.25">
      <c r="A1017" t="s">
        <v>267</v>
      </c>
      <c r="B1017">
        <v>131737</v>
      </c>
      <c r="C1017" s="5">
        <v>671.64</v>
      </c>
      <c r="D1017" s="1">
        <v>43948</v>
      </c>
      <c r="E1017" t="str">
        <f>"8058021044"</f>
        <v>8058021044</v>
      </c>
      <c r="F1017" t="str">
        <f>"Sum inv# 8058021044"</f>
        <v>Sum inv# 8058021044</v>
      </c>
      <c r="G1017" s="5">
        <v>671.64</v>
      </c>
      <c r="H1017" t="str">
        <f>"inv# 3444072204"</f>
        <v>inv# 3444072204</v>
      </c>
    </row>
    <row r="1018" spans="1:8" x14ac:dyDescent="0.25">
      <c r="E1018" t="str">
        <f>""</f>
        <v/>
      </c>
      <c r="F1018" t="str">
        <f>""</f>
        <v/>
      </c>
      <c r="H1018" t="str">
        <f>"inv# 344072206"</f>
        <v>inv# 344072206</v>
      </c>
    </row>
    <row r="1019" spans="1:8" x14ac:dyDescent="0.25">
      <c r="E1019" t="str">
        <f>""</f>
        <v/>
      </c>
      <c r="F1019" t="str">
        <f>""</f>
        <v/>
      </c>
      <c r="H1019" t="str">
        <f>"inv# 3444072208"</f>
        <v>inv# 3444072208</v>
      </c>
    </row>
    <row r="1020" spans="1:8" x14ac:dyDescent="0.25">
      <c r="E1020" t="str">
        <f>""</f>
        <v/>
      </c>
      <c r="F1020" t="str">
        <f>""</f>
        <v/>
      </c>
      <c r="H1020" t="str">
        <f>"inv# 3444072209"</f>
        <v>inv# 3444072209</v>
      </c>
    </row>
    <row r="1021" spans="1:8" x14ac:dyDescent="0.25">
      <c r="E1021" t="str">
        <f>""</f>
        <v/>
      </c>
      <c r="F1021" t="str">
        <f>""</f>
        <v/>
      </c>
      <c r="H1021" t="str">
        <f>"inv# 3444072211"</f>
        <v>inv# 3444072211</v>
      </c>
    </row>
    <row r="1022" spans="1:8" x14ac:dyDescent="0.25">
      <c r="E1022" t="str">
        <f>""</f>
        <v/>
      </c>
      <c r="F1022" t="str">
        <f>""</f>
        <v/>
      </c>
      <c r="H1022" t="str">
        <f>"inv# 3444072212"</f>
        <v>inv# 3444072212</v>
      </c>
    </row>
    <row r="1023" spans="1:8" x14ac:dyDescent="0.25">
      <c r="E1023" t="str">
        <f>""</f>
        <v/>
      </c>
      <c r="F1023" t="str">
        <f>""</f>
        <v/>
      </c>
      <c r="H1023" t="str">
        <f>"inv# 3444072202"</f>
        <v>inv# 3444072202</v>
      </c>
    </row>
    <row r="1024" spans="1:8" x14ac:dyDescent="0.25">
      <c r="A1024" t="s">
        <v>268</v>
      </c>
      <c r="B1024">
        <v>131738</v>
      </c>
      <c r="C1024" s="5">
        <v>748.31</v>
      </c>
      <c r="D1024" s="1">
        <v>43948</v>
      </c>
      <c r="E1024" t="str">
        <f>"202004206494"</f>
        <v>202004206494</v>
      </c>
      <c r="F1024" t="str">
        <f>"MARCH 2020"</f>
        <v>MARCH 2020</v>
      </c>
      <c r="G1024" s="5">
        <v>748.31</v>
      </c>
      <c r="H1024" t="str">
        <f>"MARCH 2020"</f>
        <v>MARCH 2020</v>
      </c>
    </row>
    <row r="1025" spans="1:8" x14ac:dyDescent="0.25">
      <c r="A1025" t="s">
        <v>269</v>
      </c>
      <c r="B1025">
        <v>131596</v>
      </c>
      <c r="C1025" s="5">
        <v>795.59</v>
      </c>
      <c r="D1025" s="1">
        <v>43934</v>
      </c>
      <c r="E1025" t="str">
        <f>"4009241866"</f>
        <v>4009241866</v>
      </c>
      <c r="F1025" t="str">
        <f>"INV 4009241866"</f>
        <v>INV 4009241866</v>
      </c>
      <c r="G1025" s="5">
        <v>795.59</v>
      </c>
      <c r="H1025" t="str">
        <f>"INV 4009241866"</f>
        <v>INV 4009241866</v>
      </c>
    </row>
    <row r="1026" spans="1:8" x14ac:dyDescent="0.25">
      <c r="A1026" t="s">
        <v>270</v>
      </c>
      <c r="B1026">
        <v>131597</v>
      </c>
      <c r="C1026" s="5">
        <v>624</v>
      </c>
      <c r="D1026" s="1">
        <v>43934</v>
      </c>
      <c r="E1026" t="str">
        <f>"202004086371"</f>
        <v>202004086371</v>
      </c>
      <c r="F1026" t="str">
        <f>"TRASH REMOVAL 03/23-03/31/P4"</f>
        <v>TRASH REMOVAL 03/23-03/31/P4</v>
      </c>
      <c r="G1026" s="5">
        <v>338</v>
      </c>
      <c r="H1026" t="str">
        <f>"TRASH REMOVAL 03/23-03/31/P4"</f>
        <v>TRASH REMOVAL 03/23-03/31/P4</v>
      </c>
    </row>
    <row r="1027" spans="1:8" x14ac:dyDescent="0.25">
      <c r="E1027" t="str">
        <f>"202004086372"</f>
        <v>202004086372</v>
      </c>
      <c r="F1027" t="str">
        <f>"TRASH REMOVAL 04/01-04/10/P4"</f>
        <v>TRASH REMOVAL 04/01-04/10/P4</v>
      </c>
      <c r="G1027" s="5">
        <v>286</v>
      </c>
      <c r="H1027" t="str">
        <f>"TRASH REMOVAL 04/01-04/10/P4"</f>
        <v>TRASH REMOVAL 04/01-04/10/P4</v>
      </c>
    </row>
    <row r="1028" spans="1:8" x14ac:dyDescent="0.25">
      <c r="A1028" t="s">
        <v>270</v>
      </c>
      <c r="B1028">
        <v>131739</v>
      </c>
      <c r="C1028" s="5">
        <v>448.5</v>
      </c>
      <c r="D1028" s="1">
        <v>43948</v>
      </c>
      <c r="E1028" t="str">
        <f>"202004226565"</f>
        <v>202004226565</v>
      </c>
      <c r="F1028" t="str">
        <f>"TRASH REMOVAL 04/13-04/24/P4"</f>
        <v>TRASH REMOVAL 04/13-04/24/P4</v>
      </c>
      <c r="G1028" s="5">
        <v>448.5</v>
      </c>
      <c r="H1028" t="str">
        <f>"TRASH REMOVAL 04/13-04/24/P4"</f>
        <v>TRASH REMOVAL 04/13-04/24/P4</v>
      </c>
    </row>
    <row r="1029" spans="1:8" x14ac:dyDescent="0.25">
      <c r="A1029" t="s">
        <v>271</v>
      </c>
      <c r="B1029">
        <v>2434</v>
      </c>
      <c r="C1029" s="5">
        <v>10480.19</v>
      </c>
      <c r="D1029" s="1">
        <v>43935</v>
      </c>
      <c r="E1029" t="str">
        <f>"95616756"</f>
        <v>95616756</v>
      </c>
      <c r="F1029" t="str">
        <f>"ACCT#10187930 / PCT#2"</f>
        <v>ACCT#10187930 / PCT#2</v>
      </c>
      <c r="G1029" s="5">
        <v>2309.94</v>
      </c>
      <c r="H1029" t="str">
        <f>"ACCT#10187930 / PCT#2"</f>
        <v>ACCT#10187930 / PCT#2</v>
      </c>
    </row>
    <row r="1030" spans="1:8" x14ac:dyDescent="0.25">
      <c r="E1030" t="str">
        <f>"95623175"</f>
        <v>95623175</v>
      </c>
      <c r="F1030" t="str">
        <f>"ACCT#10187930 / PCT#2"</f>
        <v>ACCT#10187930 / PCT#2</v>
      </c>
      <c r="G1030" s="5">
        <v>1992.55</v>
      </c>
      <c r="H1030" t="str">
        <f>"ACCT#10187930 / PCT#2"</f>
        <v>ACCT#10187930 / PCT#2</v>
      </c>
    </row>
    <row r="1031" spans="1:8" x14ac:dyDescent="0.25">
      <c r="E1031" t="str">
        <f>"95637556"</f>
        <v>95637556</v>
      </c>
      <c r="F1031" t="str">
        <f>"ACCT#10187930/PCT#2"</f>
        <v>ACCT#10187930/PCT#2</v>
      </c>
      <c r="G1031" s="5">
        <v>2369.7600000000002</v>
      </c>
      <c r="H1031" t="str">
        <f>"ACCT#10187930/PCT#2"</f>
        <v>ACCT#10187930/PCT#2</v>
      </c>
    </row>
    <row r="1032" spans="1:8" x14ac:dyDescent="0.25">
      <c r="E1032" t="str">
        <f>"95648694"</f>
        <v>95648694</v>
      </c>
      <c r="F1032" t="str">
        <f>"ACCT#10187718/PCT#2"</f>
        <v>ACCT#10187718/PCT#2</v>
      </c>
      <c r="G1032" s="5">
        <v>1954.33</v>
      </c>
      <c r="H1032" t="str">
        <f>"ACCT#10187718/PCT#2"</f>
        <v>ACCT#10187718/PCT#2</v>
      </c>
    </row>
    <row r="1033" spans="1:8" x14ac:dyDescent="0.25">
      <c r="E1033" t="str">
        <f>"95659378"</f>
        <v>95659378</v>
      </c>
      <c r="F1033" t="str">
        <f>"ACCT#10187718/FUEL/PCT #2"</f>
        <v>ACCT#10187718/FUEL/PCT #2</v>
      </c>
      <c r="G1033" s="5">
        <v>1853.61</v>
      </c>
      <c r="H1033" t="str">
        <f>"ACCT#10187718/FUEL/PCT #2"</f>
        <v>ACCT#10187718/FUEL/PCT #2</v>
      </c>
    </row>
    <row r="1034" spans="1:8" x14ac:dyDescent="0.25">
      <c r="A1034" t="s">
        <v>272</v>
      </c>
      <c r="B1034">
        <v>131740</v>
      </c>
      <c r="C1034" s="5">
        <v>76.55</v>
      </c>
      <c r="D1034" s="1">
        <v>43948</v>
      </c>
      <c r="E1034" t="str">
        <f>"202004226593"</f>
        <v>202004226593</v>
      </c>
      <c r="F1034" t="str">
        <f>"INDIGENT HEALTH"</f>
        <v>INDIGENT HEALTH</v>
      </c>
      <c r="G1034" s="5">
        <v>76.55</v>
      </c>
      <c r="H1034" t="str">
        <f>"INDIGENT HEALTH"</f>
        <v>INDIGENT HEALTH</v>
      </c>
    </row>
    <row r="1035" spans="1:8" x14ac:dyDescent="0.25">
      <c r="A1035" t="s">
        <v>273</v>
      </c>
      <c r="B1035">
        <v>131598</v>
      </c>
      <c r="C1035" s="5">
        <v>166</v>
      </c>
      <c r="D1035" s="1">
        <v>43934</v>
      </c>
      <c r="E1035" t="s">
        <v>274</v>
      </c>
      <c r="F1035" t="str">
        <f>"OVERPAYMENT OF COURT FEES 1/2"</f>
        <v>OVERPAYMENT OF COURT FEES 1/2</v>
      </c>
      <c r="G1035" s="5">
        <v>166</v>
      </c>
      <c r="H1035" t="str">
        <f>"OVERPAYMENT OF COURT FEES 1/2"</f>
        <v>OVERPAYMENT OF COURT FEES 1/2</v>
      </c>
    </row>
    <row r="1036" spans="1:8" x14ac:dyDescent="0.25">
      <c r="A1036" t="s">
        <v>275</v>
      </c>
      <c r="B1036">
        <v>2438</v>
      </c>
      <c r="C1036" s="5">
        <v>774</v>
      </c>
      <c r="D1036" s="1">
        <v>43935</v>
      </c>
      <c r="E1036" t="str">
        <f>"7394"</f>
        <v>7394</v>
      </c>
      <c r="F1036" t="str">
        <f>"CLEANING SUPPLIES/PCT#1"</f>
        <v>CLEANING SUPPLIES/PCT#1</v>
      </c>
      <c r="G1036" s="5">
        <v>209</v>
      </c>
      <c r="H1036" t="str">
        <f>"CLEANING SUPPLIES/PCT#1"</f>
        <v>CLEANING SUPPLIES/PCT#1</v>
      </c>
    </row>
    <row r="1037" spans="1:8" x14ac:dyDescent="0.25">
      <c r="E1037" t="str">
        <f>"7612"</f>
        <v>7612</v>
      </c>
      <c r="F1037" t="str">
        <f>"ORANGE AEROSOL/CLEAN TUBS/P1"</f>
        <v>ORANGE AEROSOL/CLEAN TUBS/P1</v>
      </c>
      <c r="G1037" s="5">
        <v>565</v>
      </c>
      <c r="H1037" t="str">
        <f>"ORANGE AEROSOL/CLEAN TUBS/P1"</f>
        <v>ORANGE AEROSOL/CLEAN TUBS/P1</v>
      </c>
    </row>
    <row r="1038" spans="1:8" x14ac:dyDescent="0.25">
      <c r="A1038" t="s">
        <v>276</v>
      </c>
      <c r="B1038">
        <v>2421</v>
      </c>
      <c r="C1038" s="5">
        <v>57.68</v>
      </c>
      <c r="D1038" s="1">
        <v>43935</v>
      </c>
      <c r="E1038" t="str">
        <f>"20040115"</f>
        <v>20040115</v>
      </c>
      <c r="F1038" t="str">
        <f>"SVC CONTRACT 03/02 - 04/01"</f>
        <v>SVC CONTRACT 03/02 - 04/01</v>
      </c>
      <c r="G1038" s="5">
        <v>57.68</v>
      </c>
      <c r="H1038" t="str">
        <f>"SVC CONTRACT 03/02 - 04/01"</f>
        <v>SVC CONTRACT 03/02 - 04/01</v>
      </c>
    </row>
    <row r="1039" spans="1:8" x14ac:dyDescent="0.25">
      <c r="A1039" t="s">
        <v>277</v>
      </c>
      <c r="B1039">
        <v>2530</v>
      </c>
      <c r="C1039" s="5">
        <v>217</v>
      </c>
      <c r="D1039" s="1">
        <v>43949</v>
      </c>
      <c r="E1039" t="str">
        <f>"2005054"</f>
        <v>2005054</v>
      </c>
      <c r="F1039" t="str">
        <f>"CUST ID:BASTROP COUNTY COURT"</f>
        <v>CUST ID:BASTROP COUNTY COURT</v>
      </c>
      <c r="G1039" s="5">
        <v>217</v>
      </c>
      <c r="H1039" t="str">
        <f>"CUST ID:BASTROP COUNTY COURT"</f>
        <v>CUST ID:BASTROP COUNTY COURT</v>
      </c>
    </row>
    <row r="1040" spans="1:8" x14ac:dyDescent="0.25">
      <c r="A1040" t="s">
        <v>278</v>
      </c>
      <c r="B1040">
        <v>131599</v>
      </c>
      <c r="C1040" s="5">
        <v>2994</v>
      </c>
      <c r="D1040" s="1">
        <v>43934</v>
      </c>
      <c r="E1040" t="str">
        <f>"96191250"</f>
        <v>96191250</v>
      </c>
      <c r="F1040" t="str">
        <f>"inv# TD34489"</f>
        <v>inv# TD34489</v>
      </c>
      <c r="G1040" s="5">
        <v>2994</v>
      </c>
      <c r="H1040" t="str">
        <f>"inv# 96191250"</f>
        <v>inv# 96191250</v>
      </c>
    </row>
    <row r="1041" spans="1:8" x14ac:dyDescent="0.25">
      <c r="A1041" t="s">
        <v>279</v>
      </c>
      <c r="B1041">
        <v>131600</v>
      </c>
      <c r="C1041" s="5">
        <v>758.77</v>
      </c>
      <c r="D1041" s="1">
        <v>43934</v>
      </c>
      <c r="E1041" t="str">
        <f>"388376"</f>
        <v>388376</v>
      </c>
      <c r="F1041" t="str">
        <f>"Air Filters"</f>
        <v>Air Filters</v>
      </c>
      <c r="G1041" s="5">
        <v>758.77</v>
      </c>
      <c r="H1041" t="str">
        <f>"14x20x1 Pleated Air"</f>
        <v>14x20x1 Pleated Air</v>
      </c>
    </row>
    <row r="1042" spans="1:8" x14ac:dyDescent="0.25">
      <c r="E1042" t="str">
        <f>""</f>
        <v/>
      </c>
      <c r="F1042" t="str">
        <f>""</f>
        <v/>
      </c>
      <c r="H1042" t="str">
        <f>"16x20x1 Pleated Air"</f>
        <v>16x20x1 Pleated Air</v>
      </c>
    </row>
    <row r="1043" spans="1:8" x14ac:dyDescent="0.25">
      <c r="E1043" t="str">
        <f>""</f>
        <v/>
      </c>
      <c r="F1043" t="str">
        <f>""</f>
        <v/>
      </c>
      <c r="H1043" t="str">
        <f>"16x24x1 Pleated Air"</f>
        <v>16x24x1 Pleated Air</v>
      </c>
    </row>
    <row r="1044" spans="1:8" x14ac:dyDescent="0.25">
      <c r="E1044" t="str">
        <f>""</f>
        <v/>
      </c>
      <c r="F1044" t="str">
        <f>""</f>
        <v/>
      </c>
      <c r="H1044" t="str">
        <f>"20x25x2 Pleated Air"</f>
        <v>20x25x2 Pleated Air</v>
      </c>
    </row>
    <row r="1045" spans="1:8" x14ac:dyDescent="0.25">
      <c r="E1045" t="str">
        <f>""</f>
        <v/>
      </c>
      <c r="F1045" t="str">
        <f>""</f>
        <v/>
      </c>
      <c r="H1045" t="str">
        <f>"20x25x1 Pleated Air"</f>
        <v>20x25x1 Pleated Air</v>
      </c>
    </row>
    <row r="1046" spans="1:8" x14ac:dyDescent="0.25">
      <c r="E1046" t="str">
        <f>""</f>
        <v/>
      </c>
      <c r="F1046" t="str">
        <f>""</f>
        <v/>
      </c>
      <c r="H1046" t="str">
        <f>"24x24x2 Pleated Air"</f>
        <v>24x24x2 Pleated Air</v>
      </c>
    </row>
    <row r="1047" spans="1:8" x14ac:dyDescent="0.25">
      <c r="E1047" t="str">
        <f>""</f>
        <v/>
      </c>
      <c r="F1047" t="str">
        <f>""</f>
        <v/>
      </c>
      <c r="H1047" t="str">
        <f>"18x24x2 Pleated Air"</f>
        <v>18x24x2 Pleated Air</v>
      </c>
    </row>
    <row r="1048" spans="1:8" x14ac:dyDescent="0.25">
      <c r="E1048" t="str">
        <f>""</f>
        <v/>
      </c>
      <c r="F1048" t="str">
        <f>""</f>
        <v/>
      </c>
      <c r="H1048" t="str">
        <f>"24x24x4 Pleated Air"</f>
        <v>24x24x4 Pleated Air</v>
      </c>
    </row>
    <row r="1049" spans="1:8" x14ac:dyDescent="0.25">
      <c r="E1049" t="str">
        <f>""</f>
        <v/>
      </c>
      <c r="F1049" t="str">
        <f>""</f>
        <v/>
      </c>
      <c r="H1049" t="str">
        <f>"20x24x2 Pleated Air"</f>
        <v>20x24x2 Pleated Air</v>
      </c>
    </row>
    <row r="1050" spans="1:8" x14ac:dyDescent="0.25">
      <c r="E1050" t="str">
        <f>""</f>
        <v/>
      </c>
      <c r="F1050" t="str">
        <f>""</f>
        <v/>
      </c>
      <c r="H1050" t="str">
        <f>"25x27x2 Pleated Air"</f>
        <v>25x27x2 Pleated Air</v>
      </c>
    </row>
    <row r="1051" spans="1:8" x14ac:dyDescent="0.25">
      <c r="E1051" t="str">
        <f>""</f>
        <v/>
      </c>
      <c r="F1051" t="str">
        <f>""</f>
        <v/>
      </c>
      <c r="H1051" t="str">
        <f>"20x30x1 Pleated Air"</f>
        <v>20x30x1 Pleated Air</v>
      </c>
    </row>
    <row r="1052" spans="1:8" x14ac:dyDescent="0.25">
      <c r="E1052" t="str">
        <f>""</f>
        <v/>
      </c>
      <c r="F1052" t="str">
        <f>""</f>
        <v/>
      </c>
      <c r="H1052" t="str">
        <f>"10 x 32 x 1/2 Polyes"</f>
        <v>10 x 32 x 1/2 Polyes</v>
      </c>
    </row>
    <row r="1053" spans="1:8" x14ac:dyDescent="0.25">
      <c r="E1053" t="str">
        <f>""</f>
        <v/>
      </c>
      <c r="F1053" t="str">
        <f>""</f>
        <v/>
      </c>
      <c r="H1053" t="str">
        <f>"10 x 32 1/2 x 1/2 Po"</f>
        <v>10 x 32 1/2 x 1/2 Po</v>
      </c>
    </row>
    <row r="1054" spans="1:8" x14ac:dyDescent="0.25">
      <c r="E1054" t="str">
        <f>""</f>
        <v/>
      </c>
      <c r="F1054" t="str">
        <f>""</f>
        <v/>
      </c>
      <c r="H1054" t="str">
        <f>"10 1/2 x 32 1/2 x 1/"</f>
        <v>10 1/2 x 32 1/2 x 1/</v>
      </c>
    </row>
    <row r="1055" spans="1:8" x14ac:dyDescent="0.25">
      <c r="E1055" t="str">
        <f>""</f>
        <v/>
      </c>
      <c r="F1055" t="str">
        <f>""</f>
        <v/>
      </c>
      <c r="H1055" t="str">
        <f>"18 1/2 x 37 x 4 Plea"</f>
        <v>18 1/2 x 37 x 4 Plea</v>
      </c>
    </row>
    <row r="1056" spans="1:8" x14ac:dyDescent="0.25">
      <c r="A1056" t="s">
        <v>280</v>
      </c>
      <c r="B1056">
        <v>131601</v>
      </c>
      <c r="C1056" s="5">
        <v>8706.4</v>
      </c>
      <c r="D1056" s="1">
        <v>43934</v>
      </c>
      <c r="E1056" t="str">
        <f>"0957508-IN"</f>
        <v>0957508-IN</v>
      </c>
      <c r="F1056" t="str">
        <f>"ACCT#01-0112917/PCT#1"</f>
        <v>ACCT#01-0112917/PCT#1</v>
      </c>
      <c r="G1056" s="5">
        <v>3121.49</v>
      </c>
      <c r="H1056" t="str">
        <f>"ACCT#01-0112917/PCT#1"</f>
        <v>ACCT#01-0112917/PCT#1</v>
      </c>
    </row>
    <row r="1057" spans="1:8" x14ac:dyDescent="0.25">
      <c r="E1057" t="str">
        <f>"0957935-IN"</f>
        <v>0957935-IN</v>
      </c>
      <c r="F1057" t="str">
        <f>"ACCT#01-0112917/PCT#4"</f>
        <v>ACCT#01-0112917/PCT#4</v>
      </c>
      <c r="G1057" s="5">
        <v>3141.79</v>
      </c>
      <c r="H1057" t="str">
        <f>"ACCT#01-0112917/PCT#4"</f>
        <v>ACCT#01-0112917/PCT#4</v>
      </c>
    </row>
    <row r="1058" spans="1:8" x14ac:dyDescent="0.25">
      <c r="E1058" t="str">
        <f>"0958673-IN"</f>
        <v>0958673-IN</v>
      </c>
      <c r="F1058" t="str">
        <f>"ACCT#01-0112917/PCT#3"</f>
        <v>ACCT#01-0112917/PCT#3</v>
      </c>
      <c r="G1058" s="5">
        <v>2443.12</v>
      </c>
      <c r="H1058" t="str">
        <f>"ACCT#01-0112917/PCT#3"</f>
        <v>ACCT#01-0112917/PCT#3</v>
      </c>
    </row>
    <row r="1059" spans="1:8" x14ac:dyDescent="0.25">
      <c r="A1059" t="s">
        <v>280</v>
      </c>
      <c r="B1059">
        <v>131741</v>
      </c>
      <c r="C1059" s="5">
        <v>2490.81</v>
      </c>
      <c r="D1059" s="1">
        <v>43948</v>
      </c>
      <c r="E1059" t="str">
        <f>"0962050-IN"</f>
        <v>0962050-IN</v>
      </c>
      <c r="F1059" t="str">
        <f>"ACCT#01-0112917/FUEL/PCT#3"</f>
        <v>ACCT#01-0112917/FUEL/PCT#3</v>
      </c>
      <c r="G1059" s="5">
        <v>2490.81</v>
      </c>
      <c r="H1059" t="str">
        <f>"ACCT#01-0112917/FUEL/PCT#3"</f>
        <v>ACCT#01-0112917/FUEL/PCT#3</v>
      </c>
    </row>
    <row r="1060" spans="1:8" x14ac:dyDescent="0.25">
      <c r="A1060" t="s">
        <v>281</v>
      </c>
      <c r="B1060">
        <v>131602</v>
      </c>
      <c r="C1060" s="5">
        <v>2688.7</v>
      </c>
      <c r="D1060" s="1">
        <v>43934</v>
      </c>
      <c r="E1060" t="str">
        <f>"5352"</f>
        <v>5352</v>
      </c>
      <c r="F1060" t="str">
        <f>"RIP RAP/PCT#1"</f>
        <v>RIP RAP/PCT#1</v>
      </c>
      <c r="G1060" s="5">
        <v>2688.7</v>
      </c>
      <c r="H1060" t="str">
        <f>"RIP RAP/PCT#1"</f>
        <v>RIP RAP/PCT#1</v>
      </c>
    </row>
    <row r="1061" spans="1:8" x14ac:dyDescent="0.25">
      <c r="A1061" t="s">
        <v>282</v>
      </c>
      <c r="B1061">
        <v>131603</v>
      </c>
      <c r="C1061" s="5">
        <v>405</v>
      </c>
      <c r="D1061" s="1">
        <v>43934</v>
      </c>
      <c r="E1061" t="str">
        <f>"4847"</f>
        <v>4847</v>
      </c>
      <c r="F1061" t="str">
        <f>"ACCT#BASTCOU-12/BLANKET BOND"</f>
        <v>ACCT#BASTCOU-12/BLANKET BOND</v>
      </c>
      <c r="G1061" s="5">
        <v>405</v>
      </c>
      <c r="H1061" t="str">
        <f>"ACCT#BASTCOU-12/BLANKET BOND"</f>
        <v>ACCT#BASTCOU-12/BLANKET BOND</v>
      </c>
    </row>
    <row r="1062" spans="1:8" x14ac:dyDescent="0.25">
      <c r="A1062" t="s">
        <v>282</v>
      </c>
      <c r="B1062">
        <v>131742</v>
      </c>
      <c r="C1062" s="5">
        <v>371</v>
      </c>
      <c r="D1062" s="1">
        <v>43948</v>
      </c>
      <c r="E1062" t="str">
        <f>"202004216554"</f>
        <v>202004216554</v>
      </c>
      <c r="F1062" t="str">
        <f>"INV  MAY BOND RENEWALS"</f>
        <v>INV  MAY BOND RENEWALS</v>
      </c>
      <c r="G1062" s="5">
        <v>250</v>
      </c>
      <c r="H1062" t="str">
        <f>"INV  MAY BOND RENEWALS"</f>
        <v>INV  MAY BOND RENEWALS</v>
      </c>
    </row>
    <row r="1063" spans="1:8" x14ac:dyDescent="0.25">
      <c r="E1063" t="str">
        <f>"5051"</f>
        <v>5051</v>
      </c>
      <c r="F1063" t="str">
        <f>"INV 5051"</f>
        <v>INV 5051</v>
      </c>
      <c r="G1063" s="5">
        <v>50</v>
      </c>
      <c r="H1063" t="str">
        <f>"INV 5051"</f>
        <v>INV 5051</v>
      </c>
    </row>
    <row r="1064" spans="1:8" x14ac:dyDescent="0.25">
      <c r="E1064" t="str">
        <f>"5101"</f>
        <v>5101</v>
      </c>
      <c r="F1064" t="str">
        <f>"INV 5101"</f>
        <v>INV 5101</v>
      </c>
      <c r="G1064" s="5">
        <v>71</v>
      </c>
      <c r="H1064" t="str">
        <f>"INV 5101"</f>
        <v>INV 5101</v>
      </c>
    </row>
    <row r="1065" spans="1:8" x14ac:dyDescent="0.25">
      <c r="A1065" t="s">
        <v>283</v>
      </c>
      <c r="B1065">
        <v>131477</v>
      </c>
      <c r="C1065" s="5">
        <v>4915.42</v>
      </c>
      <c r="D1065" s="1">
        <v>43930</v>
      </c>
      <c r="E1065" t="str">
        <f>"D-2020-2-0110"</f>
        <v>D-2020-2-0110</v>
      </c>
      <c r="F1065" t="str">
        <f>"UNEMPLOYMENT QTR END 03/31/20"</f>
        <v>UNEMPLOYMENT QTR END 03/31/20</v>
      </c>
      <c r="G1065" s="5">
        <v>4915.42</v>
      </c>
      <c r="H1065" t="str">
        <f t="shared" ref="H1065:H1103" si="13">"UNEMPLOYMENT QTR END 03/31/20"</f>
        <v>UNEMPLOYMENT QTR END 03/31/20</v>
      </c>
    </row>
    <row r="1066" spans="1:8" x14ac:dyDescent="0.25">
      <c r="E1066" t="str">
        <f>""</f>
        <v/>
      </c>
      <c r="F1066" t="str">
        <f>""</f>
        <v/>
      </c>
      <c r="H1066" t="str">
        <f t="shared" si="13"/>
        <v>UNEMPLOYMENT QTR END 03/31/20</v>
      </c>
    </row>
    <row r="1067" spans="1:8" x14ac:dyDescent="0.25">
      <c r="E1067" t="str">
        <f>""</f>
        <v/>
      </c>
      <c r="F1067" t="str">
        <f>""</f>
        <v/>
      </c>
      <c r="H1067" t="str">
        <f t="shared" si="13"/>
        <v>UNEMPLOYMENT QTR END 03/31/20</v>
      </c>
    </row>
    <row r="1068" spans="1:8" x14ac:dyDescent="0.25">
      <c r="E1068" t="str">
        <f>""</f>
        <v/>
      </c>
      <c r="F1068" t="str">
        <f>""</f>
        <v/>
      </c>
      <c r="H1068" t="str">
        <f t="shared" si="13"/>
        <v>UNEMPLOYMENT QTR END 03/31/20</v>
      </c>
    </row>
    <row r="1069" spans="1:8" x14ac:dyDescent="0.25">
      <c r="E1069" t="str">
        <f>""</f>
        <v/>
      </c>
      <c r="F1069" t="str">
        <f>""</f>
        <v/>
      </c>
      <c r="H1069" t="str">
        <f t="shared" si="13"/>
        <v>UNEMPLOYMENT QTR END 03/31/20</v>
      </c>
    </row>
    <row r="1070" spans="1:8" x14ac:dyDescent="0.25">
      <c r="E1070" t="str">
        <f>""</f>
        <v/>
      </c>
      <c r="F1070" t="str">
        <f>""</f>
        <v/>
      </c>
      <c r="H1070" t="str">
        <f t="shared" si="13"/>
        <v>UNEMPLOYMENT QTR END 03/31/20</v>
      </c>
    </row>
    <row r="1071" spans="1:8" x14ac:dyDescent="0.25">
      <c r="E1071" t="str">
        <f>""</f>
        <v/>
      </c>
      <c r="F1071" t="str">
        <f>""</f>
        <v/>
      </c>
      <c r="H1071" t="str">
        <f t="shared" si="13"/>
        <v>UNEMPLOYMENT QTR END 03/31/20</v>
      </c>
    </row>
    <row r="1072" spans="1:8" x14ac:dyDescent="0.25">
      <c r="E1072" t="str">
        <f>""</f>
        <v/>
      </c>
      <c r="F1072" t="str">
        <f>""</f>
        <v/>
      </c>
      <c r="H1072" t="str">
        <f t="shared" si="13"/>
        <v>UNEMPLOYMENT QTR END 03/31/20</v>
      </c>
    </row>
    <row r="1073" spans="5:8" x14ac:dyDescent="0.25">
      <c r="E1073" t="str">
        <f>""</f>
        <v/>
      </c>
      <c r="F1073" t="str">
        <f>""</f>
        <v/>
      </c>
      <c r="H1073" t="str">
        <f t="shared" si="13"/>
        <v>UNEMPLOYMENT QTR END 03/31/20</v>
      </c>
    </row>
    <row r="1074" spans="5:8" x14ac:dyDescent="0.25">
      <c r="E1074" t="str">
        <f>""</f>
        <v/>
      </c>
      <c r="F1074" t="str">
        <f>""</f>
        <v/>
      </c>
      <c r="H1074" t="str">
        <f t="shared" si="13"/>
        <v>UNEMPLOYMENT QTR END 03/31/20</v>
      </c>
    </row>
    <row r="1075" spans="5:8" x14ac:dyDescent="0.25">
      <c r="E1075" t="str">
        <f>""</f>
        <v/>
      </c>
      <c r="F1075" t="str">
        <f>""</f>
        <v/>
      </c>
      <c r="H1075" t="str">
        <f t="shared" si="13"/>
        <v>UNEMPLOYMENT QTR END 03/31/20</v>
      </c>
    </row>
    <row r="1076" spans="5:8" x14ac:dyDescent="0.25">
      <c r="E1076" t="str">
        <f>""</f>
        <v/>
      </c>
      <c r="F1076" t="str">
        <f>""</f>
        <v/>
      </c>
      <c r="H1076" t="str">
        <f t="shared" si="13"/>
        <v>UNEMPLOYMENT QTR END 03/31/20</v>
      </c>
    </row>
    <row r="1077" spans="5:8" x14ac:dyDescent="0.25">
      <c r="E1077" t="str">
        <f>""</f>
        <v/>
      </c>
      <c r="F1077" t="str">
        <f>""</f>
        <v/>
      </c>
      <c r="H1077" t="str">
        <f t="shared" si="13"/>
        <v>UNEMPLOYMENT QTR END 03/31/20</v>
      </c>
    </row>
    <row r="1078" spans="5:8" x14ac:dyDescent="0.25">
      <c r="E1078" t="str">
        <f>""</f>
        <v/>
      </c>
      <c r="F1078" t="str">
        <f>""</f>
        <v/>
      </c>
      <c r="H1078" t="str">
        <f t="shared" si="13"/>
        <v>UNEMPLOYMENT QTR END 03/31/20</v>
      </c>
    </row>
    <row r="1079" spans="5:8" x14ac:dyDescent="0.25">
      <c r="E1079" t="str">
        <f>""</f>
        <v/>
      </c>
      <c r="F1079" t="str">
        <f>""</f>
        <v/>
      </c>
      <c r="H1079" t="str">
        <f t="shared" si="13"/>
        <v>UNEMPLOYMENT QTR END 03/31/20</v>
      </c>
    </row>
    <row r="1080" spans="5:8" x14ac:dyDescent="0.25">
      <c r="E1080" t="str">
        <f>""</f>
        <v/>
      </c>
      <c r="F1080" t="str">
        <f>""</f>
        <v/>
      </c>
      <c r="H1080" t="str">
        <f t="shared" si="13"/>
        <v>UNEMPLOYMENT QTR END 03/31/20</v>
      </c>
    </row>
    <row r="1081" spans="5:8" x14ac:dyDescent="0.25">
      <c r="E1081" t="str">
        <f>""</f>
        <v/>
      </c>
      <c r="F1081" t="str">
        <f>""</f>
        <v/>
      </c>
      <c r="H1081" t="str">
        <f t="shared" si="13"/>
        <v>UNEMPLOYMENT QTR END 03/31/20</v>
      </c>
    </row>
    <row r="1082" spans="5:8" x14ac:dyDescent="0.25">
      <c r="E1082" t="str">
        <f>""</f>
        <v/>
      </c>
      <c r="F1082" t="str">
        <f>""</f>
        <v/>
      </c>
      <c r="H1082" t="str">
        <f t="shared" si="13"/>
        <v>UNEMPLOYMENT QTR END 03/31/20</v>
      </c>
    </row>
    <row r="1083" spans="5:8" x14ac:dyDescent="0.25">
      <c r="E1083" t="str">
        <f>""</f>
        <v/>
      </c>
      <c r="F1083" t="str">
        <f>""</f>
        <v/>
      </c>
      <c r="H1083" t="str">
        <f t="shared" si="13"/>
        <v>UNEMPLOYMENT QTR END 03/31/20</v>
      </c>
    </row>
    <row r="1084" spans="5:8" x14ac:dyDescent="0.25">
      <c r="E1084" t="str">
        <f>""</f>
        <v/>
      </c>
      <c r="F1084" t="str">
        <f>""</f>
        <v/>
      </c>
      <c r="H1084" t="str">
        <f t="shared" si="13"/>
        <v>UNEMPLOYMENT QTR END 03/31/20</v>
      </c>
    </row>
    <row r="1085" spans="5:8" x14ac:dyDescent="0.25">
      <c r="E1085" t="str">
        <f>""</f>
        <v/>
      </c>
      <c r="F1085" t="str">
        <f>""</f>
        <v/>
      </c>
      <c r="H1085" t="str">
        <f t="shared" si="13"/>
        <v>UNEMPLOYMENT QTR END 03/31/20</v>
      </c>
    </row>
    <row r="1086" spans="5:8" x14ac:dyDescent="0.25">
      <c r="E1086" t="str">
        <f>""</f>
        <v/>
      </c>
      <c r="F1086" t="str">
        <f>""</f>
        <v/>
      </c>
      <c r="H1086" t="str">
        <f t="shared" si="13"/>
        <v>UNEMPLOYMENT QTR END 03/31/20</v>
      </c>
    </row>
    <row r="1087" spans="5:8" x14ac:dyDescent="0.25">
      <c r="E1087" t="str">
        <f>""</f>
        <v/>
      </c>
      <c r="F1087" t="str">
        <f>""</f>
        <v/>
      </c>
      <c r="H1087" t="str">
        <f t="shared" si="13"/>
        <v>UNEMPLOYMENT QTR END 03/31/20</v>
      </c>
    </row>
    <row r="1088" spans="5:8" x14ac:dyDescent="0.25">
      <c r="E1088" t="str">
        <f>""</f>
        <v/>
      </c>
      <c r="F1088" t="str">
        <f>""</f>
        <v/>
      </c>
      <c r="H1088" t="str">
        <f t="shared" si="13"/>
        <v>UNEMPLOYMENT QTR END 03/31/20</v>
      </c>
    </row>
    <row r="1089" spans="1:8" x14ac:dyDescent="0.25">
      <c r="E1089" t="str">
        <f>""</f>
        <v/>
      </c>
      <c r="F1089" t="str">
        <f>""</f>
        <v/>
      </c>
      <c r="H1089" t="str">
        <f t="shared" si="13"/>
        <v>UNEMPLOYMENT QTR END 03/31/20</v>
      </c>
    </row>
    <row r="1090" spans="1:8" x14ac:dyDescent="0.25">
      <c r="E1090" t="str">
        <f>""</f>
        <v/>
      </c>
      <c r="F1090" t="str">
        <f>""</f>
        <v/>
      </c>
      <c r="H1090" t="str">
        <f t="shared" si="13"/>
        <v>UNEMPLOYMENT QTR END 03/31/20</v>
      </c>
    </row>
    <row r="1091" spans="1:8" x14ac:dyDescent="0.25">
      <c r="E1091" t="str">
        <f>""</f>
        <v/>
      </c>
      <c r="F1091" t="str">
        <f>""</f>
        <v/>
      </c>
      <c r="H1091" t="str">
        <f t="shared" si="13"/>
        <v>UNEMPLOYMENT QTR END 03/31/20</v>
      </c>
    </row>
    <row r="1092" spans="1:8" x14ac:dyDescent="0.25">
      <c r="E1092" t="str">
        <f>""</f>
        <v/>
      </c>
      <c r="F1092" t="str">
        <f>""</f>
        <v/>
      </c>
      <c r="H1092" t="str">
        <f t="shared" si="13"/>
        <v>UNEMPLOYMENT QTR END 03/31/20</v>
      </c>
    </row>
    <row r="1093" spans="1:8" x14ac:dyDescent="0.25">
      <c r="E1093" t="str">
        <f>""</f>
        <v/>
      </c>
      <c r="F1093" t="str">
        <f>""</f>
        <v/>
      </c>
      <c r="H1093" t="str">
        <f t="shared" si="13"/>
        <v>UNEMPLOYMENT QTR END 03/31/20</v>
      </c>
    </row>
    <row r="1094" spans="1:8" x14ac:dyDescent="0.25">
      <c r="E1094" t="str">
        <f>""</f>
        <v/>
      </c>
      <c r="F1094" t="str">
        <f>""</f>
        <v/>
      </c>
      <c r="H1094" t="str">
        <f t="shared" si="13"/>
        <v>UNEMPLOYMENT QTR END 03/31/20</v>
      </c>
    </row>
    <row r="1095" spans="1:8" x14ac:dyDescent="0.25">
      <c r="E1095" t="str">
        <f>""</f>
        <v/>
      </c>
      <c r="F1095" t="str">
        <f>""</f>
        <v/>
      </c>
      <c r="H1095" t="str">
        <f t="shared" si="13"/>
        <v>UNEMPLOYMENT QTR END 03/31/20</v>
      </c>
    </row>
    <row r="1096" spans="1:8" x14ac:dyDescent="0.25">
      <c r="E1096" t="str">
        <f>""</f>
        <v/>
      </c>
      <c r="F1096" t="str">
        <f>""</f>
        <v/>
      </c>
      <c r="H1096" t="str">
        <f t="shared" si="13"/>
        <v>UNEMPLOYMENT QTR END 03/31/20</v>
      </c>
    </row>
    <row r="1097" spans="1:8" x14ac:dyDescent="0.25">
      <c r="E1097" t="str">
        <f>""</f>
        <v/>
      </c>
      <c r="F1097" t="str">
        <f>""</f>
        <v/>
      </c>
      <c r="H1097" t="str">
        <f t="shared" si="13"/>
        <v>UNEMPLOYMENT QTR END 03/31/20</v>
      </c>
    </row>
    <row r="1098" spans="1:8" x14ac:dyDescent="0.25">
      <c r="E1098" t="str">
        <f>""</f>
        <v/>
      </c>
      <c r="F1098" t="str">
        <f>""</f>
        <v/>
      </c>
      <c r="H1098" t="str">
        <f t="shared" si="13"/>
        <v>UNEMPLOYMENT QTR END 03/31/20</v>
      </c>
    </row>
    <row r="1099" spans="1:8" x14ac:dyDescent="0.25">
      <c r="E1099" t="str">
        <f>""</f>
        <v/>
      </c>
      <c r="F1099" t="str">
        <f>""</f>
        <v/>
      </c>
      <c r="H1099" t="str">
        <f t="shared" si="13"/>
        <v>UNEMPLOYMENT QTR END 03/31/20</v>
      </c>
    </row>
    <row r="1100" spans="1:8" x14ac:dyDescent="0.25">
      <c r="E1100" t="str">
        <f>""</f>
        <v/>
      </c>
      <c r="F1100" t="str">
        <f>""</f>
        <v/>
      </c>
      <c r="H1100" t="str">
        <f t="shared" si="13"/>
        <v>UNEMPLOYMENT QTR END 03/31/20</v>
      </c>
    </row>
    <row r="1101" spans="1:8" x14ac:dyDescent="0.25">
      <c r="E1101" t="str">
        <f>""</f>
        <v/>
      </c>
      <c r="F1101" t="str">
        <f>""</f>
        <v/>
      </c>
      <c r="H1101" t="str">
        <f t="shared" si="13"/>
        <v>UNEMPLOYMENT QTR END 03/31/20</v>
      </c>
    </row>
    <row r="1102" spans="1:8" x14ac:dyDescent="0.25">
      <c r="E1102" t="str">
        <f>""</f>
        <v/>
      </c>
      <c r="F1102" t="str">
        <f>""</f>
        <v/>
      </c>
      <c r="H1102" t="str">
        <f t="shared" si="13"/>
        <v>UNEMPLOYMENT QTR END 03/31/20</v>
      </c>
    </row>
    <row r="1103" spans="1:8" x14ac:dyDescent="0.25">
      <c r="E1103" t="str">
        <f>""</f>
        <v/>
      </c>
      <c r="F1103" t="str">
        <f>""</f>
        <v/>
      </c>
      <c r="H1103" t="str">
        <f t="shared" si="13"/>
        <v>UNEMPLOYMENT QTR END 03/31/20</v>
      </c>
    </row>
    <row r="1104" spans="1:8" x14ac:dyDescent="0.25">
      <c r="A1104" t="s">
        <v>283</v>
      </c>
      <c r="B1104">
        <v>131645</v>
      </c>
      <c r="C1104" s="5">
        <v>5533.09</v>
      </c>
      <c r="D1104" s="1">
        <v>43943</v>
      </c>
      <c r="E1104" t="str">
        <f>"DP-2019-3-0110"</f>
        <v>DP-2019-3-0110</v>
      </c>
      <c r="F1104" t="str">
        <f>"UNEMPLOYMENT DEFICIT 3RD 2019"</f>
        <v>UNEMPLOYMENT DEFICIT 3RD 2019</v>
      </c>
      <c r="G1104" s="5">
        <v>5533.09</v>
      </c>
      <c r="H1104" t="str">
        <f t="shared" ref="H1104:H1141" si="14">"UNEMPLOYMENT DEFICIT 3RD 2019"</f>
        <v>UNEMPLOYMENT DEFICIT 3RD 2019</v>
      </c>
    </row>
    <row r="1105" spans="5:8" x14ac:dyDescent="0.25">
      <c r="E1105" t="str">
        <f>""</f>
        <v/>
      </c>
      <c r="F1105" t="str">
        <f>""</f>
        <v/>
      </c>
      <c r="H1105" t="str">
        <f t="shared" si="14"/>
        <v>UNEMPLOYMENT DEFICIT 3RD 2019</v>
      </c>
    </row>
    <row r="1106" spans="5:8" x14ac:dyDescent="0.25">
      <c r="E1106" t="str">
        <f>""</f>
        <v/>
      </c>
      <c r="F1106" t="str">
        <f>""</f>
        <v/>
      </c>
      <c r="H1106" t="str">
        <f t="shared" si="14"/>
        <v>UNEMPLOYMENT DEFICIT 3RD 2019</v>
      </c>
    </row>
    <row r="1107" spans="5:8" x14ac:dyDescent="0.25">
      <c r="E1107" t="str">
        <f>""</f>
        <v/>
      </c>
      <c r="F1107" t="str">
        <f>""</f>
        <v/>
      </c>
      <c r="H1107" t="str">
        <f t="shared" si="14"/>
        <v>UNEMPLOYMENT DEFICIT 3RD 2019</v>
      </c>
    </row>
    <row r="1108" spans="5:8" x14ac:dyDescent="0.25">
      <c r="E1108" t="str">
        <f>""</f>
        <v/>
      </c>
      <c r="F1108" t="str">
        <f>""</f>
        <v/>
      </c>
      <c r="H1108" t="str">
        <f t="shared" si="14"/>
        <v>UNEMPLOYMENT DEFICIT 3RD 2019</v>
      </c>
    </row>
    <row r="1109" spans="5:8" x14ac:dyDescent="0.25">
      <c r="E1109" t="str">
        <f>""</f>
        <v/>
      </c>
      <c r="F1109" t="str">
        <f>""</f>
        <v/>
      </c>
      <c r="H1109" t="str">
        <f t="shared" si="14"/>
        <v>UNEMPLOYMENT DEFICIT 3RD 2019</v>
      </c>
    </row>
    <row r="1110" spans="5:8" x14ac:dyDescent="0.25">
      <c r="E1110" t="str">
        <f>""</f>
        <v/>
      </c>
      <c r="F1110" t="str">
        <f>""</f>
        <v/>
      </c>
      <c r="H1110" t="str">
        <f t="shared" si="14"/>
        <v>UNEMPLOYMENT DEFICIT 3RD 2019</v>
      </c>
    </row>
    <row r="1111" spans="5:8" x14ac:dyDescent="0.25">
      <c r="E1111" t="str">
        <f>""</f>
        <v/>
      </c>
      <c r="F1111" t="str">
        <f>""</f>
        <v/>
      </c>
      <c r="H1111" t="str">
        <f t="shared" si="14"/>
        <v>UNEMPLOYMENT DEFICIT 3RD 2019</v>
      </c>
    </row>
    <row r="1112" spans="5:8" x14ac:dyDescent="0.25">
      <c r="E1112" t="str">
        <f>""</f>
        <v/>
      </c>
      <c r="F1112" t="str">
        <f>""</f>
        <v/>
      </c>
      <c r="H1112" t="str">
        <f t="shared" si="14"/>
        <v>UNEMPLOYMENT DEFICIT 3RD 2019</v>
      </c>
    </row>
    <row r="1113" spans="5:8" x14ac:dyDescent="0.25">
      <c r="E1113" t="str">
        <f>""</f>
        <v/>
      </c>
      <c r="F1113" t="str">
        <f>""</f>
        <v/>
      </c>
      <c r="H1113" t="str">
        <f t="shared" si="14"/>
        <v>UNEMPLOYMENT DEFICIT 3RD 2019</v>
      </c>
    </row>
    <row r="1114" spans="5:8" x14ac:dyDescent="0.25">
      <c r="E1114" t="str">
        <f>""</f>
        <v/>
      </c>
      <c r="F1114" t="str">
        <f>""</f>
        <v/>
      </c>
      <c r="H1114" t="str">
        <f t="shared" si="14"/>
        <v>UNEMPLOYMENT DEFICIT 3RD 2019</v>
      </c>
    </row>
    <row r="1115" spans="5:8" x14ac:dyDescent="0.25">
      <c r="E1115" t="str">
        <f>""</f>
        <v/>
      </c>
      <c r="F1115" t="str">
        <f>""</f>
        <v/>
      </c>
      <c r="H1115" t="str">
        <f t="shared" si="14"/>
        <v>UNEMPLOYMENT DEFICIT 3RD 2019</v>
      </c>
    </row>
    <row r="1116" spans="5:8" x14ac:dyDescent="0.25">
      <c r="E1116" t="str">
        <f>""</f>
        <v/>
      </c>
      <c r="F1116" t="str">
        <f>""</f>
        <v/>
      </c>
      <c r="H1116" t="str">
        <f t="shared" si="14"/>
        <v>UNEMPLOYMENT DEFICIT 3RD 2019</v>
      </c>
    </row>
    <row r="1117" spans="5:8" x14ac:dyDescent="0.25">
      <c r="E1117" t="str">
        <f>""</f>
        <v/>
      </c>
      <c r="F1117" t="str">
        <f>""</f>
        <v/>
      </c>
      <c r="H1117" t="str">
        <f t="shared" si="14"/>
        <v>UNEMPLOYMENT DEFICIT 3RD 2019</v>
      </c>
    </row>
    <row r="1118" spans="5:8" x14ac:dyDescent="0.25">
      <c r="E1118" t="str">
        <f>""</f>
        <v/>
      </c>
      <c r="F1118" t="str">
        <f>""</f>
        <v/>
      </c>
      <c r="H1118" t="str">
        <f t="shared" si="14"/>
        <v>UNEMPLOYMENT DEFICIT 3RD 2019</v>
      </c>
    </row>
    <row r="1119" spans="5:8" x14ac:dyDescent="0.25">
      <c r="E1119" t="str">
        <f>""</f>
        <v/>
      </c>
      <c r="F1119" t="str">
        <f>""</f>
        <v/>
      </c>
      <c r="H1119" t="str">
        <f t="shared" si="14"/>
        <v>UNEMPLOYMENT DEFICIT 3RD 2019</v>
      </c>
    </row>
    <row r="1120" spans="5:8" x14ac:dyDescent="0.25">
      <c r="E1120" t="str">
        <f>""</f>
        <v/>
      </c>
      <c r="F1120" t="str">
        <f>""</f>
        <v/>
      </c>
      <c r="H1120" t="str">
        <f t="shared" si="14"/>
        <v>UNEMPLOYMENT DEFICIT 3RD 2019</v>
      </c>
    </row>
    <row r="1121" spans="5:8" x14ac:dyDescent="0.25">
      <c r="E1121" t="str">
        <f>""</f>
        <v/>
      </c>
      <c r="F1121" t="str">
        <f>""</f>
        <v/>
      </c>
      <c r="H1121" t="str">
        <f t="shared" si="14"/>
        <v>UNEMPLOYMENT DEFICIT 3RD 2019</v>
      </c>
    </row>
    <row r="1122" spans="5:8" x14ac:dyDescent="0.25">
      <c r="E1122" t="str">
        <f>""</f>
        <v/>
      </c>
      <c r="F1122" t="str">
        <f>""</f>
        <v/>
      </c>
      <c r="H1122" t="str">
        <f t="shared" si="14"/>
        <v>UNEMPLOYMENT DEFICIT 3RD 2019</v>
      </c>
    </row>
    <row r="1123" spans="5:8" x14ac:dyDescent="0.25">
      <c r="E1123" t="str">
        <f>""</f>
        <v/>
      </c>
      <c r="F1123" t="str">
        <f>""</f>
        <v/>
      </c>
      <c r="H1123" t="str">
        <f t="shared" si="14"/>
        <v>UNEMPLOYMENT DEFICIT 3RD 2019</v>
      </c>
    </row>
    <row r="1124" spans="5:8" x14ac:dyDescent="0.25">
      <c r="E1124" t="str">
        <f>""</f>
        <v/>
      </c>
      <c r="F1124" t="str">
        <f>""</f>
        <v/>
      </c>
      <c r="H1124" t="str">
        <f t="shared" si="14"/>
        <v>UNEMPLOYMENT DEFICIT 3RD 2019</v>
      </c>
    </row>
    <row r="1125" spans="5:8" x14ac:dyDescent="0.25">
      <c r="E1125" t="str">
        <f>""</f>
        <v/>
      </c>
      <c r="F1125" t="str">
        <f>""</f>
        <v/>
      </c>
      <c r="H1125" t="str">
        <f t="shared" si="14"/>
        <v>UNEMPLOYMENT DEFICIT 3RD 2019</v>
      </c>
    </row>
    <row r="1126" spans="5:8" x14ac:dyDescent="0.25">
      <c r="E1126" t="str">
        <f>""</f>
        <v/>
      </c>
      <c r="F1126" t="str">
        <f>""</f>
        <v/>
      </c>
      <c r="H1126" t="str">
        <f t="shared" si="14"/>
        <v>UNEMPLOYMENT DEFICIT 3RD 2019</v>
      </c>
    </row>
    <row r="1127" spans="5:8" x14ac:dyDescent="0.25">
      <c r="E1127" t="str">
        <f>""</f>
        <v/>
      </c>
      <c r="F1127" t="str">
        <f>""</f>
        <v/>
      </c>
      <c r="H1127" t="str">
        <f t="shared" si="14"/>
        <v>UNEMPLOYMENT DEFICIT 3RD 2019</v>
      </c>
    </row>
    <row r="1128" spans="5:8" x14ac:dyDescent="0.25">
      <c r="E1128" t="str">
        <f>""</f>
        <v/>
      </c>
      <c r="F1128" t="str">
        <f>""</f>
        <v/>
      </c>
      <c r="H1128" t="str">
        <f t="shared" si="14"/>
        <v>UNEMPLOYMENT DEFICIT 3RD 2019</v>
      </c>
    </row>
    <row r="1129" spans="5:8" x14ac:dyDescent="0.25">
      <c r="E1129" t="str">
        <f>""</f>
        <v/>
      </c>
      <c r="F1129" t="str">
        <f>""</f>
        <v/>
      </c>
      <c r="H1129" t="str">
        <f t="shared" si="14"/>
        <v>UNEMPLOYMENT DEFICIT 3RD 2019</v>
      </c>
    </row>
    <row r="1130" spans="5:8" x14ac:dyDescent="0.25">
      <c r="E1130" t="str">
        <f>""</f>
        <v/>
      </c>
      <c r="F1130" t="str">
        <f>""</f>
        <v/>
      </c>
      <c r="H1130" t="str">
        <f t="shared" si="14"/>
        <v>UNEMPLOYMENT DEFICIT 3RD 2019</v>
      </c>
    </row>
    <row r="1131" spans="5:8" x14ac:dyDescent="0.25">
      <c r="E1131" t="str">
        <f>""</f>
        <v/>
      </c>
      <c r="F1131" t="str">
        <f>""</f>
        <v/>
      </c>
      <c r="H1131" t="str">
        <f t="shared" si="14"/>
        <v>UNEMPLOYMENT DEFICIT 3RD 2019</v>
      </c>
    </row>
    <row r="1132" spans="5:8" x14ac:dyDescent="0.25">
      <c r="E1132" t="str">
        <f>""</f>
        <v/>
      </c>
      <c r="F1132" t="str">
        <f>""</f>
        <v/>
      </c>
      <c r="H1132" t="str">
        <f t="shared" si="14"/>
        <v>UNEMPLOYMENT DEFICIT 3RD 2019</v>
      </c>
    </row>
    <row r="1133" spans="5:8" x14ac:dyDescent="0.25">
      <c r="E1133" t="str">
        <f>""</f>
        <v/>
      </c>
      <c r="F1133" t="str">
        <f>""</f>
        <v/>
      </c>
      <c r="H1133" t="str">
        <f t="shared" si="14"/>
        <v>UNEMPLOYMENT DEFICIT 3RD 2019</v>
      </c>
    </row>
    <row r="1134" spans="5:8" x14ac:dyDescent="0.25">
      <c r="E1134" t="str">
        <f>""</f>
        <v/>
      </c>
      <c r="F1134" t="str">
        <f>""</f>
        <v/>
      </c>
      <c r="H1134" t="str">
        <f t="shared" si="14"/>
        <v>UNEMPLOYMENT DEFICIT 3RD 2019</v>
      </c>
    </row>
    <row r="1135" spans="5:8" x14ac:dyDescent="0.25">
      <c r="E1135" t="str">
        <f>""</f>
        <v/>
      </c>
      <c r="F1135" t="str">
        <f>""</f>
        <v/>
      </c>
      <c r="H1135" t="str">
        <f t="shared" si="14"/>
        <v>UNEMPLOYMENT DEFICIT 3RD 2019</v>
      </c>
    </row>
    <row r="1136" spans="5:8" x14ac:dyDescent="0.25">
      <c r="E1136" t="str">
        <f>""</f>
        <v/>
      </c>
      <c r="F1136" t="str">
        <f>""</f>
        <v/>
      </c>
      <c r="H1136" t="str">
        <f t="shared" si="14"/>
        <v>UNEMPLOYMENT DEFICIT 3RD 2019</v>
      </c>
    </row>
    <row r="1137" spans="1:8" x14ac:dyDescent="0.25">
      <c r="E1137" t="str">
        <f>""</f>
        <v/>
      </c>
      <c r="F1137" t="str">
        <f>""</f>
        <v/>
      </c>
      <c r="H1137" t="str">
        <f t="shared" si="14"/>
        <v>UNEMPLOYMENT DEFICIT 3RD 2019</v>
      </c>
    </row>
    <row r="1138" spans="1:8" x14ac:dyDescent="0.25">
      <c r="E1138" t="str">
        <f>""</f>
        <v/>
      </c>
      <c r="F1138" t="str">
        <f>""</f>
        <v/>
      </c>
      <c r="H1138" t="str">
        <f t="shared" si="14"/>
        <v>UNEMPLOYMENT DEFICIT 3RD 2019</v>
      </c>
    </row>
    <row r="1139" spans="1:8" x14ac:dyDescent="0.25">
      <c r="E1139" t="str">
        <f>""</f>
        <v/>
      </c>
      <c r="F1139" t="str">
        <f>""</f>
        <v/>
      </c>
      <c r="H1139" t="str">
        <f t="shared" si="14"/>
        <v>UNEMPLOYMENT DEFICIT 3RD 2019</v>
      </c>
    </row>
    <row r="1140" spans="1:8" x14ac:dyDescent="0.25">
      <c r="E1140" t="str">
        <f>""</f>
        <v/>
      </c>
      <c r="F1140" t="str">
        <f>""</f>
        <v/>
      </c>
      <c r="H1140" t="str">
        <f t="shared" si="14"/>
        <v>UNEMPLOYMENT DEFICIT 3RD 2019</v>
      </c>
    </row>
    <row r="1141" spans="1:8" x14ac:dyDescent="0.25">
      <c r="E1141" t="str">
        <f>""</f>
        <v/>
      </c>
      <c r="F1141" t="str">
        <f>""</f>
        <v/>
      </c>
      <c r="H1141" t="str">
        <f t="shared" si="14"/>
        <v>UNEMPLOYMENT DEFICIT 3RD 2019</v>
      </c>
    </row>
    <row r="1142" spans="1:8" x14ac:dyDescent="0.25">
      <c r="A1142" t="s">
        <v>284</v>
      </c>
      <c r="B1142">
        <v>131743</v>
      </c>
      <c r="C1142" s="5">
        <v>5220</v>
      </c>
      <c r="D1142" s="1">
        <v>43948</v>
      </c>
      <c r="E1142" t="str">
        <f>"202004206490"</f>
        <v>202004206490</v>
      </c>
      <c r="F1142" t="str">
        <f>"ACCT#0620010/ONSITE COUNCIL FE"</f>
        <v>ACCT#0620010/ONSITE COUNCIL FE</v>
      </c>
      <c r="G1142" s="5">
        <v>5220</v>
      </c>
      <c r="H1142" t="str">
        <f>"ACCT#0620010/ONSITE COUNCIL FE"</f>
        <v>ACCT#0620010/ONSITE COUNCIL FE</v>
      </c>
    </row>
    <row r="1143" spans="1:8" x14ac:dyDescent="0.25">
      <c r="A1143" t="s">
        <v>285</v>
      </c>
      <c r="B1143">
        <v>131604</v>
      </c>
      <c r="C1143" s="5">
        <v>2098.98</v>
      </c>
      <c r="D1143" s="1">
        <v>43934</v>
      </c>
      <c r="E1143" t="str">
        <f>"177532"</f>
        <v>177532</v>
      </c>
      <c r="F1143" t="str">
        <f>"CUST#1574/HARD STONE/PCT#4"</f>
        <v>CUST#1574/HARD STONE/PCT#4</v>
      </c>
      <c r="G1143" s="5">
        <v>712.22</v>
      </c>
      <c r="H1143" t="str">
        <f>"CUST#1574/HARD STONE/PCT#4"</f>
        <v>CUST#1574/HARD STONE/PCT#4</v>
      </c>
    </row>
    <row r="1144" spans="1:8" x14ac:dyDescent="0.25">
      <c r="E1144" t="str">
        <f>"177800"</f>
        <v>177800</v>
      </c>
      <c r="F1144" t="str">
        <f>"CUST#1574/HARD STONE/PCT#4"</f>
        <v>CUST#1574/HARD STONE/PCT#4</v>
      </c>
      <c r="G1144" s="5">
        <v>861.12</v>
      </c>
      <c r="H1144" t="str">
        <f>"CUST#1574/HARD STONE/PCT#4"</f>
        <v>CUST#1574/HARD STONE/PCT#4</v>
      </c>
    </row>
    <row r="1145" spans="1:8" x14ac:dyDescent="0.25">
      <c r="E1145" t="str">
        <f>"178428"</f>
        <v>178428</v>
      </c>
      <c r="F1145" t="str">
        <f>"CUST#1574/PCT#4"</f>
        <v>CUST#1574/PCT#4</v>
      </c>
      <c r="G1145" s="5">
        <v>525.64</v>
      </c>
      <c r="H1145" t="str">
        <f>"CUST#1574/PCT#4"</f>
        <v>CUST#1574/PCT#4</v>
      </c>
    </row>
    <row r="1146" spans="1:8" x14ac:dyDescent="0.25">
      <c r="A1146" t="s">
        <v>286</v>
      </c>
      <c r="B1146">
        <v>131605</v>
      </c>
      <c r="C1146" s="5">
        <v>23</v>
      </c>
      <c r="D1146" s="1">
        <v>43934</v>
      </c>
      <c r="E1146" t="str">
        <f>"CRS-202001-188107"</f>
        <v>CRS-202001-188107</v>
      </c>
      <c r="F1146" t="str">
        <f>"SECURE SITE CCH NAME SEARCH"</f>
        <v>SECURE SITE CCH NAME SEARCH</v>
      </c>
      <c r="G1146" s="5">
        <v>23</v>
      </c>
      <c r="H1146" t="str">
        <f>"SECURE SITE CCH NAME SEARCH"</f>
        <v>SECURE SITE CCH NAME SEARCH</v>
      </c>
    </row>
    <row r="1147" spans="1:8" x14ac:dyDescent="0.25">
      <c r="A1147" t="s">
        <v>286</v>
      </c>
      <c r="B1147">
        <v>131606</v>
      </c>
      <c r="C1147" s="5">
        <v>69</v>
      </c>
      <c r="D1147" s="1">
        <v>43934</v>
      </c>
      <c r="E1147" t="s">
        <v>287</v>
      </c>
      <c r="F1147" t="str">
        <f>"RESTITUTION-G. CORONA"</f>
        <v>RESTITUTION-G. CORONA</v>
      </c>
      <c r="G1147" s="5">
        <v>69</v>
      </c>
      <c r="H1147" t="str">
        <f>"RESTITUTION-G. CORONA"</f>
        <v>RESTITUTION-G. CORONA</v>
      </c>
    </row>
    <row r="1148" spans="1:8" x14ac:dyDescent="0.25">
      <c r="A1148" t="s">
        <v>288</v>
      </c>
      <c r="B1148">
        <v>131607</v>
      </c>
      <c r="C1148" s="5">
        <v>155</v>
      </c>
      <c r="D1148" s="1">
        <v>43934</v>
      </c>
      <c r="E1148" t="str">
        <f>"5328988"</f>
        <v>5328988</v>
      </c>
      <c r="F1148" t="str">
        <f>"CUST#1-238865/WASTE SVC"</f>
        <v>CUST#1-238865/WASTE SVC</v>
      </c>
      <c r="G1148" s="5">
        <v>155</v>
      </c>
      <c r="H1148" t="str">
        <f>"CUST#1-238865/WASTE SVC"</f>
        <v>CUST#1-238865/WASTE SVC</v>
      </c>
    </row>
    <row r="1149" spans="1:8" x14ac:dyDescent="0.25">
      <c r="A1149" t="s">
        <v>289</v>
      </c>
      <c r="B1149">
        <v>131744</v>
      </c>
      <c r="C1149" s="5">
        <v>1628</v>
      </c>
      <c r="D1149" s="1">
        <v>43948</v>
      </c>
      <c r="E1149" t="str">
        <f>"200864825"</f>
        <v>200864825</v>
      </c>
      <c r="F1149" t="str">
        <f>"CUST#255120/PCT#2"</f>
        <v>CUST#255120/PCT#2</v>
      </c>
      <c r="G1149" s="5">
        <v>1628</v>
      </c>
      <c r="H1149" t="str">
        <f>"CUST#255120/PCT#2"</f>
        <v>CUST#255120/PCT#2</v>
      </c>
    </row>
    <row r="1150" spans="1:8" x14ac:dyDescent="0.25">
      <c r="A1150" t="s">
        <v>290</v>
      </c>
      <c r="B1150">
        <v>131608</v>
      </c>
      <c r="C1150" s="5">
        <v>195.5</v>
      </c>
      <c r="D1150" s="1">
        <v>43934</v>
      </c>
      <c r="E1150" t="str">
        <f>"20-0415J4"</f>
        <v>20-0415J4</v>
      </c>
      <c r="F1150" t="str">
        <f>"A8286521 - J. HARKINS"</f>
        <v>A8286521 - J. HARKINS</v>
      </c>
      <c r="G1150" s="5">
        <v>80.75</v>
      </c>
      <c r="H1150" t="str">
        <f>"A8286521 - J. HARKINS"</f>
        <v>A8286521 - J. HARKINS</v>
      </c>
    </row>
    <row r="1151" spans="1:8" x14ac:dyDescent="0.25">
      <c r="E1151" t="str">
        <f>"3CO-2024-19"</f>
        <v>3CO-2024-19</v>
      </c>
      <c r="F1151" t="str">
        <f>"A8286591 - J EVATT"</f>
        <v>A8286591 - J EVATT</v>
      </c>
      <c r="G1151" s="5">
        <v>114.75</v>
      </c>
      <c r="H1151" t="str">
        <f>"A8286591 - J EVATT"</f>
        <v>A8286591 - J EVATT</v>
      </c>
    </row>
    <row r="1152" spans="1:8" x14ac:dyDescent="0.25">
      <c r="A1152" t="s">
        <v>291</v>
      </c>
      <c r="B1152">
        <v>131745</v>
      </c>
      <c r="C1152" s="5">
        <v>699.85</v>
      </c>
      <c r="D1152" s="1">
        <v>43948</v>
      </c>
      <c r="E1152" t="str">
        <f>"20-04-24977"</f>
        <v>20-04-24977</v>
      </c>
      <c r="F1152" t="str">
        <f>"INV 20-04-24977"</f>
        <v>INV 20-04-24977</v>
      </c>
      <c r="G1152" s="5">
        <v>699.85</v>
      </c>
      <c r="H1152" t="str">
        <f>"INV 20-04-24977"</f>
        <v>INV 20-04-24977</v>
      </c>
    </row>
    <row r="1153" spans="1:8" x14ac:dyDescent="0.25">
      <c r="A1153" t="s">
        <v>292</v>
      </c>
      <c r="B1153">
        <v>131609</v>
      </c>
      <c r="C1153" s="5">
        <v>10615.11</v>
      </c>
      <c r="D1153" s="1">
        <v>43934</v>
      </c>
      <c r="E1153" t="str">
        <f>"9-3979"</f>
        <v>9-3979</v>
      </c>
      <c r="F1153" t="str">
        <f>"Inv# 9-3979"</f>
        <v>Inv# 9-3979</v>
      </c>
      <c r="G1153" s="5">
        <v>10615.11</v>
      </c>
      <c r="H1153" t="str">
        <f>"Inv# 9-3979"</f>
        <v>Inv# 9-3979</v>
      </c>
    </row>
    <row r="1154" spans="1:8" x14ac:dyDescent="0.25">
      <c r="A1154" t="s">
        <v>293</v>
      </c>
      <c r="B1154">
        <v>131610</v>
      </c>
      <c r="C1154" s="5">
        <v>1014</v>
      </c>
      <c r="D1154" s="1">
        <v>43934</v>
      </c>
      <c r="E1154" t="str">
        <f>"148351"</f>
        <v>148351</v>
      </c>
      <c r="F1154" t="str">
        <f>"ACCT#188757/CEDAR CREEK PARK"</f>
        <v>ACCT#188757/CEDAR CREEK PARK</v>
      </c>
      <c r="G1154" s="5">
        <v>125</v>
      </c>
      <c r="H1154" t="str">
        <f>"ACCT#188757/CEDAR CREEK PARK"</f>
        <v>ACCT#188757/CEDAR CREEK PARK</v>
      </c>
    </row>
    <row r="1155" spans="1:8" x14ac:dyDescent="0.25">
      <c r="E1155" t="str">
        <f>"148880"</f>
        <v>148880</v>
      </c>
      <c r="F1155" t="str">
        <f>"ACCT#188757/DPS/TDL"</f>
        <v>ACCT#188757/DPS/TDL</v>
      </c>
      <c r="G1155" s="5">
        <v>76</v>
      </c>
      <c r="H1155" t="str">
        <f>"ACCT#188757/DPS/TDL"</f>
        <v>ACCT#188757/DPS/TDL</v>
      </c>
    </row>
    <row r="1156" spans="1:8" x14ac:dyDescent="0.25">
      <c r="E1156" t="str">
        <f>"149714"</f>
        <v>149714</v>
      </c>
      <c r="F1156" t="str">
        <f>"ACCT#188757/RD &amp; BRIDGE/SIGN S"</f>
        <v>ACCT#188757/RD &amp; BRIDGE/SIGN S</v>
      </c>
      <c r="G1156" s="5">
        <v>95</v>
      </c>
      <c r="H1156" t="str">
        <f>"ACCT#188757/RD &amp; BRIDGE/SIGN S"</f>
        <v>ACCT#188757/RD &amp; BRIDGE/SIGN S</v>
      </c>
    </row>
    <row r="1157" spans="1:8" x14ac:dyDescent="0.25">
      <c r="E1157" t="str">
        <f>"150009"</f>
        <v>150009</v>
      </c>
      <c r="F1157" t="str">
        <f>"ACCT#188757/MIKE FISHER BLDG"</f>
        <v>ACCT#188757/MIKE FISHER BLDG</v>
      </c>
      <c r="G1157" s="5">
        <v>112</v>
      </c>
      <c r="H1157" t="str">
        <f>"ACCT#188757/MIKE FISHER BLDG"</f>
        <v>ACCT#188757/MIKE FISHER BLDG</v>
      </c>
    </row>
    <row r="1158" spans="1:8" x14ac:dyDescent="0.25">
      <c r="E1158" t="str">
        <f>"150484"</f>
        <v>150484</v>
      </c>
      <c r="F1158" t="str">
        <f>"ACCT#188757/TAX OFFICE"</f>
        <v>ACCT#188757/TAX OFFICE</v>
      </c>
      <c r="G1158" s="5">
        <v>102</v>
      </c>
      <c r="H1158" t="str">
        <f>"ACCT#188757/TAX OFFICE"</f>
        <v>ACCT#188757/TAX OFFICE</v>
      </c>
    </row>
    <row r="1159" spans="1:8" x14ac:dyDescent="0.25">
      <c r="E1159" t="str">
        <f>"150491"</f>
        <v>150491</v>
      </c>
      <c r="F1159" t="str">
        <f>"ACCT#188757/HABITAT OFFICE BLD"</f>
        <v>ACCT#188757/HABITAT OFFICE BLD</v>
      </c>
      <c r="G1159" s="5">
        <v>89</v>
      </c>
      <c r="H1159" t="str">
        <f>"ACCT#188757/HABITAT OFFICE BLD"</f>
        <v>ACCT#188757/HABITAT OFFICE BLD</v>
      </c>
    </row>
    <row r="1160" spans="1:8" x14ac:dyDescent="0.25">
      <c r="E1160" t="str">
        <f>"150512"</f>
        <v>150512</v>
      </c>
      <c r="F1160" t="str">
        <f>"ACCT#188757/JUVENILE PROBATION"</f>
        <v>ACCT#188757/JUVENILE PROBATION</v>
      </c>
      <c r="G1160" s="5">
        <v>132</v>
      </c>
      <c r="H1160" t="str">
        <f>"ACCT#188757/JUVENILE PROBATION"</f>
        <v>ACCT#188757/JUVENILE PROBATION</v>
      </c>
    </row>
    <row r="1161" spans="1:8" x14ac:dyDescent="0.25">
      <c r="E1161" t="str">
        <f>"150528"</f>
        <v>150528</v>
      </c>
      <c r="F1161" t="str">
        <f>"ACCT#188757/JUVENILE BOOT CAMP"</f>
        <v>ACCT#188757/JUVENILE BOOT CAMP</v>
      </c>
      <c r="G1161" s="5">
        <v>118.5</v>
      </c>
      <c r="H1161" t="str">
        <f>"ACCT#188757/JUVENILE BOOT CAMP"</f>
        <v>ACCT#188757/JUVENILE BOOT CAMP</v>
      </c>
    </row>
    <row r="1162" spans="1:8" x14ac:dyDescent="0.25">
      <c r="E1162" t="str">
        <f>"150789"</f>
        <v>150789</v>
      </c>
      <c r="F1162" t="str">
        <f>"ACCT#188757/LBJ BLDG/HLTH DPT"</f>
        <v>ACCT#188757/LBJ BLDG/HLTH DPT</v>
      </c>
      <c r="G1162" s="5">
        <v>69</v>
      </c>
      <c r="H1162" t="str">
        <f>"ACCT#188757/LBJ BLDG/HLTH DPT"</f>
        <v>ACCT#188757/LBJ BLDG/HLTH DPT</v>
      </c>
    </row>
    <row r="1163" spans="1:8" x14ac:dyDescent="0.25">
      <c r="E1163" t="str">
        <f>"150799"</f>
        <v>150799</v>
      </c>
      <c r="F1163" t="str">
        <f>"ACCT#188757/PCT#4 RD &amp; BRIDGE"</f>
        <v>ACCT#188757/PCT#4 RD &amp; BRIDGE</v>
      </c>
      <c r="G1163" s="5">
        <v>95.5</v>
      </c>
      <c r="H1163" t="str">
        <f>"ACCT#188757/PCT#4 RD &amp; BRIDGE"</f>
        <v>ACCT#188757/PCT#4 RD &amp; BRIDGE</v>
      </c>
    </row>
    <row r="1164" spans="1:8" x14ac:dyDescent="0.25">
      <c r="A1164" t="s">
        <v>293</v>
      </c>
      <c r="B1164">
        <v>131746</v>
      </c>
      <c r="C1164" s="5">
        <v>503</v>
      </c>
      <c r="D1164" s="1">
        <v>43948</v>
      </c>
      <c r="E1164" t="str">
        <f>"152737"</f>
        <v>152737</v>
      </c>
      <c r="F1164" t="str">
        <f>"ACCT#188757/CEDAR CREEK PARK"</f>
        <v>ACCT#188757/CEDAR CREEK PARK</v>
      </c>
      <c r="G1164" s="5">
        <v>125</v>
      </c>
      <c r="H1164" t="str">
        <f>"ACCT#188757/CEDAR CREEK PARK"</f>
        <v>ACCT#188757/CEDAR CREEK PARK</v>
      </c>
    </row>
    <row r="1165" spans="1:8" x14ac:dyDescent="0.25">
      <c r="E1165" t="str">
        <f>"153634"</f>
        <v>153634</v>
      </c>
      <c r="F1165" t="str">
        <f>"ACCT#188757/MIKE FISHER BLDG"</f>
        <v>ACCT#188757/MIKE FISHER BLDG</v>
      </c>
      <c r="G1165" s="5">
        <v>112</v>
      </c>
      <c r="H1165" t="str">
        <f>"ACCT#188757/MIKE FISHER BLDG"</f>
        <v>ACCT#188757/MIKE FISHER BLDG</v>
      </c>
    </row>
    <row r="1166" spans="1:8" x14ac:dyDescent="0.25">
      <c r="E1166" t="str">
        <f>"153982"</f>
        <v>153982</v>
      </c>
      <c r="F1166" t="str">
        <f>"ACCT#188757/DPS/TDL"</f>
        <v>ACCT#188757/DPS/TDL</v>
      </c>
      <c r="G1166" s="5">
        <v>76</v>
      </c>
      <c r="H1166" t="str">
        <f>"ACCT#188757/DPS/TDL"</f>
        <v>ACCT#188757/DPS/TDL</v>
      </c>
    </row>
    <row r="1167" spans="1:8" x14ac:dyDescent="0.25">
      <c r="E1167" t="str">
        <f>"154103"</f>
        <v>154103</v>
      </c>
      <c r="F1167" t="str">
        <f>"ACCT#188757/JP4/TAX OFFICE"</f>
        <v>ACCT#188757/JP4/TAX OFFICE</v>
      </c>
      <c r="G1167" s="5">
        <v>95</v>
      </c>
      <c r="H1167" t="str">
        <f>"ACCT#188757/JP4/TAX OFFICE"</f>
        <v>ACCT#188757/JP4/TAX OFFICE</v>
      </c>
    </row>
    <row r="1168" spans="1:8" x14ac:dyDescent="0.25">
      <c r="E1168" t="str">
        <f>"154461"</f>
        <v>154461</v>
      </c>
      <c r="F1168" t="str">
        <f>"ACCT#188757/JP3 TAX OFFICE"</f>
        <v>ACCT#188757/JP3 TAX OFFICE</v>
      </c>
      <c r="G1168" s="5">
        <v>95</v>
      </c>
      <c r="H1168" t="str">
        <f>"ACCT#188757/JP3 TAX OFFICE"</f>
        <v>ACCT#188757/JP3 TAX OFFICE</v>
      </c>
    </row>
    <row r="1169" spans="1:8" x14ac:dyDescent="0.25">
      <c r="A1169" t="s">
        <v>294</v>
      </c>
      <c r="B1169">
        <v>131611</v>
      </c>
      <c r="C1169" s="5">
        <v>12500</v>
      </c>
      <c r="D1169" s="1">
        <v>43934</v>
      </c>
      <c r="E1169" t="str">
        <f>"202003306130"</f>
        <v>202003306130</v>
      </c>
      <c r="F1169" t="str">
        <f>"FCI TRAINING &amp; CONSULT SUPPORT"</f>
        <v>FCI TRAINING &amp; CONSULT SUPPORT</v>
      </c>
      <c r="G1169" s="5">
        <v>12500</v>
      </c>
      <c r="H1169" t="str">
        <f>"FCI TRAINING &amp; CONSULT SUPPORT"</f>
        <v>FCI TRAINING &amp; CONSULT SUPPORT</v>
      </c>
    </row>
    <row r="1170" spans="1:8" x14ac:dyDescent="0.25">
      <c r="A1170" t="s">
        <v>295</v>
      </c>
      <c r="B1170">
        <v>2411</v>
      </c>
      <c r="C1170" s="5">
        <v>6200</v>
      </c>
      <c r="D1170" s="1">
        <v>43935</v>
      </c>
      <c r="E1170" t="str">
        <f>"202003256089"</f>
        <v>202003256089</v>
      </c>
      <c r="F1170" t="str">
        <f>"17 064"</f>
        <v>17 064</v>
      </c>
      <c r="G1170" s="5">
        <v>400</v>
      </c>
      <c r="H1170" t="str">
        <f>"17 064"</f>
        <v>17 064</v>
      </c>
    </row>
    <row r="1171" spans="1:8" x14ac:dyDescent="0.25">
      <c r="E1171" t="str">
        <f>"202003256090"</f>
        <v>202003256090</v>
      </c>
      <c r="F1171" t="str">
        <f>"16 913"</f>
        <v>16 913</v>
      </c>
      <c r="G1171" s="5">
        <v>1525</v>
      </c>
      <c r="H1171" t="str">
        <f>"16 913"</f>
        <v>16 913</v>
      </c>
    </row>
    <row r="1172" spans="1:8" x14ac:dyDescent="0.25">
      <c r="E1172" t="str">
        <f>"202003256091"</f>
        <v>202003256091</v>
      </c>
      <c r="F1172" t="str">
        <f>"16 499"</f>
        <v>16 499</v>
      </c>
      <c r="G1172" s="5">
        <v>1525</v>
      </c>
      <c r="H1172" t="str">
        <f>"16 499"</f>
        <v>16 499</v>
      </c>
    </row>
    <row r="1173" spans="1:8" x14ac:dyDescent="0.25">
      <c r="E1173" t="str">
        <f>"202003256093"</f>
        <v>202003256093</v>
      </c>
      <c r="F1173" t="str">
        <f>"16 936"</f>
        <v>16 936</v>
      </c>
      <c r="G1173" s="5">
        <v>400</v>
      </c>
      <c r="H1173" t="str">
        <f>"16 936"</f>
        <v>16 936</v>
      </c>
    </row>
    <row r="1174" spans="1:8" x14ac:dyDescent="0.25">
      <c r="E1174" t="str">
        <f>"202003306122"</f>
        <v>202003306122</v>
      </c>
      <c r="F1174" t="str">
        <f>"DCPC-20-003   DCPC-20-004"</f>
        <v>DCPC-20-003   DCPC-20-004</v>
      </c>
      <c r="G1174" s="5">
        <v>200</v>
      </c>
      <c r="H1174" t="str">
        <f>"DCPC-20-003   DCPC-20-004"</f>
        <v>DCPC-20-003   DCPC-20-004</v>
      </c>
    </row>
    <row r="1175" spans="1:8" x14ac:dyDescent="0.25">
      <c r="E1175" t="str">
        <f>"202003306123"</f>
        <v>202003306123</v>
      </c>
      <c r="F1175" t="str">
        <f>"1485-335  1481-21"</f>
        <v>1485-335  1481-21</v>
      </c>
      <c r="G1175" s="5">
        <v>200</v>
      </c>
      <c r="H1175" t="str">
        <f>"1485-335  1481-21"</f>
        <v>1485-335  1481-21</v>
      </c>
    </row>
    <row r="1176" spans="1:8" x14ac:dyDescent="0.25">
      <c r="E1176" t="str">
        <f>"202004036134"</f>
        <v>202004036134</v>
      </c>
      <c r="F1176" t="str">
        <f>"JP102092020H"</f>
        <v>JP102092020H</v>
      </c>
      <c r="G1176" s="5">
        <v>100</v>
      </c>
      <c r="H1176" t="str">
        <f>"JP102092020H"</f>
        <v>JP102092020H</v>
      </c>
    </row>
    <row r="1177" spans="1:8" x14ac:dyDescent="0.25">
      <c r="E1177" t="str">
        <f>"202004076344"</f>
        <v>202004076344</v>
      </c>
      <c r="F1177" t="str">
        <f>"19-19537"</f>
        <v>19-19537</v>
      </c>
      <c r="G1177" s="5">
        <v>150</v>
      </c>
      <c r="H1177" t="str">
        <f>"19-19537"</f>
        <v>19-19537</v>
      </c>
    </row>
    <row r="1178" spans="1:8" x14ac:dyDescent="0.25">
      <c r="E1178" t="str">
        <f>"202004076345"</f>
        <v>202004076345</v>
      </c>
      <c r="F1178" t="str">
        <f>"20-20030"</f>
        <v>20-20030</v>
      </c>
      <c r="G1178" s="5">
        <v>525</v>
      </c>
      <c r="H1178" t="str">
        <f>"20-20030"</f>
        <v>20-20030</v>
      </c>
    </row>
    <row r="1179" spans="1:8" x14ac:dyDescent="0.25">
      <c r="E1179" t="str">
        <f>"202004076346"</f>
        <v>202004076346</v>
      </c>
      <c r="F1179" t="str">
        <f>"19-19591"</f>
        <v>19-19591</v>
      </c>
      <c r="G1179" s="5">
        <v>375</v>
      </c>
      <c r="H1179" t="str">
        <f>"19-19591"</f>
        <v>19-19591</v>
      </c>
    </row>
    <row r="1180" spans="1:8" x14ac:dyDescent="0.25">
      <c r="E1180" t="str">
        <f>"202004076347"</f>
        <v>202004076347</v>
      </c>
      <c r="F1180" t="str">
        <f>"20-20086"</f>
        <v>20-20086</v>
      </c>
      <c r="G1180" s="5">
        <v>187.5</v>
      </c>
      <c r="H1180" t="str">
        <f>"20-20086"</f>
        <v>20-20086</v>
      </c>
    </row>
    <row r="1181" spans="1:8" x14ac:dyDescent="0.25">
      <c r="E1181" t="str">
        <f>"202004076348"</f>
        <v>202004076348</v>
      </c>
      <c r="F1181" t="str">
        <f>"JP102092020G"</f>
        <v>JP102092020G</v>
      </c>
      <c r="G1181" s="5">
        <v>100</v>
      </c>
      <c r="H1181" t="str">
        <f>"JP102092020G"</f>
        <v>JP102092020G</v>
      </c>
    </row>
    <row r="1182" spans="1:8" x14ac:dyDescent="0.25">
      <c r="E1182" t="str">
        <f>"202004076349"</f>
        <v>202004076349</v>
      </c>
      <c r="F1182" t="str">
        <f>"19-19591"</f>
        <v>19-19591</v>
      </c>
      <c r="G1182" s="5">
        <v>150</v>
      </c>
      <c r="H1182" t="str">
        <f>"19-19591"</f>
        <v>19-19591</v>
      </c>
    </row>
    <row r="1183" spans="1:8" x14ac:dyDescent="0.25">
      <c r="E1183" t="str">
        <f>"202004076350"</f>
        <v>202004076350</v>
      </c>
      <c r="F1183" t="str">
        <f>"18-19410"</f>
        <v>18-19410</v>
      </c>
      <c r="G1183" s="5">
        <v>112.5</v>
      </c>
      <c r="H1183" t="str">
        <f>"18-19410"</f>
        <v>18-19410</v>
      </c>
    </row>
    <row r="1184" spans="1:8" x14ac:dyDescent="0.25">
      <c r="E1184" t="str">
        <f>"202004076351"</f>
        <v>202004076351</v>
      </c>
      <c r="F1184" t="str">
        <f>"JP4-402022-2  59 926"</f>
        <v>JP4-402022-2  59 926</v>
      </c>
      <c r="G1184" s="5">
        <v>150</v>
      </c>
      <c r="H1184" t="str">
        <f>"JP4-402022-2  59 926"</f>
        <v>JP4-402022-2  59 926</v>
      </c>
    </row>
    <row r="1185" spans="1:8" x14ac:dyDescent="0.25">
      <c r="E1185" t="str">
        <f>"202004076358"</f>
        <v>202004076358</v>
      </c>
      <c r="F1185" t="str">
        <f>"JP4-402022-1"</f>
        <v>JP4-402022-1</v>
      </c>
      <c r="G1185" s="5">
        <v>100</v>
      </c>
      <c r="H1185" t="str">
        <f>"JP4-402022-1"</f>
        <v>JP4-402022-1</v>
      </c>
    </row>
    <row r="1186" spans="1:8" x14ac:dyDescent="0.25">
      <c r="A1186" t="s">
        <v>295</v>
      </c>
      <c r="B1186">
        <v>2490</v>
      </c>
      <c r="C1186" s="5">
        <v>900</v>
      </c>
      <c r="D1186" s="1">
        <v>43949</v>
      </c>
      <c r="E1186" t="str">
        <f>"202004206468"</f>
        <v>202004206468</v>
      </c>
      <c r="F1186" t="str">
        <f>"JP3 31110219A"</f>
        <v>JP3 31110219A</v>
      </c>
      <c r="G1186" s="5">
        <v>100</v>
      </c>
      <c r="H1186" t="str">
        <f>"JP3 31110219A"</f>
        <v>JP3 31110219A</v>
      </c>
    </row>
    <row r="1187" spans="1:8" x14ac:dyDescent="0.25">
      <c r="E1187" t="str">
        <f>"202004216540"</f>
        <v>202004216540</v>
      </c>
      <c r="F1187" t="str">
        <f>"1501-21  JP103052020-H"</f>
        <v>1501-21  JP103052020-H</v>
      </c>
      <c r="G1187" s="5">
        <v>100</v>
      </c>
      <c r="H1187" t="str">
        <f>"1501-21  JP103052020-H"</f>
        <v>1501-21  JP103052020-H</v>
      </c>
    </row>
    <row r="1188" spans="1:8" x14ac:dyDescent="0.25">
      <c r="E1188" t="str">
        <f>"202004216541"</f>
        <v>202004216541</v>
      </c>
      <c r="F1188" t="str">
        <f>"1500-21  1504-335"</f>
        <v>1500-21  1504-335</v>
      </c>
      <c r="G1188" s="5">
        <v>200</v>
      </c>
      <c r="H1188" t="str">
        <f>"1500-21  1504-335"</f>
        <v>1500-21  1504-335</v>
      </c>
    </row>
    <row r="1189" spans="1:8" x14ac:dyDescent="0.25">
      <c r="E1189" t="str">
        <f>"202004216542"</f>
        <v>202004216542</v>
      </c>
      <c r="F1189" t="str">
        <f>"16 989  16 990"</f>
        <v>16 989  16 990</v>
      </c>
      <c r="G1189" s="5">
        <v>200</v>
      </c>
      <c r="H1189" t="str">
        <f>"16 989  16 990"</f>
        <v>16 989  16 990</v>
      </c>
    </row>
    <row r="1190" spans="1:8" x14ac:dyDescent="0.25">
      <c r="E1190" t="str">
        <f>"202004216543"</f>
        <v>202004216543</v>
      </c>
      <c r="F1190" t="str">
        <f>"20-20030"</f>
        <v>20-20030</v>
      </c>
      <c r="G1190" s="5">
        <v>150</v>
      </c>
      <c r="H1190" t="str">
        <f>"20-20030"</f>
        <v>20-20030</v>
      </c>
    </row>
    <row r="1191" spans="1:8" x14ac:dyDescent="0.25">
      <c r="E1191" t="str">
        <f>"202004216544"</f>
        <v>202004216544</v>
      </c>
      <c r="F1191" t="str">
        <f>"19-19591"</f>
        <v>19-19591</v>
      </c>
      <c r="G1191" s="5">
        <v>150</v>
      </c>
      <c r="H1191" t="str">
        <f>"19-19591"</f>
        <v>19-19591</v>
      </c>
    </row>
    <row r="1192" spans="1:8" x14ac:dyDescent="0.25">
      <c r="A1192" t="s">
        <v>296</v>
      </c>
      <c r="B1192">
        <v>2470</v>
      </c>
      <c r="C1192" s="5">
        <v>732</v>
      </c>
      <c r="D1192" s="1">
        <v>43935</v>
      </c>
      <c r="E1192" t="str">
        <f>"243455"</f>
        <v>243455</v>
      </c>
      <c r="F1192" t="str">
        <f>"CODE:BASTRCOU/ORD#1*179467"</f>
        <v>CODE:BASTRCOU/ORD#1*179467</v>
      </c>
      <c r="G1192" s="5">
        <v>732</v>
      </c>
      <c r="H1192" t="str">
        <f>"CODE:BASTRCOU/ORD#1*179467"</f>
        <v>CODE:BASTRCOU/ORD#1*179467</v>
      </c>
    </row>
    <row r="1193" spans="1:8" x14ac:dyDescent="0.25">
      <c r="A1193" t="s">
        <v>297</v>
      </c>
      <c r="B1193">
        <v>131612</v>
      </c>
      <c r="C1193" s="5">
        <v>640.67999999999995</v>
      </c>
      <c r="D1193" s="1">
        <v>43934</v>
      </c>
      <c r="E1193" t="str">
        <f>"27356445"</f>
        <v>27356445</v>
      </c>
      <c r="F1193" t="str">
        <f>"INV 27356445"</f>
        <v>INV 27356445</v>
      </c>
      <c r="G1193" s="5">
        <v>640.67999999999995</v>
      </c>
      <c r="H1193" t="str">
        <f>"INV 27356445"</f>
        <v>INV 27356445</v>
      </c>
    </row>
    <row r="1194" spans="1:8" x14ac:dyDescent="0.25">
      <c r="A1194" t="s">
        <v>298</v>
      </c>
      <c r="B1194">
        <v>131613</v>
      </c>
      <c r="C1194" s="5">
        <v>572</v>
      </c>
      <c r="D1194" s="1">
        <v>43934</v>
      </c>
      <c r="E1194" t="str">
        <f>"842058201"</f>
        <v>842058201</v>
      </c>
      <c r="F1194" t="str">
        <f>"ACCT#1000648597/WEST INFO CHRG"</f>
        <v>ACCT#1000648597/WEST INFO CHRG</v>
      </c>
      <c r="G1194" s="5">
        <v>572</v>
      </c>
      <c r="H1194" t="str">
        <f>"ACCT#1000648597/WEST INFO CHRG"</f>
        <v>ACCT#1000648597/WEST INFO CHRG</v>
      </c>
    </row>
    <row r="1195" spans="1:8" x14ac:dyDescent="0.25">
      <c r="A1195" t="s">
        <v>298</v>
      </c>
      <c r="B1195">
        <v>131747</v>
      </c>
      <c r="C1195" s="5">
        <v>952</v>
      </c>
      <c r="D1195" s="1">
        <v>43948</v>
      </c>
      <c r="E1195" t="str">
        <f>"842070389"</f>
        <v>842070389</v>
      </c>
      <c r="F1195" t="str">
        <f>"ACCT#1000310962/MARCH 2020"</f>
        <v>ACCT#1000310962/MARCH 2020</v>
      </c>
      <c r="G1195" s="5">
        <v>952</v>
      </c>
      <c r="H1195" t="str">
        <f>"ACCT#1000310962/MARCH 2020"</f>
        <v>ACCT#1000310962/MARCH 2020</v>
      </c>
    </row>
    <row r="1196" spans="1:8" x14ac:dyDescent="0.25">
      <c r="A1196" t="s">
        <v>299</v>
      </c>
      <c r="B1196">
        <v>131614</v>
      </c>
      <c r="C1196" s="5">
        <v>410</v>
      </c>
      <c r="D1196" s="1">
        <v>43934</v>
      </c>
      <c r="E1196" t="str">
        <f>"202003256094"</f>
        <v>202003256094</v>
      </c>
      <c r="F1196" t="str">
        <f>"423-6426"</f>
        <v>423-6426</v>
      </c>
      <c r="G1196" s="5">
        <v>410</v>
      </c>
      <c r="H1196" t="str">
        <f>"423-6426"</f>
        <v>423-6426</v>
      </c>
    </row>
    <row r="1197" spans="1:8" x14ac:dyDescent="0.25">
      <c r="A1197" t="s">
        <v>299</v>
      </c>
      <c r="B1197">
        <v>131748</v>
      </c>
      <c r="C1197" s="5">
        <v>767.5</v>
      </c>
      <c r="D1197" s="1">
        <v>43948</v>
      </c>
      <c r="E1197" t="str">
        <f>"202004206474"</f>
        <v>202004206474</v>
      </c>
      <c r="F1197" t="str">
        <f>"423-6426"</f>
        <v>423-6426</v>
      </c>
      <c r="G1197" s="5">
        <v>430</v>
      </c>
      <c r="H1197" t="str">
        <f>"423-6426"</f>
        <v>423-6426</v>
      </c>
    </row>
    <row r="1198" spans="1:8" x14ac:dyDescent="0.25">
      <c r="E1198" t="str">
        <f>"202004206475"</f>
        <v>202004206475</v>
      </c>
      <c r="F1198" t="str">
        <f>"423-6363"</f>
        <v>423-6363</v>
      </c>
      <c r="G1198" s="5">
        <v>337.5</v>
      </c>
      <c r="H1198" t="str">
        <f>"423-6363"</f>
        <v>423-6363</v>
      </c>
    </row>
    <row r="1199" spans="1:8" x14ac:dyDescent="0.25">
      <c r="A1199" t="s">
        <v>300</v>
      </c>
      <c r="B1199">
        <v>131615</v>
      </c>
      <c r="C1199" s="5">
        <v>249.95</v>
      </c>
      <c r="D1199" s="1">
        <v>43934</v>
      </c>
      <c r="E1199" t="str">
        <f>"202004036169"</f>
        <v>202004036169</v>
      </c>
      <c r="F1199" t="str">
        <f>"REIMBURSE - UNIFORM/PCT#3"</f>
        <v>REIMBURSE - UNIFORM/PCT#3</v>
      </c>
      <c r="G1199" s="5">
        <v>249.95</v>
      </c>
      <c r="H1199" t="str">
        <f>"REIMBURSE - UNIFORM/PCT#3"</f>
        <v>REIMBURSE - UNIFORM/PCT#3</v>
      </c>
    </row>
    <row r="1200" spans="1:8" x14ac:dyDescent="0.25">
      <c r="A1200" t="s">
        <v>301</v>
      </c>
      <c r="B1200">
        <v>131616</v>
      </c>
      <c r="C1200" s="5">
        <v>357.9</v>
      </c>
      <c r="D1200" s="1">
        <v>43934</v>
      </c>
      <c r="E1200" t="str">
        <f>"300605936 30060913"</f>
        <v>300605936 30060913</v>
      </c>
      <c r="F1200" t="str">
        <f>"acct# 6035301200167268"</f>
        <v>acct# 6035301200167268</v>
      </c>
      <c r="G1200" s="5">
        <v>357.9</v>
      </c>
      <c r="H1200" t="str">
        <f>"Inv# 300605936"</f>
        <v>Inv# 300605936</v>
      </c>
    </row>
    <row r="1201" spans="1:8" x14ac:dyDescent="0.25">
      <c r="E1201" t="str">
        <f>""</f>
        <v/>
      </c>
      <c r="F1201" t="str">
        <f>""</f>
        <v/>
      </c>
      <c r="H1201" t="str">
        <f>"Inv# 100623673"</f>
        <v>Inv# 100623673</v>
      </c>
    </row>
    <row r="1202" spans="1:8" x14ac:dyDescent="0.25">
      <c r="E1202" t="str">
        <f>""</f>
        <v/>
      </c>
      <c r="F1202" t="str">
        <f>""</f>
        <v/>
      </c>
      <c r="H1202" t="str">
        <f>"Inv# 100625497"</f>
        <v>Inv# 100625497</v>
      </c>
    </row>
    <row r="1203" spans="1:8" x14ac:dyDescent="0.25">
      <c r="E1203" t="str">
        <f>""</f>
        <v/>
      </c>
      <c r="F1203" t="str">
        <f>""</f>
        <v/>
      </c>
      <c r="H1203" t="str">
        <f>"Inv# 100625503"</f>
        <v>Inv# 100625503</v>
      </c>
    </row>
    <row r="1204" spans="1:8" x14ac:dyDescent="0.25">
      <c r="E1204" t="str">
        <f>""</f>
        <v/>
      </c>
      <c r="F1204" t="str">
        <f>""</f>
        <v/>
      </c>
      <c r="H1204" t="str">
        <f>"Inv# 300609135"</f>
        <v>Inv# 300609135</v>
      </c>
    </row>
    <row r="1205" spans="1:8" x14ac:dyDescent="0.25">
      <c r="A1205" t="s">
        <v>302</v>
      </c>
      <c r="B1205">
        <v>131617</v>
      </c>
      <c r="C1205" s="5">
        <v>150</v>
      </c>
      <c r="D1205" s="1">
        <v>43934</v>
      </c>
      <c r="E1205" t="str">
        <f>"13354"</f>
        <v>13354</v>
      </c>
      <c r="F1205" t="str">
        <f>"SERVICE  02/19/2020"</f>
        <v>SERVICE  02/19/2020</v>
      </c>
      <c r="G1205" s="5">
        <v>75</v>
      </c>
      <c r="H1205" t="str">
        <f>"SERVICE  02/19/2020"</f>
        <v>SERVICE  02/19/2020</v>
      </c>
    </row>
    <row r="1206" spans="1:8" x14ac:dyDescent="0.25">
      <c r="E1206" t="str">
        <f>"13361"</f>
        <v>13361</v>
      </c>
      <c r="F1206" t="str">
        <f>"SERVICE  02/21/2020"</f>
        <v>SERVICE  02/21/2020</v>
      </c>
      <c r="G1206" s="5">
        <v>75</v>
      </c>
      <c r="H1206" t="str">
        <f>"SERVICE  02/21/2020"</f>
        <v>SERVICE  02/21/2020</v>
      </c>
    </row>
    <row r="1207" spans="1:8" x14ac:dyDescent="0.25">
      <c r="A1207" t="s">
        <v>302</v>
      </c>
      <c r="B1207">
        <v>131749</v>
      </c>
      <c r="C1207" s="5">
        <v>525</v>
      </c>
      <c r="D1207" s="1">
        <v>43948</v>
      </c>
      <c r="E1207" t="str">
        <f>"12431"</f>
        <v>12431</v>
      </c>
      <c r="F1207" t="str">
        <f>"SERVICE  02/27/2020"</f>
        <v>SERVICE  02/27/2020</v>
      </c>
      <c r="G1207" s="5">
        <v>150</v>
      </c>
      <c r="H1207" t="str">
        <f>"SERVICE  02/27/2020"</f>
        <v>SERVICE  02/27/2020</v>
      </c>
    </row>
    <row r="1208" spans="1:8" x14ac:dyDescent="0.25">
      <c r="E1208" t="str">
        <f>"12833"</f>
        <v>12833</v>
      </c>
      <c r="F1208" t="str">
        <f>"SERVICE  02/27/2020"</f>
        <v>SERVICE  02/27/2020</v>
      </c>
      <c r="G1208" s="5">
        <v>150</v>
      </c>
      <c r="H1208" t="str">
        <f>"SERVICE  02/27/2020"</f>
        <v>SERVICE  02/27/2020</v>
      </c>
    </row>
    <row r="1209" spans="1:8" x14ac:dyDescent="0.25">
      <c r="E1209" t="str">
        <f>"12938"</f>
        <v>12938</v>
      </c>
      <c r="F1209" t="str">
        <f>"SERVICE  02/28/2020"</f>
        <v>SERVICE  02/28/2020</v>
      </c>
      <c r="G1209" s="5">
        <v>150</v>
      </c>
      <c r="H1209" t="str">
        <f>"SERVICE  02/28/2020"</f>
        <v>SERVICE  02/28/2020</v>
      </c>
    </row>
    <row r="1210" spans="1:8" x14ac:dyDescent="0.25">
      <c r="E1210" t="str">
        <f>"13111"</f>
        <v>13111</v>
      </c>
      <c r="F1210" t="str">
        <f>"SERVICE"</f>
        <v>SERVICE</v>
      </c>
      <c r="G1210" s="5">
        <v>75</v>
      </c>
      <c r="H1210" t="str">
        <f>"SERVICE"</f>
        <v>SERVICE</v>
      </c>
    </row>
    <row r="1211" spans="1:8" x14ac:dyDescent="0.25">
      <c r="A1211" t="s">
        <v>303</v>
      </c>
      <c r="B1211">
        <v>131750</v>
      </c>
      <c r="C1211" s="5">
        <v>105.4</v>
      </c>
      <c r="D1211" s="1">
        <v>43948</v>
      </c>
      <c r="E1211" t="str">
        <f>"4656*98082*1"</f>
        <v>4656*98082*1</v>
      </c>
      <c r="F1211" t="str">
        <f>"JAIL MEDICAL"</f>
        <v>JAIL MEDICAL</v>
      </c>
      <c r="G1211" s="5">
        <v>105.4</v>
      </c>
      <c r="H1211" t="str">
        <f>"JAIL MEDICAL"</f>
        <v>JAIL MEDICAL</v>
      </c>
    </row>
    <row r="1212" spans="1:8" x14ac:dyDescent="0.25">
      <c r="A1212" t="s">
        <v>304</v>
      </c>
      <c r="B1212">
        <v>131751</v>
      </c>
      <c r="C1212" s="5">
        <v>11600</v>
      </c>
      <c r="D1212" s="1">
        <v>43948</v>
      </c>
      <c r="E1212" t="str">
        <f>"33000003363"</f>
        <v>33000003363</v>
      </c>
      <c r="F1212" t="str">
        <f>"CUST#100010/INV#33000003363"</f>
        <v>CUST#100010/INV#33000003363</v>
      </c>
      <c r="G1212" s="5">
        <v>2900</v>
      </c>
      <c r="H1212" t="str">
        <f>"CUST#100010/INV#33000003363"</f>
        <v>CUST#100010/INV#33000003363</v>
      </c>
    </row>
    <row r="1213" spans="1:8" x14ac:dyDescent="0.25">
      <c r="E1213" t="str">
        <f>"3300003291"</f>
        <v>3300003291</v>
      </c>
      <c r="F1213" t="str">
        <f>"CUST#100733/INV#3300003291"</f>
        <v>CUST#100733/INV#3300003291</v>
      </c>
      <c r="G1213" s="5">
        <v>8700</v>
      </c>
      <c r="H1213" t="str">
        <f>"CUST#100733/INV#3300003291"</f>
        <v>CUST#100733/INV#3300003291</v>
      </c>
    </row>
    <row r="1214" spans="1:8" x14ac:dyDescent="0.25">
      <c r="A1214" t="s">
        <v>305</v>
      </c>
      <c r="B1214">
        <v>2414</v>
      </c>
      <c r="C1214" s="5">
        <v>699.47</v>
      </c>
      <c r="D1214" s="1">
        <v>43935</v>
      </c>
      <c r="E1214" t="str">
        <f>"804239"</f>
        <v>804239</v>
      </c>
      <c r="F1214" t="str">
        <f>"INV 804239 / UNIT 5511"</f>
        <v>INV 804239 / UNIT 5511</v>
      </c>
      <c r="G1214" s="5">
        <v>131.03</v>
      </c>
      <c r="H1214" t="str">
        <f>"INV 804239 / UNIT 5511"</f>
        <v>INV 804239 / UNIT 5511</v>
      </c>
    </row>
    <row r="1215" spans="1:8" x14ac:dyDescent="0.25">
      <c r="E1215" t="str">
        <f>"805806"</f>
        <v>805806</v>
      </c>
      <c r="F1215" t="str">
        <f>"INV 805806 / UNIT 4720"</f>
        <v>INV 805806 / UNIT 4720</v>
      </c>
      <c r="G1215" s="5">
        <v>568.44000000000005</v>
      </c>
      <c r="H1215" t="str">
        <f>"INV 805806 / UNIT 4720"</f>
        <v>INV 805806 / UNIT 4720</v>
      </c>
    </row>
    <row r="1216" spans="1:8" x14ac:dyDescent="0.25">
      <c r="A1216" t="s">
        <v>305</v>
      </c>
      <c r="B1216">
        <v>2491</v>
      </c>
      <c r="C1216" s="5">
        <v>1445.24</v>
      </c>
      <c r="D1216" s="1">
        <v>43949</v>
      </c>
      <c r="E1216" t="str">
        <f>"806138"</f>
        <v>806138</v>
      </c>
      <c r="F1216" t="str">
        <f>"INV 806138 / UNIT 3858"</f>
        <v>INV 806138 / UNIT 3858</v>
      </c>
      <c r="G1216" s="5">
        <v>131.62</v>
      </c>
      <c r="H1216" t="str">
        <f>"INV 806138 / UNIT 3858"</f>
        <v>INV 806138 / UNIT 3858</v>
      </c>
    </row>
    <row r="1217" spans="1:8" x14ac:dyDescent="0.25">
      <c r="E1217" t="str">
        <f>"806438"</f>
        <v>806438</v>
      </c>
      <c r="F1217" t="str">
        <f>"INV 806438 / UNIT TRAILER"</f>
        <v>INV 806438 / UNIT TRAILER</v>
      </c>
      <c r="G1217" s="5">
        <v>498.88</v>
      </c>
      <c r="H1217" t="str">
        <f>"INV 806438 / UNIT TRAILER"</f>
        <v>INV 806438 / UNIT TRAILER</v>
      </c>
    </row>
    <row r="1218" spans="1:8" x14ac:dyDescent="0.25">
      <c r="E1218" t="str">
        <f>"806505"</f>
        <v>806505</v>
      </c>
      <c r="F1218" t="str">
        <f>"INV  806505 / STOCK"</f>
        <v>INV  806505 / STOCK</v>
      </c>
      <c r="G1218" s="5">
        <v>814.74</v>
      </c>
      <c r="H1218" t="str">
        <f>"INV  806505 / STOCK"</f>
        <v>INV  806505 / STOCK</v>
      </c>
    </row>
    <row r="1219" spans="1:8" x14ac:dyDescent="0.25">
      <c r="A1219" t="s">
        <v>306</v>
      </c>
      <c r="B1219">
        <v>131618</v>
      </c>
      <c r="C1219" s="5">
        <v>457.98</v>
      </c>
      <c r="D1219" s="1">
        <v>43934</v>
      </c>
      <c r="E1219" t="str">
        <f>"4584*131*2 4632*13"</f>
        <v>4584*131*2 4632*13</v>
      </c>
      <c r="F1219" t="str">
        <f>"JAIL MEDICAL"</f>
        <v>JAIL MEDICAL</v>
      </c>
      <c r="G1219" s="5">
        <v>457.98</v>
      </c>
      <c r="H1219" t="str">
        <f>"JAIL MEDICAL"</f>
        <v>JAIL MEDICAL</v>
      </c>
    </row>
    <row r="1220" spans="1:8" x14ac:dyDescent="0.25">
      <c r="A1220" t="s">
        <v>306</v>
      </c>
      <c r="B1220">
        <v>131752</v>
      </c>
      <c r="C1220" s="5">
        <v>354.17</v>
      </c>
      <c r="D1220" s="1">
        <v>43948</v>
      </c>
      <c r="E1220" t="str">
        <f>"202004226589"</f>
        <v>202004226589</v>
      </c>
      <c r="F1220" t="str">
        <f>"INDIGENT HEALTH"</f>
        <v>INDIGENT HEALTH</v>
      </c>
      <c r="G1220" s="5">
        <v>354.17</v>
      </c>
      <c r="H1220" t="str">
        <f>"INDIGENT HEALTH"</f>
        <v>INDIGENT HEALTH</v>
      </c>
    </row>
    <row r="1221" spans="1:8" x14ac:dyDescent="0.25">
      <c r="A1221" t="s">
        <v>307</v>
      </c>
      <c r="B1221">
        <v>131619</v>
      </c>
      <c r="C1221" s="5">
        <v>7539.7</v>
      </c>
      <c r="D1221" s="1">
        <v>43934</v>
      </c>
      <c r="E1221" t="str">
        <f>"5000"</f>
        <v>5000</v>
      </c>
      <c r="F1221" t="str">
        <f>"2007 MANAC/PCT#3"</f>
        <v>2007 MANAC/PCT#3</v>
      </c>
      <c r="G1221" s="5">
        <v>7539.7</v>
      </c>
      <c r="H1221" t="str">
        <f>"2007 MANAC/PCT#3"</f>
        <v>2007 MANAC/PCT#3</v>
      </c>
    </row>
    <row r="1222" spans="1:8" x14ac:dyDescent="0.25">
      <c r="A1222" t="s">
        <v>308</v>
      </c>
      <c r="B1222">
        <v>131753</v>
      </c>
      <c r="C1222" s="5">
        <v>80</v>
      </c>
      <c r="D1222" s="1">
        <v>43948</v>
      </c>
      <c r="E1222" t="str">
        <f>"11896"</f>
        <v>11896</v>
      </c>
      <c r="F1222" t="str">
        <f>"SERVICE  03/02/20"</f>
        <v>SERVICE  03/02/20</v>
      </c>
      <c r="G1222" s="5">
        <v>80</v>
      </c>
      <c r="H1222" t="str">
        <f>"SERVICE  03/02/20"</f>
        <v>SERVICE  03/02/20</v>
      </c>
    </row>
    <row r="1223" spans="1:8" x14ac:dyDescent="0.25">
      <c r="A1223" t="s">
        <v>309</v>
      </c>
      <c r="B1223">
        <v>131620</v>
      </c>
      <c r="C1223" s="5">
        <v>40461.85</v>
      </c>
      <c r="D1223" s="1">
        <v>43934</v>
      </c>
      <c r="E1223" t="str">
        <f>"020-23839"</f>
        <v>020-23839</v>
      </c>
      <c r="F1223" t="str">
        <f>"CUST#42161/ORD#100522"</f>
        <v>CUST#42161/ORD#100522</v>
      </c>
      <c r="G1223" s="5">
        <v>38294.42</v>
      </c>
      <c r="H1223" t="str">
        <f>"CUST#42161/ORD#100522"</f>
        <v>CUST#42161/ORD#100522</v>
      </c>
    </row>
    <row r="1224" spans="1:8" x14ac:dyDescent="0.25">
      <c r="E1224" t="str">
        <f>"020-23840"</f>
        <v>020-23840</v>
      </c>
      <c r="F1224" t="str">
        <f>"CUST#42161/ORD#100523"</f>
        <v>CUST#42161/ORD#100523</v>
      </c>
      <c r="G1224" s="5">
        <v>573.67999999999995</v>
      </c>
      <c r="H1224" t="str">
        <f>"CUST#42161/ORD#100523"</f>
        <v>CUST#42161/ORD#100523</v>
      </c>
    </row>
    <row r="1225" spans="1:8" x14ac:dyDescent="0.25">
      <c r="E1225" t="str">
        <f>"025-289963"</f>
        <v>025-289963</v>
      </c>
      <c r="F1225" t="str">
        <f>"CUST#42161/ORD#122172"</f>
        <v>CUST#42161/ORD#122172</v>
      </c>
      <c r="G1225" s="5">
        <v>625</v>
      </c>
      <c r="H1225" t="str">
        <f>"CUST#42161/ORD#122172"</f>
        <v>CUST#42161/ORD#122172</v>
      </c>
    </row>
    <row r="1226" spans="1:8" x14ac:dyDescent="0.25">
      <c r="E1226" t="str">
        <f>"025-291190"</f>
        <v>025-291190</v>
      </c>
      <c r="F1226" t="str">
        <f>"CUST#42161/ORD#51916"</f>
        <v>CUST#42161/ORD#51916</v>
      </c>
      <c r="G1226" s="5">
        <v>843.75</v>
      </c>
      <c r="H1226" t="str">
        <f>"CUST#42161/ORD#51916"</f>
        <v>CUST#42161/ORD#51916</v>
      </c>
    </row>
    <row r="1227" spans="1:8" x14ac:dyDescent="0.25">
      <c r="E1227" t="str">
        <f>"025-292013"</f>
        <v>025-292013</v>
      </c>
      <c r="F1227" t="str">
        <f>"CUST#42161/AUDITOR"</f>
        <v>CUST#42161/AUDITOR</v>
      </c>
      <c r="G1227" s="5">
        <v>125</v>
      </c>
      <c r="H1227" t="str">
        <f>"CUST#42161/AUDITOR"</f>
        <v>CUST#42161/AUDITOR</v>
      </c>
    </row>
    <row r="1228" spans="1:8" x14ac:dyDescent="0.25">
      <c r="A1228" t="s">
        <v>310</v>
      </c>
      <c r="B1228">
        <v>2406</v>
      </c>
      <c r="C1228" s="5">
        <v>502.29</v>
      </c>
      <c r="D1228" s="1">
        <v>43935</v>
      </c>
      <c r="E1228" t="str">
        <f>"10844031"</f>
        <v>10844031</v>
      </c>
      <c r="F1228" t="str">
        <f>"ACCT#38049/PCT#4"</f>
        <v>ACCT#38049/PCT#4</v>
      </c>
      <c r="G1228" s="5">
        <v>502.29</v>
      </c>
      <c r="H1228" t="str">
        <f>"ACCT#38049/PCT#4"</f>
        <v>ACCT#38049/PCT#4</v>
      </c>
    </row>
    <row r="1229" spans="1:8" x14ac:dyDescent="0.25">
      <c r="A1229" t="s">
        <v>311</v>
      </c>
      <c r="B1229">
        <v>131754</v>
      </c>
      <c r="C1229" s="5">
        <v>214.22</v>
      </c>
      <c r="D1229" s="1">
        <v>43948</v>
      </c>
      <c r="E1229" t="str">
        <f>"000018VW63040"</f>
        <v>000018VW63040</v>
      </c>
      <c r="F1229" t="str">
        <f>"SHIPPER#18VW63"</f>
        <v>SHIPPER#18VW63</v>
      </c>
      <c r="G1229" s="5">
        <v>124.62</v>
      </c>
      <c r="H1229" t="str">
        <f>"SHIPPER#18VW63"</f>
        <v>SHIPPER#18VW63</v>
      </c>
    </row>
    <row r="1230" spans="1:8" x14ac:dyDescent="0.25">
      <c r="E1230" t="str">
        <f>"000018VW63050"</f>
        <v>000018VW63050</v>
      </c>
      <c r="F1230" t="str">
        <f>"SHIPPER#18VW63"</f>
        <v>SHIPPER#18VW63</v>
      </c>
      <c r="G1230" s="5">
        <v>46.96</v>
      </c>
      <c r="H1230" t="str">
        <f>"SHIPPER#18VW63"</f>
        <v>SHIPPER#18VW63</v>
      </c>
    </row>
    <row r="1231" spans="1:8" x14ac:dyDescent="0.25">
      <c r="E1231" t="str">
        <f>"000018VW63080"</f>
        <v>000018VW63080</v>
      </c>
      <c r="F1231" t="str">
        <f>"SHIPPER#18VW63"</f>
        <v>SHIPPER#18VW63</v>
      </c>
      <c r="G1231" s="5">
        <v>7.48</v>
      </c>
      <c r="H1231" t="str">
        <f>"SHIPPER#18VW63"</f>
        <v>SHIPPER#18VW63</v>
      </c>
    </row>
    <row r="1232" spans="1:8" x14ac:dyDescent="0.25">
      <c r="E1232" t="str">
        <f>"000018VW63090"</f>
        <v>000018VW63090</v>
      </c>
      <c r="F1232" t="str">
        <f>"SHIPPER#18VW63"</f>
        <v>SHIPPER#18VW63</v>
      </c>
      <c r="G1232" s="5">
        <v>2.82</v>
      </c>
      <c r="H1232" t="str">
        <f>"SHIPPER#18VW63"</f>
        <v>SHIPPER#18VW63</v>
      </c>
    </row>
    <row r="1233" spans="1:8" x14ac:dyDescent="0.25">
      <c r="E1233" t="str">
        <f>"000018VW63150"</f>
        <v>000018VW63150</v>
      </c>
      <c r="F1233" t="str">
        <f>"SHIPPER#18VW63"</f>
        <v>SHIPPER#18VW63</v>
      </c>
      <c r="G1233" s="5">
        <v>2.09</v>
      </c>
      <c r="H1233" t="str">
        <f>"SHIPPER#18VW63"</f>
        <v>SHIPPER#18VW63</v>
      </c>
    </row>
    <row r="1234" spans="1:8" x14ac:dyDescent="0.25">
      <c r="E1234" t="str">
        <f>"00018VW63130"</f>
        <v>00018VW63130</v>
      </c>
      <c r="F1234" t="str">
        <f>"INV 000018VW63130"</f>
        <v>INV 000018VW63130</v>
      </c>
      <c r="G1234" s="5">
        <v>30.25</v>
      </c>
      <c r="H1234" t="str">
        <f>"INV 00018VW63130"</f>
        <v>INV 00018VW63130</v>
      </c>
    </row>
    <row r="1235" spans="1:8" x14ac:dyDescent="0.25">
      <c r="A1235" t="s">
        <v>312</v>
      </c>
      <c r="B1235">
        <v>131621</v>
      </c>
      <c r="C1235" s="5">
        <v>3430</v>
      </c>
      <c r="D1235" s="1">
        <v>43934</v>
      </c>
      <c r="E1235" t="str">
        <f>"175"</f>
        <v>175</v>
      </c>
      <c r="F1235" t="str">
        <f>"IT SVCS"</f>
        <v>IT SVCS</v>
      </c>
      <c r="G1235" s="5">
        <v>3430</v>
      </c>
      <c r="H1235" t="str">
        <f>"IT SVCS"</f>
        <v>IT SVCS</v>
      </c>
    </row>
    <row r="1236" spans="1:8" x14ac:dyDescent="0.25">
      <c r="A1236" t="s">
        <v>313</v>
      </c>
      <c r="B1236">
        <v>131755</v>
      </c>
      <c r="C1236" s="5">
        <v>80</v>
      </c>
      <c r="D1236" s="1">
        <v>43948</v>
      </c>
      <c r="E1236" t="str">
        <f>"12929"</f>
        <v>12929</v>
      </c>
      <c r="F1236" t="str">
        <f>"SERVICE"</f>
        <v>SERVICE</v>
      </c>
      <c r="G1236" s="5">
        <v>80</v>
      </c>
      <c r="H1236" t="str">
        <f>"SERVICE"</f>
        <v>SERVICE</v>
      </c>
    </row>
    <row r="1237" spans="1:8" x14ac:dyDescent="0.25">
      <c r="A1237" t="s">
        <v>314</v>
      </c>
      <c r="B1237">
        <v>131756</v>
      </c>
      <c r="C1237" s="5">
        <v>159.21</v>
      </c>
      <c r="D1237" s="1">
        <v>43948</v>
      </c>
      <c r="E1237" t="str">
        <f>"2010548"</f>
        <v>2010548</v>
      </c>
      <c r="F1237" t="str">
        <f>"ACCT#17460002268003/MARCH 2020"</f>
        <v>ACCT#17460002268003/MARCH 2020</v>
      </c>
      <c r="G1237" s="5">
        <v>159.21</v>
      </c>
      <c r="H1237" t="str">
        <f>"ACCT#17460002268003/MARCH 2020"</f>
        <v>ACCT#17460002268003/MARCH 2020</v>
      </c>
    </row>
    <row r="1238" spans="1:8" x14ac:dyDescent="0.25">
      <c r="A1238" t="s">
        <v>315</v>
      </c>
      <c r="B1238">
        <v>2427</v>
      </c>
      <c r="C1238" s="5">
        <v>2912.5</v>
      </c>
      <c r="D1238" s="1">
        <v>43935</v>
      </c>
      <c r="E1238" t="str">
        <f>"202004076355"</f>
        <v>202004076355</v>
      </c>
      <c r="F1238" t="str">
        <f>"17 037"</f>
        <v>17 037</v>
      </c>
      <c r="G1238" s="5">
        <v>2912.5</v>
      </c>
      <c r="H1238" t="str">
        <f>"17 037"</f>
        <v>17 037</v>
      </c>
    </row>
    <row r="1239" spans="1:8" x14ac:dyDescent="0.25">
      <c r="A1239" t="s">
        <v>316</v>
      </c>
      <c r="B1239">
        <v>131622</v>
      </c>
      <c r="C1239" s="5">
        <v>39031.99</v>
      </c>
      <c r="D1239" s="1">
        <v>43934</v>
      </c>
      <c r="E1239" t="str">
        <f>"202004076234"</f>
        <v>202004076234</v>
      </c>
      <c r="F1239" t="str">
        <f>"acct# 869395921"</f>
        <v>acct# 869395921</v>
      </c>
      <c r="G1239" s="5">
        <v>39031.99</v>
      </c>
      <c r="H1239" t="str">
        <f>"Fuel"</f>
        <v>Fuel</v>
      </c>
    </row>
    <row r="1240" spans="1:8" x14ac:dyDescent="0.25">
      <c r="E1240" t="str">
        <f>""</f>
        <v/>
      </c>
      <c r="F1240" t="str">
        <f>""</f>
        <v/>
      </c>
      <c r="H1240" t="str">
        <f>"Tax"</f>
        <v>Tax</v>
      </c>
    </row>
    <row r="1241" spans="1:8" x14ac:dyDescent="0.25">
      <c r="E1241" t="str">
        <f>""</f>
        <v/>
      </c>
      <c r="F1241" t="str">
        <f>""</f>
        <v/>
      </c>
      <c r="H1241" t="str">
        <f>"Fuel"</f>
        <v>Fuel</v>
      </c>
    </row>
    <row r="1242" spans="1:8" x14ac:dyDescent="0.25">
      <c r="E1242" t="str">
        <f>""</f>
        <v/>
      </c>
      <c r="F1242" t="str">
        <f>""</f>
        <v/>
      </c>
      <c r="H1242" t="str">
        <f>"Tax"</f>
        <v>Tax</v>
      </c>
    </row>
    <row r="1243" spans="1:8" x14ac:dyDescent="0.25">
      <c r="E1243" t="str">
        <f>""</f>
        <v/>
      </c>
      <c r="F1243" t="str">
        <f>""</f>
        <v/>
      </c>
      <c r="H1243" t="str">
        <f>"maintenace"</f>
        <v>maintenace</v>
      </c>
    </row>
    <row r="1244" spans="1:8" x14ac:dyDescent="0.25">
      <c r="E1244" t="str">
        <f>""</f>
        <v/>
      </c>
      <c r="F1244" t="str">
        <f>""</f>
        <v/>
      </c>
      <c r="H1244" t="str">
        <f>"Fuel"</f>
        <v>Fuel</v>
      </c>
    </row>
    <row r="1245" spans="1:8" x14ac:dyDescent="0.25">
      <c r="E1245" t="str">
        <f>""</f>
        <v/>
      </c>
      <c r="F1245" t="str">
        <f>""</f>
        <v/>
      </c>
      <c r="H1245" t="str">
        <f>"Tax"</f>
        <v>Tax</v>
      </c>
    </row>
    <row r="1246" spans="1:8" x14ac:dyDescent="0.25">
      <c r="E1246" t="str">
        <f>""</f>
        <v/>
      </c>
      <c r="F1246" t="str">
        <f>""</f>
        <v/>
      </c>
      <c r="H1246" t="str">
        <f>"Fuel"</f>
        <v>Fuel</v>
      </c>
    </row>
    <row r="1247" spans="1:8" x14ac:dyDescent="0.25">
      <c r="E1247" t="str">
        <f>""</f>
        <v/>
      </c>
      <c r="F1247" t="str">
        <f>""</f>
        <v/>
      </c>
      <c r="H1247" t="str">
        <f>"Tax"</f>
        <v>Tax</v>
      </c>
    </row>
    <row r="1248" spans="1:8" x14ac:dyDescent="0.25">
      <c r="E1248" t="str">
        <f>""</f>
        <v/>
      </c>
      <c r="F1248" t="str">
        <f>""</f>
        <v/>
      </c>
      <c r="H1248" t="str">
        <f>"Maintenance"</f>
        <v>Maintenance</v>
      </c>
    </row>
    <row r="1249" spans="1:8" x14ac:dyDescent="0.25">
      <c r="E1249" t="str">
        <f>""</f>
        <v/>
      </c>
      <c r="F1249" t="str">
        <f>""</f>
        <v/>
      </c>
      <c r="H1249" t="str">
        <f>"Fuel"</f>
        <v>Fuel</v>
      </c>
    </row>
    <row r="1250" spans="1:8" x14ac:dyDescent="0.25">
      <c r="E1250" t="str">
        <f>""</f>
        <v/>
      </c>
      <c r="F1250" t="str">
        <f>""</f>
        <v/>
      </c>
      <c r="H1250" t="str">
        <f>"Tax"</f>
        <v>Tax</v>
      </c>
    </row>
    <row r="1251" spans="1:8" x14ac:dyDescent="0.25">
      <c r="E1251" t="str">
        <f>""</f>
        <v/>
      </c>
      <c r="F1251" t="str">
        <f>""</f>
        <v/>
      </c>
      <c r="H1251" t="str">
        <f>"Maintenance"</f>
        <v>Maintenance</v>
      </c>
    </row>
    <row r="1252" spans="1:8" x14ac:dyDescent="0.25">
      <c r="E1252" t="str">
        <f>""</f>
        <v/>
      </c>
      <c r="F1252" t="str">
        <f>""</f>
        <v/>
      </c>
      <c r="H1252" t="str">
        <f>"Fuel"</f>
        <v>Fuel</v>
      </c>
    </row>
    <row r="1253" spans="1:8" x14ac:dyDescent="0.25">
      <c r="E1253" t="str">
        <f>""</f>
        <v/>
      </c>
      <c r="F1253" t="str">
        <f>""</f>
        <v/>
      </c>
      <c r="H1253" t="str">
        <f>"Maintenance"</f>
        <v>Maintenance</v>
      </c>
    </row>
    <row r="1254" spans="1:8" x14ac:dyDescent="0.25">
      <c r="E1254" t="str">
        <f>""</f>
        <v/>
      </c>
      <c r="F1254" t="str">
        <f>""</f>
        <v/>
      </c>
      <c r="H1254" t="str">
        <f>"Fuel"</f>
        <v>Fuel</v>
      </c>
    </row>
    <row r="1255" spans="1:8" x14ac:dyDescent="0.25">
      <c r="E1255" t="str">
        <f>""</f>
        <v/>
      </c>
      <c r="F1255" t="str">
        <f>""</f>
        <v/>
      </c>
      <c r="H1255" t="str">
        <f>"Tax"</f>
        <v>Tax</v>
      </c>
    </row>
    <row r="1256" spans="1:8" x14ac:dyDescent="0.25">
      <c r="E1256" t="str">
        <f>""</f>
        <v/>
      </c>
      <c r="F1256" t="str">
        <f>""</f>
        <v/>
      </c>
      <c r="H1256" t="str">
        <f>"Fuel"</f>
        <v>Fuel</v>
      </c>
    </row>
    <row r="1257" spans="1:8" x14ac:dyDescent="0.25">
      <c r="E1257" t="str">
        <f>""</f>
        <v/>
      </c>
      <c r="F1257" t="str">
        <f>""</f>
        <v/>
      </c>
      <c r="H1257" t="str">
        <f>"Tax"</f>
        <v>Tax</v>
      </c>
    </row>
    <row r="1258" spans="1:8" x14ac:dyDescent="0.25">
      <c r="E1258" t="str">
        <f>""</f>
        <v/>
      </c>
      <c r="F1258" t="str">
        <f>""</f>
        <v/>
      </c>
      <c r="H1258" t="str">
        <f>"Fuel"</f>
        <v>Fuel</v>
      </c>
    </row>
    <row r="1259" spans="1:8" x14ac:dyDescent="0.25">
      <c r="E1259" t="str">
        <f>""</f>
        <v/>
      </c>
      <c r="F1259" t="str">
        <f>""</f>
        <v/>
      </c>
      <c r="H1259" t="str">
        <f>"Tax"</f>
        <v>Tax</v>
      </c>
    </row>
    <row r="1260" spans="1:8" x14ac:dyDescent="0.25">
      <c r="E1260" t="str">
        <f>""</f>
        <v/>
      </c>
      <c r="F1260" t="str">
        <f>""</f>
        <v/>
      </c>
      <c r="H1260" t="str">
        <f>"Maintenance"</f>
        <v>Maintenance</v>
      </c>
    </row>
    <row r="1261" spans="1:8" x14ac:dyDescent="0.25">
      <c r="E1261" t="str">
        <f>""</f>
        <v/>
      </c>
      <c r="F1261" t="str">
        <f>""</f>
        <v/>
      </c>
      <c r="H1261" t="str">
        <f>"Maintenance"</f>
        <v>Maintenance</v>
      </c>
    </row>
    <row r="1262" spans="1:8" x14ac:dyDescent="0.25">
      <c r="A1262" t="s">
        <v>317</v>
      </c>
      <c r="B1262">
        <v>131623</v>
      </c>
      <c r="C1262" s="5">
        <v>189.31</v>
      </c>
      <c r="D1262" s="1">
        <v>43934</v>
      </c>
      <c r="E1262" t="str">
        <f>"10298842"</f>
        <v>10298842</v>
      </c>
      <c r="F1262" t="str">
        <f>"ACCT#00010699-4"</f>
        <v>ACCT#00010699-4</v>
      </c>
      <c r="G1262" s="5">
        <v>189.31</v>
      </c>
      <c r="H1262" t="str">
        <f>"ACCT#00010699-4"</f>
        <v>ACCT#00010699-4</v>
      </c>
    </row>
    <row r="1263" spans="1:8" x14ac:dyDescent="0.25">
      <c r="A1263" t="s">
        <v>318</v>
      </c>
      <c r="B1263">
        <v>131757</v>
      </c>
      <c r="C1263" s="5">
        <v>118.5</v>
      </c>
      <c r="D1263" s="1">
        <v>43948</v>
      </c>
      <c r="E1263" t="str">
        <f>"0320-DR14926"</f>
        <v>0320-DR14926</v>
      </c>
      <c r="F1263" t="str">
        <f>"CLIENT ID:CXD 14926"</f>
        <v>CLIENT ID:CXD 14926</v>
      </c>
      <c r="G1263" s="5">
        <v>118.5</v>
      </c>
      <c r="H1263" t="str">
        <f>"CLIENT ID:CXD 14926"</f>
        <v>CLIENT ID:CXD 14926</v>
      </c>
    </row>
    <row r="1264" spans="1:8" x14ac:dyDescent="0.25">
      <c r="A1264" t="s">
        <v>319</v>
      </c>
      <c r="B1264">
        <v>2419</v>
      </c>
      <c r="C1264" s="5">
        <v>7385.57</v>
      </c>
      <c r="D1264" s="1">
        <v>43935</v>
      </c>
      <c r="E1264" t="str">
        <f>"18447"</f>
        <v>18447</v>
      </c>
      <c r="F1264" t="str">
        <f>"COLD MIX / PCT#3"</f>
        <v>COLD MIX / PCT#3</v>
      </c>
      <c r="G1264" s="5">
        <v>2734.22</v>
      </c>
      <c r="H1264" t="str">
        <f>"COLD MIX / PCT#3"</f>
        <v>COLD MIX / PCT#3</v>
      </c>
    </row>
    <row r="1265" spans="1:8" x14ac:dyDescent="0.25">
      <c r="E1265" t="str">
        <f>"18501"</f>
        <v>18501</v>
      </c>
      <c r="F1265" t="str">
        <f>"COLD MIX/PCT#1"</f>
        <v>COLD MIX/PCT#1</v>
      </c>
      <c r="G1265" s="5">
        <v>2037.8</v>
      </c>
      <c r="H1265" t="str">
        <f>"COLD MIX/PCT#1"</f>
        <v>COLD MIX/PCT#1</v>
      </c>
    </row>
    <row r="1266" spans="1:8" x14ac:dyDescent="0.25">
      <c r="E1266" t="str">
        <f>"18502"</f>
        <v>18502</v>
      </c>
      <c r="F1266" t="str">
        <f>"COLD MIX/FREIGHT/PCT#4"</f>
        <v>COLD MIX/FREIGHT/PCT#4</v>
      </c>
      <c r="G1266" s="5">
        <v>2613.5500000000002</v>
      </c>
      <c r="H1266" t="str">
        <f>"COLD MIX/FREIGHT/PCT#4"</f>
        <v>COLD MIX/FREIGHT/PCT#4</v>
      </c>
    </row>
    <row r="1267" spans="1:8" x14ac:dyDescent="0.25">
      <c r="A1267" t="s">
        <v>319</v>
      </c>
      <c r="B1267">
        <v>2493</v>
      </c>
      <c r="C1267" s="5">
        <v>1845.52</v>
      </c>
      <c r="D1267" s="1">
        <v>43949</v>
      </c>
      <c r="E1267" t="str">
        <f>"18640"</f>
        <v>18640</v>
      </c>
      <c r="F1267" t="str">
        <f>"COLD MIX / PCT#1"</f>
        <v>COLD MIX / PCT#1</v>
      </c>
      <c r="G1267" s="5">
        <v>1845.52</v>
      </c>
      <c r="H1267" t="str">
        <f>"COLD MIX / PCT#1"</f>
        <v>COLD MIX / PCT#1</v>
      </c>
    </row>
    <row r="1268" spans="1:8" x14ac:dyDescent="0.25">
      <c r="A1268" t="s">
        <v>320</v>
      </c>
      <c r="B1268">
        <v>131476</v>
      </c>
      <c r="C1268" s="5">
        <v>24930.880000000001</v>
      </c>
      <c r="D1268" s="1">
        <v>43930</v>
      </c>
      <c r="E1268" t="str">
        <f>"10440631"</f>
        <v>10440631</v>
      </c>
      <c r="F1268" t="str">
        <f>"ACCT#5150-005117630/04012020"</f>
        <v>ACCT#5150-005117630/04012020</v>
      </c>
      <c r="G1268" s="5">
        <v>262.81</v>
      </c>
      <c r="H1268" t="str">
        <f>"ACCT#5150-005117630/04012020"</f>
        <v>ACCT#5150-005117630/04012020</v>
      </c>
    </row>
    <row r="1269" spans="1:8" x14ac:dyDescent="0.25">
      <c r="E1269" t="str">
        <f>"10440638"</f>
        <v>10440638</v>
      </c>
      <c r="F1269" t="str">
        <f>"ACCT#5150-005117766/04012020"</f>
        <v>ACCT#5150-005117766/04012020</v>
      </c>
      <c r="G1269" s="5">
        <v>115.36</v>
      </c>
      <c r="H1269" t="str">
        <f>"ACCT#5150-005117766/04012020"</f>
        <v>ACCT#5150-005117766/04012020</v>
      </c>
    </row>
    <row r="1270" spans="1:8" x14ac:dyDescent="0.25">
      <c r="E1270" t="str">
        <f>"10440643"</f>
        <v>10440643</v>
      </c>
      <c r="F1270" t="str">
        <f>"ACCT#5150-005117838/04012020"</f>
        <v>ACCT#5150-005117838/04012020</v>
      </c>
      <c r="G1270" s="5">
        <v>106.76</v>
      </c>
      <c r="H1270" t="str">
        <f>"ACCT#5150-005117838/04012020"</f>
        <v>ACCT#5150-005117838/04012020</v>
      </c>
    </row>
    <row r="1271" spans="1:8" x14ac:dyDescent="0.25">
      <c r="E1271" t="str">
        <f>"10440645"</f>
        <v>10440645</v>
      </c>
      <c r="F1271" t="str">
        <f>"ACCT#5150-005117882/04012020"</f>
        <v>ACCT#5150-005117882/04012020</v>
      </c>
      <c r="G1271" s="5">
        <v>144.19</v>
      </c>
      <c r="H1271" t="str">
        <f>"ACCT#5150-005117882/04012020"</f>
        <v>ACCT#5150-005117882/04012020</v>
      </c>
    </row>
    <row r="1272" spans="1:8" x14ac:dyDescent="0.25">
      <c r="E1272" t="str">
        <f>"10440653"</f>
        <v>10440653</v>
      </c>
      <c r="F1272" t="str">
        <f>"ACCT#5150-005118183/04012020"</f>
        <v>ACCT#5150-005118183/04012020</v>
      </c>
      <c r="G1272" s="5">
        <v>618.96</v>
      </c>
      <c r="H1272" t="str">
        <f>"ACCT#5150-005118183/04012020"</f>
        <v>ACCT#5150-005118183/04012020</v>
      </c>
    </row>
    <row r="1273" spans="1:8" x14ac:dyDescent="0.25">
      <c r="E1273" t="str">
        <f>"10440689"</f>
        <v>10440689</v>
      </c>
      <c r="F1273" t="str">
        <f>"ACCT#5150-005129483/04012020"</f>
        <v>ACCT#5150-005129483/04012020</v>
      </c>
      <c r="G1273" s="5">
        <v>23572.5</v>
      </c>
      <c r="H1273" t="str">
        <f>"ACCT#5150-005129483/04012020"</f>
        <v>ACCT#5150-005129483/04012020</v>
      </c>
    </row>
    <row r="1274" spans="1:8" x14ac:dyDescent="0.25">
      <c r="E1274" t="str">
        <f>"10445102"</f>
        <v>10445102</v>
      </c>
      <c r="F1274" t="str">
        <f>"ACCT#5150-16203415/04012020"</f>
        <v>ACCT#5150-16203415/04012020</v>
      </c>
      <c r="G1274" s="5">
        <v>81.94</v>
      </c>
      <c r="H1274" t="str">
        <f>"ACCT#5150-16203415/04012020"</f>
        <v>ACCT#5150-16203415/04012020</v>
      </c>
    </row>
    <row r="1275" spans="1:8" x14ac:dyDescent="0.25">
      <c r="E1275" t="str">
        <f>"10445103"</f>
        <v>10445103</v>
      </c>
      <c r="F1275" t="str">
        <f>"ACCT#5150-16203417/04012020"</f>
        <v>ACCT#5150-16203417/04012020</v>
      </c>
      <c r="G1275" s="5">
        <v>28.36</v>
      </c>
      <c r="H1275" t="str">
        <f>"ACCT#5150-16203417/04012020"</f>
        <v>ACCT#5150-16203417/04012020</v>
      </c>
    </row>
    <row r="1276" spans="1:8" x14ac:dyDescent="0.25">
      <c r="A1276" t="s">
        <v>320</v>
      </c>
      <c r="B1276">
        <v>131624</v>
      </c>
      <c r="C1276" s="5">
        <v>862.6</v>
      </c>
      <c r="D1276" s="1">
        <v>43934</v>
      </c>
      <c r="E1276" t="str">
        <f>"10440780"</f>
        <v>10440780</v>
      </c>
      <c r="F1276" t="str">
        <f>"ACCT#5150-005150524/PCT#1"</f>
        <v>ACCT#5150-005150524/PCT#1</v>
      </c>
      <c r="G1276" s="5">
        <v>862.6</v>
      </c>
      <c r="H1276" t="str">
        <f>"ACCT#5150-005150524/PCT#1"</f>
        <v>ACCT#5150-005150524/PCT#1</v>
      </c>
    </row>
    <row r="1277" spans="1:8" x14ac:dyDescent="0.25">
      <c r="A1277" t="s">
        <v>321</v>
      </c>
      <c r="B1277">
        <v>131625</v>
      </c>
      <c r="C1277" s="5">
        <v>5348.69</v>
      </c>
      <c r="D1277" s="1">
        <v>43934</v>
      </c>
      <c r="E1277" t="str">
        <f>"0026393-2161-7"</f>
        <v>0026393-2161-7</v>
      </c>
      <c r="F1277" t="str">
        <f>"CUST ID:2-57060-55062/PCT#4"</f>
        <v>CUST ID:2-57060-55062/PCT#4</v>
      </c>
      <c r="G1277" s="5">
        <v>4828.8500000000004</v>
      </c>
      <c r="H1277" t="str">
        <f>"CUST ID:2-57060-55062/PCT#4"</f>
        <v>CUST ID:2-57060-55062/PCT#4</v>
      </c>
    </row>
    <row r="1278" spans="1:8" x14ac:dyDescent="0.25">
      <c r="E1278" t="str">
        <f>"0040437-2162-2"</f>
        <v>0040437-2162-2</v>
      </c>
      <c r="F1278" t="str">
        <f>"CUST ID:16-27603-83003"</f>
        <v>CUST ID:16-27603-83003</v>
      </c>
      <c r="G1278" s="5">
        <v>115.66</v>
      </c>
      <c r="H1278" t="str">
        <f>"CUST ID:16-27603-83003"</f>
        <v>CUST ID:16-27603-83003</v>
      </c>
    </row>
    <row r="1279" spans="1:8" x14ac:dyDescent="0.25">
      <c r="E1279" t="str">
        <f>"0078675-2161-4"</f>
        <v>0078675-2161-4</v>
      </c>
      <c r="F1279" t="str">
        <f>"CUST ID:2-56581-95066"</f>
        <v>CUST ID:2-56581-95066</v>
      </c>
      <c r="G1279" s="5">
        <v>404.18</v>
      </c>
      <c r="H1279" t="str">
        <f>"CUST ID:2-56581-95066"</f>
        <v>CUST ID:2-56581-95066</v>
      </c>
    </row>
    <row r="1280" spans="1:8" x14ac:dyDescent="0.25">
      <c r="A1280" t="s">
        <v>322</v>
      </c>
      <c r="B1280">
        <v>131626</v>
      </c>
      <c r="C1280" s="5">
        <v>1515</v>
      </c>
      <c r="D1280" s="1">
        <v>43934</v>
      </c>
      <c r="E1280" t="str">
        <f>"BCMINV0009280"</f>
        <v>BCMINV0009280</v>
      </c>
      <c r="F1280" t="str">
        <f>"INV BCMINV0009280"</f>
        <v>INV BCMINV0009280</v>
      </c>
      <c r="G1280" s="5">
        <v>1515</v>
      </c>
      <c r="H1280" t="str">
        <f>"INV BCMINV0009280"</f>
        <v>INV BCMINV0009280</v>
      </c>
    </row>
    <row r="1281" spans="1:8" x14ac:dyDescent="0.25">
      <c r="A1281" t="s">
        <v>323</v>
      </c>
      <c r="B1281">
        <v>131627</v>
      </c>
      <c r="C1281" s="5">
        <v>1511.43</v>
      </c>
      <c r="D1281" s="1">
        <v>43934</v>
      </c>
      <c r="E1281" t="str">
        <f>"2958501"</f>
        <v>2958501</v>
      </c>
      <c r="F1281" t="str">
        <f>"INV 2958501"</f>
        <v>INV 2958501</v>
      </c>
      <c r="G1281" s="5">
        <v>1511.43</v>
      </c>
      <c r="H1281" t="str">
        <f>"INV 2958501"</f>
        <v>INV 2958501</v>
      </c>
    </row>
    <row r="1282" spans="1:8" x14ac:dyDescent="0.25">
      <c r="E1282" t="str">
        <f>""</f>
        <v/>
      </c>
      <c r="F1282" t="str">
        <f>""</f>
        <v/>
      </c>
      <c r="H1282" t="str">
        <f>"SHIPPING"</f>
        <v>SHIPPING</v>
      </c>
    </row>
    <row r="1283" spans="1:8" x14ac:dyDescent="0.25">
      <c r="A1283" t="s">
        <v>324</v>
      </c>
      <c r="B1283">
        <v>2426</v>
      </c>
      <c r="C1283" s="5">
        <v>265</v>
      </c>
      <c r="D1283" s="1">
        <v>43935</v>
      </c>
      <c r="E1283" t="str">
        <f>"4962"</f>
        <v>4962</v>
      </c>
      <c r="F1283" t="str">
        <f>"INV 4962"</f>
        <v>INV 4962</v>
      </c>
      <c r="G1283" s="5">
        <v>265</v>
      </c>
      <c r="H1283" t="str">
        <f>"INV 4962"</f>
        <v>INV 4962</v>
      </c>
    </row>
    <row r="1284" spans="1:8" x14ac:dyDescent="0.25">
      <c r="A1284" t="s">
        <v>325</v>
      </c>
      <c r="B1284">
        <v>2496</v>
      </c>
      <c r="C1284" s="5">
        <v>18338.759999999998</v>
      </c>
      <c r="D1284" s="1">
        <v>43949</v>
      </c>
      <c r="E1284" t="str">
        <f>"24457"</f>
        <v>24457</v>
      </c>
      <c r="F1284" t="str">
        <f>"INV 24457"</f>
        <v>INV 24457</v>
      </c>
      <c r="G1284" s="5">
        <v>18338.759999999998</v>
      </c>
      <c r="H1284" t="str">
        <f>"INV 24457"</f>
        <v>INV 24457</v>
      </c>
    </row>
    <row r="1285" spans="1:8" x14ac:dyDescent="0.25">
      <c r="A1285" t="s">
        <v>326</v>
      </c>
      <c r="B1285">
        <v>131758</v>
      </c>
      <c r="C1285" s="5">
        <v>70</v>
      </c>
      <c r="D1285" s="1">
        <v>43948</v>
      </c>
      <c r="E1285" t="str">
        <f>"12929"</f>
        <v>12929</v>
      </c>
      <c r="F1285" t="str">
        <f>"SERVICE"</f>
        <v>SERVICE</v>
      </c>
      <c r="G1285" s="5">
        <v>70</v>
      </c>
      <c r="H1285" t="str">
        <f>"SERVICE"</f>
        <v>SERVICE</v>
      </c>
    </row>
    <row r="1286" spans="1:8" x14ac:dyDescent="0.25">
      <c r="A1286" t="s">
        <v>327</v>
      </c>
      <c r="B1286">
        <v>131628</v>
      </c>
      <c r="C1286" s="5">
        <v>13538.4</v>
      </c>
      <c r="D1286" s="1">
        <v>43934</v>
      </c>
      <c r="E1286" t="str">
        <f>"80958  80948"</f>
        <v>80958  80948</v>
      </c>
      <c r="F1286" t="str">
        <f>"Arched Pipes"</f>
        <v>Arched Pipes</v>
      </c>
      <c r="G1286" s="5">
        <v>13538.4</v>
      </c>
      <c r="H1286" t="str">
        <f>"36x40"</f>
        <v>36x40</v>
      </c>
    </row>
    <row r="1287" spans="1:8" x14ac:dyDescent="0.25">
      <c r="E1287" t="str">
        <f>""</f>
        <v/>
      </c>
      <c r="F1287" t="str">
        <f>""</f>
        <v/>
      </c>
      <c r="H1287" t="str">
        <f>"48x40"</f>
        <v>48x40</v>
      </c>
    </row>
    <row r="1288" spans="1:8" x14ac:dyDescent="0.25">
      <c r="A1288" t="s">
        <v>328</v>
      </c>
      <c r="B1288">
        <v>131629</v>
      </c>
      <c r="C1288" s="5">
        <v>3279.8</v>
      </c>
      <c r="D1288" s="1">
        <v>43934</v>
      </c>
      <c r="E1288" t="str">
        <f>"9220-033120"</f>
        <v>9220-033120</v>
      </c>
      <c r="F1288" t="str">
        <f>"UPS Maintenance- 9155"</f>
        <v>UPS Maintenance- 9155</v>
      </c>
      <c r="G1288" s="5">
        <v>2026.8</v>
      </c>
      <c r="H1288" t="str">
        <f>"FA394FBB15"</f>
        <v>FA394FBB15</v>
      </c>
    </row>
    <row r="1289" spans="1:8" x14ac:dyDescent="0.25">
      <c r="E1289" t="str">
        <f>""</f>
        <v/>
      </c>
      <c r="F1289" t="str">
        <f>""</f>
        <v/>
      </c>
      <c r="H1289" t="str">
        <f>"FA411FBB07"</f>
        <v>FA411FBB07</v>
      </c>
    </row>
    <row r="1290" spans="1:8" x14ac:dyDescent="0.25">
      <c r="E1290" t="str">
        <f>"9221-033120"</f>
        <v>9221-033120</v>
      </c>
      <c r="F1290" t="str">
        <f>"UPS Maintenance- 9330"</f>
        <v>UPS Maintenance- 9330</v>
      </c>
      <c r="G1290" s="5">
        <v>1253</v>
      </c>
      <c r="H1290" t="str">
        <f>"EX513AXX10"</f>
        <v>EX513AXX10</v>
      </c>
    </row>
    <row r="1291" spans="1:8" x14ac:dyDescent="0.25">
      <c r="A1291" t="s">
        <v>329</v>
      </c>
      <c r="B1291">
        <v>131630</v>
      </c>
      <c r="C1291" s="5">
        <v>105.99</v>
      </c>
      <c r="D1291" s="1">
        <v>43934</v>
      </c>
      <c r="E1291" t="str">
        <f>"9005044123"</f>
        <v>9005044123</v>
      </c>
      <c r="F1291" t="str">
        <f>"CUST # 31041143 / PCT #2"</f>
        <v>CUST # 31041143 / PCT #2</v>
      </c>
      <c r="G1291" s="5">
        <v>105.99</v>
      </c>
      <c r="H1291" t="str">
        <f>"CUST # 31041143 / PCT #2"</f>
        <v>CUST # 31041143 / PCT #2</v>
      </c>
    </row>
    <row r="1292" spans="1:8" x14ac:dyDescent="0.25">
      <c r="A1292" t="s">
        <v>330</v>
      </c>
      <c r="B1292">
        <v>131631</v>
      </c>
      <c r="C1292" s="5">
        <v>2010.2</v>
      </c>
      <c r="D1292" s="1">
        <v>43934</v>
      </c>
      <c r="E1292" t="str">
        <f>"9010068628"</f>
        <v>9010068628</v>
      </c>
      <c r="F1292" t="str">
        <f>"CUST#2000053103/ANIMAL SHELTER"</f>
        <v>CUST#2000053103/ANIMAL SHELTER</v>
      </c>
      <c r="G1292" s="5">
        <v>555</v>
      </c>
      <c r="H1292" t="str">
        <f>"CUST#2000053103/ANIMAL SHELTER"</f>
        <v>CUST#2000053103/ANIMAL SHELTER</v>
      </c>
    </row>
    <row r="1293" spans="1:8" x14ac:dyDescent="0.25">
      <c r="E1293" t="str">
        <f>"9010154600"</f>
        <v>9010154600</v>
      </c>
      <c r="F1293" t="str">
        <f>"CUST#2000053103/ANIMAL SHELTER"</f>
        <v>CUST#2000053103/ANIMAL SHELTER</v>
      </c>
      <c r="G1293" s="5">
        <v>962.4</v>
      </c>
      <c r="H1293" t="str">
        <f>"CUST#2000053103/ANIMAL SHELTER"</f>
        <v>CUST#2000053103/ANIMAL SHELTER</v>
      </c>
    </row>
    <row r="1294" spans="1:8" x14ac:dyDescent="0.25">
      <c r="E1294" t="str">
        <f>"9010179111"</f>
        <v>9010179111</v>
      </c>
      <c r="F1294" t="str">
        <f>"CUST#2000053103/ANIMAL SHELTER"</f>
        <v>CUST#2000053103/ANIMAL SHELTER</v>
      </c>
      <c r="G1294" s="5">
        <v>492.8</v>
      </c>
      <c r="H1294" t="str">
        <f>"CUST#2000053103/ANIMAL SHELTER"</f>
        <v>CUST#2000053103/ANIMAL SHELTER</v>
      </c>
    </row>
    <row r="1295" spans="1:8" x14ac:dyDescent="0.25">
      <c r="A1295" t="s">
        <v>330</v>
      </c>
      <c r="B1295">
        <v>131759</v>
      </c>
      <c r="C1295" s="5">
        <v>584.1</v>
      </c>
      <c r="D1295" s="1">
        <v>43948</v>
      </c>
      <c r="E1295" t="str">
        <f>"9010229538"</f>
        <v>9010229538</v>
      </c>
      <c r="F1295" t="str">
        <f>"CUST#2000053103/ANIMAL SHELTER"</f>
        <v>CUST#2000053103/ANIMAL SHELTER</v>
      </c>
      <c r="G1295" s="5">
        <v>584.1</v>
      </c>
      <c r="H1295" t="str">
        <f>"CUST#2000053103/ANIMAL SHELTER"</f>
        <v>CUST#2000053103/ANIMAL SHELTER</v>
      </c>
    </row>
    <row r="1296" spans="1:8" x14ac:dyDescent="0.25">
      <c r="A1296" t="s">
        <v>11</v>
      </c>
      <c r="B1296">
        <v>2476</v>
      </c>
      <c r="C1296" s="5">
        <v>2206.16</v>
      </c>
      <c r="D1296" s="1">
        <v>43935</v>
      </c>
      <c r="E1296" t="str">
        <f>"9725-004-115107"</f>
        <v>9725-004-115107</v>
      </c>
      <c r="F1296" t="str">
        <f>"ACCT#9725-004/REC BASE/PCT#2"</f>
        <v>ACCT#9725-004/REC BASE/PCT#2</v>
      </c>
      <c r="G1296" s="5">
        <v>1372.81</v>
      </c>
      <c r="H1296" t="str">
        <f>"ACCT#9725-004/REC BASE/PCT#2"</f>
        <v>ACCT#9725-004/REC BASE/PCT#2</v>
      </c>
    </row>
    <row r="1297" spans="1:8" x14ac:dyDescent="0.25">
      <c r="E1297" t="str">
        <f>"9725-004-115127"</f>
        <v>9725-004-115127</v>
      </c>
      <c r="F1297" t="str">
        <f>"ACCT#9725-004/REC BASE"</f>
        <v>ACCT#9725-004/REC BASE</v>
      </c>
      <c r="G1297" s="5">
        <v>833.35</v>
      </c>
      <c r="H1297" t="str">
        <f>"ACCT#9725-004/REC BASE"</f>
        <v>ACCT#9725-004/REC BASE</v>
      </c>
    </row>
    <row r="1298" spans="1:8" x14ac:dyDescent="0.25">
      <c r="A1298" t="s">
        <v>31</v>
      </c>
      <c r="B1298">
        <v>131632</v>
      </c>
      <c r="C1298" s="5">
        <v>18</v>
      </c>
      <c r="D1298" s="1">
        <v>43934</v>
      </c>
      <c r="E1298" t="str">
        <f>"202004076238"</f>
        <v>202004076238</v>
      </c>
      <c r="F1298" t="str">
        <f>"ACCT#015397/JUVENILE BOOT CAMP"</f>
        <v>ACCT#015397/JUVENILE BOOT CAMP</v>
      </c>
      <c r="G1298" s="5">
        <v>18</v>
      </c>
      <c r="H1298" t="str">
        <f>"ACCT#015397/JUVENILE BOOT CAMP"</f>
        <v>ACCT#015397/JUVENILE BOOT CAMP</v>
      </c>
    </row>
    <row r="1299" spans="1:8" x14ac:dyDescent="0.25">
      <c r="A1299" t="s">
        <v>331</v>
      </c>
      <c r="B1299">
        <v>131760</v>
      </c>
      <c r="C1299" s="5">
        <v>474.5</v>
      </c>
      <c r="D1299" s="1">
        <v>43948</v>
      </c>
      <c r="E1299" t="str">
        <f>"7740"</f>
        <v>7740</v>
      </c>
      <c r="F1299" t="str">
        <f>"Floor Signs &amp; Bleach Sign"</f>
        <v>Floor Signs &amp; Bleach Sign</v>
      </c>
      <c r="G1299" s="5">
        <v>474.5</v>
      </c>
      <c r="H1299" t="str">
        <f>"Floor Signs"</f>
        <v>Floor Signs</v>
      </c>
    </row>
    <row r="1300" spans="1:8" x14ac:dyDescent="0.25">
      <c r="E1300" t="str">
        <f>""</f>
        <v/>
      </c>
      <c r="F1300" t="str">
        <f>""</f>
        <v/>
      </c>
      <c r="H1300" t="str">
        <f>"Bleach Signs"</f>
        <v>Bleach Signs</v>
      </c>
    </row>
    <row r="1301" spans="1:8" x14ac:dyDescent="0.25">
      <c r="A1301" t="s">
        <v>332</v>
      </c>
      <c r="B1301">
        <v>131761</v>
      </c>
      <c r="C1301" s="5">
        <v>10000</v>
      </c>
      <c r="D1301" s="1">
        <v>43948</v>
      </c>
      <c r="E1301" t="str">
        <f>"202004216552"</f>
        <v>202004216552</v>
      </c>
      <c r="F1301" t="str">
        <f>"Rmng Amt; project 19-7355"</f>
        <v>Rmng Amt; project 19-7355</v>
      </c>
      <c r="G1301" s="5">
        <v>10000</v>
      </c>
      <c r="H1301" t="str">
        <f>"Rmng Amt; project 19-7355"</f>
        <v>Rmng Amt; project 19-7355</v>
      </c>
    </row>
    <row r="1302" spans="1:8" x14ac:dyDescent="0.25">
      <c r="A1302" t="s">
        <v>63</v>
      </c>
      <c r="B1302">
        <v>131641</v>
      </c>
      <c r="C1302" s="5">
        <v>230.44</v>
      </c>
      <c r="D1302" s="1">
        <v>43936</v>
      </c>
      <c r="E1302" t="str">
        <f>"202004156437"</f>
        <v>202004156437</v>
      </c>
      <c r="F1302" t="str">
        <f>"ACCT#5000057374 / 04052020"</f>
        <v>ACCT#5000057374 / 04052020</v>
      </c>
      <c r="G1302" s="5">
        <v>230.44</v>
      </c>
      <c r="H1302" t="str">
        <f>"ACCT#5000057374 / 04052020"</f>
        <v>ACCT#5000057374 / 04052020</v>
      </c>
    </row>
    <row r="1303" spans="1:8" x14ac:dyDescent="0.25">
      <c r="A1303" t="s">
        <v>71</v>
      </c>
      <c r="B1303">
        <v>473</v>
      </c>
      <c r="C1303" s="5">
        <v>860.51</v>
      </c>
      <c r="D1303" s="1">
        <v>43934</v>
      </c>
      <c r="E1303" t="str">
        <f>"202004086365"</f>
        <v>202004086365</v>
      </c>
      <c r="F1303" t="str">
        <f>"acct# 0058"</f>
        <v>acct# 0058</v>
      </c>
      <c r="G1303" s="5">
        <v>860.51</v>
      </c>
      <c r="H1303" t="str">
        <f>"Amazon"</f>
        <v>Amazon</v>
      </c>
    </row>
    <row r="1304" spans="1:8" x14ac:dyDescent="0.25">
      <c r="E1304" t="str">
        <f>""</f>
        <v/>
      </c>
      <c r="F1304" t="str">
        <f>""</f>
        <v/>
      </c>
      <c r="H1304" t="str">
        <f>"Lowes"</f>
        <v>Lowes</v>
      </c>
    </row>
    <row r="1305" spans="1:8" x14ac:dyDescent="0.25">
      <c r="E1305" t="str">
        <f>""</f>
        <v/>
      </c>
      <c r="F1305" t="str">
        <f>""</f>
        <v/>
      </c>
      <c r="H1305" t="str">
        <f>"lowes"</f>
        <v>lowes</v>
      </c>
    </row>
    <row r="1306" spans="1:8" x14ac:dyDescent="0.25">
      <c r="E1306" t="str">
        <f>""</f>
        <v/>
      </c>
      <c r="F1306" t="str">
        <f>""</f>
        <v/>
      </c>
      <c r="H1306" t="str">
        <f>"Lowes"</f>
        <v>Lowes</v>
      </c>
    </row>
    <row r="1307" spans="1:8" x14ac:dyDescent="0.25">
      <c r="E1307" t="str">
        <f>""</f>
        <v/>
      </c>
      <c r="F1307" t="str">
        <f>""</f>
        <v/>
      </c>
      <c r="H1307" t="str">
        <f>"Walmart"</f>
        <v>Walmart</v>
      </c>
    </row>
    <row r="1308" spans="1:8" x14ac:dyDescent="0.25">
      <c r="E1308" t="str">
        <f>""</f>
        <v/>
      </c>
      <c r="F1308" t="str">
        <f>""</f>
        <v/>
      </c>
      <c r="H1308" t="str">
        <f>"Home Depot"</f>
        <v>Home Depot</v>
      </c>
    </row>
    <row r="1309" spans="1:8" x14ac:dyDescent="0.25">
      <c r="E1309" t="str">
        <f>""</f>
        <v/>
      </c>
      <c r="F1309" t="str">
        <f>""</f>
        <v/>
      </c>
      <c r="H1309" t="str">
        <f>"Home Depot"</f>
        <v>Home Depot</v>
      </c>
    </row>
    <row r="1310" spans="1:8" x14ac:dyDescent="0.25">
      <c r="A1310" t="s">
        <v>333</v>
      </c>
      <c r="B1310">
        <v>131633</v>
      </c>
      <c r="C1310" s="5">
        <v>783094.26</v>
      </c>
      <c r="D1310" s="1">
        <v>43934</v>
      </c>
      <c r="E1310" t="str">
        <f>"PAY APP 2"</f>
        <v>PAY APP 2</v>
      </c>
      <c r="F1310" t="str">
        <f>"PROJECT NO: 20-19073"</f>
        <v>PROJECT NO: 20-19073</v>
      </c>
      <c r="G1310" s="5">
        <v>783094.26</v>
      </c>
      <c r="H1310" t="str">
        <f>"PROJECT NO: 20-19073"</f>
        <v>PROJECT NO: 20-19073</v>
      </c>
    </row>
    <row r="1311" spans="1:8" x14ac:dyDescent="0.25">
      <c r="A1311" t="s">
        <v>87</v>
      </c>
      <c r="B1311">
        <v>131643</v>
      </c>
      <c r="C1311" s="5">
        <v>3961.18</v>
      </c>
      <c r="D1311" s="1">
        <v>43939</v>
      </c>
      <c r="E1311" t="str">
        <f>"202004186442"</f>
        <v>202004186442</v>
      </c>
      <c r="F1311" t="str">
        <f>"ACCT#72-5613 / 04032020"</f>
        <v>ACCT#72-5613 / 04032020</v>
      </c>
      <c r="G1311" s="5">
        <v>3961.18</v>
      </c>
      <c r="H1311" t="str">
        <f>"ACCT#72-5613 / 04032020"</f>
        <v>ACCT#72-5613 / 04032020</v>
      </c>
    </row>
    <row r="1312" spans="1:8" x14ac:dyDescent="0.25">
      <c r="A1312" t="s">
        <v>109</v>
      </c>
      <c r="B1312">
        <v>131634</v>
      </c>
      <c r="C1312" s="5">
        <v>6091.92</v>
      </c>
      <c r="D1312" s="1">
        <v>43934</v>
      </c>
      <c r="E1312" t="str">
        <f>"10380233066"</f>
        <v>10380233066</v>
      </c>
      <c r="F1312" t="str">
        <f>"OEM Laptops"</f>
        <v>OEM Laptops</v>
      </c>
      <c r="G1312" s="5">
        <v>6091.92</v>
      </c>
      <c r="H1312" t="str">
        <f>"Dell Latitude 5500"</f>
        <v>Dell Latitude 5500</v>
      </c>
    </row>
    <row r="1313" spans="1:8" x14ac:dyDescent="0.25">
      <c r="A1313" t="s">
        <v>334</v>
      </c>
      <c r="B1313">
        <v>131762</v>
      </c>
      <c r="C1313" s="5">
        <v>15000</v>
      </c>
      <c r="D1313" s="1">
        <v>43948</v>
      </c>
      <c r="E1313" t="str">
        <f>"202004226561"</f>
        <v>202004226561</v>
      </c>
      <c r="F1313" t="str">
        <f>"03/16/20-04/16/20 MEDICAL ADV"</f>
        <v>03/16/20-04/16/20 MEDICAL ADV</v>
      </c>
      <c r="G1313" s="5">
        <v>15000</v>
      </c>
      <c r="H1313" t="str">
        <f>"03/16/20-04/16/20 MEDICAL ADV"</f>
        <v>03/16/20-04/16/20 MEDICAL ADV</v>
      </c>
    </row>
    <row r="1314" spans="1:8" x14ac:dyDescent="0.25">
      <c r="A1314" t="s">
        <v>334</v>
      </c>
      <c r="B1314">
        <v>131764</v>
      </c>
      <c r="C1314" s="5">
        <v>1198.03</v>
      </c>
      <c r="D1314" s="1">
        <v>43948</v>
      </c>
      <c r="E1314" t="str">
        <f>"202004276600"</f>
        <v>202004276600</v>
      </c>
      <c r="F1314" t="str">
        <f>"REIMBURSEMENT FOR PPE"</f>
        <v>REIMBURSEMENT FOR PPE</v>
      </c>
      <c r="G1314" s="5">
        <v>1198.03</v>
      </c>
      <c r="H1314" t="str">
        <f>"REIMBURSEMENT FOR PPE"</f>
        <v>REIMBURSEMENT FOR PPE</v>
      </c>
    </row>
    <row r="1315" spans="1:8" x14ac:dyDescent="0.25">
      <c r="A1315" t="s">
        <v>335</v>
      </c>
      <c r="B1315">
        <v>131635</v>
      </c>
      <c r="C1315" s="5">
        <v>5375</v>
      </c>
      <c r="D1315" s="1">
        <v>43934</v>
      </c>
      <c r="E1315" t="str">
        <f>"202004036171"</f>
        <v>202004036171</v>
      </c>
      <c r="F1315" t="str">
        <f>"30X30 Tent Rental"</f>
        <v>30X30 Tent Rental</v>
      </c>
      <c r="G1315" s="5">
        <v>5375</v>
      </c>
      <c r="H1315" t="str">
        <f>"30X30 Tent Rental"</f>
        <v>30X30 Tent Rental</v>
      </c>
    </row>
    <row r="1316" spans="1:8" x14ac:dyDescent="0.25">
      <c r="E1316" t="str">
        <f>""</f>
        <v/>
      </c>
      <c r="F1316" t="str">
        <f>""</f>
        <v/>
      </c>
      <c r="H1316" t="str">
        <f>"50 Gallon Water"</f>
        <v>50 Gallon Water</v>
      </c>
    </row>
    <row r="1317" spans="1:8" x14ac:dyDescent="0.25">
      <c r="E1317" t="str">
        <f>""</f>
        <v/>
      </c>
      <c r="F1317" t="str">
        <f>""</f>
        <v/>
      </c>
      <c r="H1317" t="str">
        <f>"Tent Wall"</f>
        <v>Tent Wall</v>
      </c>
    </row>
    <row r="1318" spans="1:8" x14ac:dyDescent="0.25">
      <c r="E1318" t="str">
        <f>""</f>
        <v/>
      </c>
      <c r="F1318" t="str">
        <f>""</f>
        <v/>
      </c>
      <c r="H1318" t="str">
        <f>"Delivery Fee"</f>
        <v>Delivery Fee</v>
      </c>
    </row>
    <row r="1319" spans="1:8" x14ac:dyDescent="0.25">
      <c r="A1319" t="s">
        <v>336</v>
      </c>
      <c r="B1319">
        <v>131644</v>
      </c>
      <c r="C1319" s="5">
        <v>4900</v>
      </c>
      <c r="D1319" s="1">
        <v>43942</v>
      </c>
      <c r="E1319" t="str">
        <f>"202004216498"</f>
        <v>202004216498</v>
      </c>
      <c r="F1319" t="str">
        <f>"Lease Payment - COVID19"</f>
        <v>Lease Payment - COVID19</v>
      </c>
      <c r="G1319" s="5">
        <v>4900</v>
      </c>
      <c r="H1319" t="str">
        <f>"#207 - 30 Day Lease"</f>
        <v>#207 - 30 Day Lease</v>
      </c>
    </row>
    <row r="1320" spans="1:8" x14ac:dyDescent="0.25">
      <c r="E1320" t="str">
        <f>""</f>
        <v/>
      </c>
      <c r="F1320" t="str">
        <f>""</f>
        <v/>
      </c>
      <c r="H1320" t="str">
        <f>"#211 - 30 Day Lease"</f>
        <v>#211 - 30 Day Lease</v>
      </c>
    </row>
    <row r="1321" spans="1:8" x14ac:dyDescent="0.25">
      <c r="E1321" t="str">
        <f>""</f>
        <v/>
      </c>
      <c r="F1321" t="str">
        <f>""</f>
        <v/>
      </c>
      <c r="H1321" t="str">
        <f>"#212 - 30 Day Lease"</f>
        <v>#212 - 30 Day Lease</v>
      </c>
    </row>
    <row r="1322" spans="1:8" x14ac:dyDescent="0.25">
      <c r="E1322" t="str">
        <f>""</f>
        <v/>
      </c>
      <c r="F1322" t="str">
        <f>""</f>
        <v/>
      </c>
      <c r="H1322" t="str">
        <f>"#215 - 30 Day Lease"</f>
        <v>#215 - 30 Day Lease</v>
      </c>
    </row>
    <row r="1323" spans="1:8" x14ac:dyDescent="0.25">
      <c r="E1323" t="str">
        <f>""</f>
        <v/>
      </c>
      <c r="F1323" t="str">
        <f>""</f>
        <v/>
      </c>
      <c r="H1323" t="str">
        <f>"Security Deposit"</f>
        <v>Security Deposit</v>
      </c>
    </row>
    <row r="1324" spans="1:8" x14ac:dyDescent="0.25">
      <c r="A1324" t="s">
        <v>156</v>
      </c>
      <c r="B1324">
        <v>2478</v>
      </c>
      <c r="C1324" s="5">
        <v>132128</v>
      </c>
      <c r="D1324" s="1">
        <v>43935</v>
      </c>
      <c r="E1324" t="str">
        <f>"202004076231"</f>
        <v>202004076231</v>
      </c>
      <c r="F1324" t="str">
        <f>"BD HOLT CO"</f>
        <v>BD HOLT CO</v>
      </c>
      <c r="G1324" s="5">
        <v>132128</v>
      </c>
      <c r="H1324" t="str">
        <f>"2019 CAT Roller"</f>
        <v>2019 CAT Roller</v>
      </c>
    </row>
    <row r="1325" spans="1:8" x14ac:dyDescent="0.25">
      <c r="A1325" t="s">
        <v>337</v>
      </c>
      <c r="B1325">
        <v>131469</v>
      </c>
      <c r="C1325" s="5">
        <v>5000</v>
      </c>
      <c r="D1325" s="1">
        <v>43923</v>
      </c>
      <c r="E1325" t="str">
        <f>"335"</f>
        <v>335</v>
      </c>
      <c r="F1325" t="str">
        <f>"MOLD ASSESSMENT 03/23/2020"</f>
        <v>MOLD ASSESSMENT 03/23/2020</v>
      </c>
      <c r="G1325" s="5">
        <v>5000</v>
      </c>
      <c r="H1325" t="str">
        <f>"MOLD ASSESSMENT 03/23/2020"</f>
        <v>MOLD ASSESSMENT 03/23/2020</v>
      </c>
    </row>
    <row r="1326" spans="1:8" x14ac:dyDescent="0.25">
      <c r="A1326" t="s">
        <v>220</v>
      </c>
      <c r="B1326">
        <v>131636</v>
      </c>
      <c r="C1326" s="5">
        <v>160.22999999999999</v>
      </c>
      <c r="D1326" s="1">
        <v>43934</v>
      </c>
      <c r="E1326" t="str">
        <f>"202004086399"</f>
        <v>202004086399</v>
      </c>
      <c r="F1326" t="str">
        <f>"bill#14249896"</f>
        <v>bill#14249896</v>
      </c>
      <c r="G1326" s="5">
        <v>160.22999999999999</v>
      </c>
      <c r="H1326" t="str">
        <f>"Ord# 462007449001"</f>
        <v>Ord# 462007449001</v>
      </c>
    </row>
    <row r="1327" spans="1:8" x14ac:dyDescent="0.25">
      <c r="A1327" t="s">
        <v>252</v>
      </c>
      <c r="B1327">
        <v>131637</v>
      </c>
      <c r="C1327" s="5">
        <v>12534</v>
      </c>
      <c r="D1327" s="1">
        <v>43934</v>
      </c>
      <c r="E1327" t="str">
        <f>"GB00358460"</f>
        <v>GB00358460</v>
      </c>
      <c r="F1327" t="str">
        <f>"OEM Equipment"</f>
        <v>OEM Equipment</v>
      </c>
      <c r="G1327" s="5">
        <v>12534</v>
      </c>
      <c r="H1327" t="str">
        <f>"CP-8811-K9"</f>
        <v>CP-8811-K9</v>
      </c>
    </row>
    <row r="1328" spans="1:8" x14ac:dyDescent="0.25">
      <c r="E1328" t="str">
        <f>""</f>
        <v/>
      </c>
      <c r="F1328" t="str">
        <f>""</f>
        <v/>
      </c>
      <c r="H1328" t="str">
        <f>"MS225-24P-HW"</f>
        <v>MS225-24P-HW</v>
      </c>
    </row>
    <row r="1329" spans="1:8" x14ac:dyDescent="0.25">
      <c r="E1329" t="str">
        <f>""</f>
        <v/>
      </c>
      <c r="F1329" t="str">
        <f>""</f>
        <v/>
      </c>
      <c r="H1329" t="str">
        <f>"LIC-MS225-24P-1YR"</f>
        <v>LIC-MS225-24P-1YR</v>
      </c>
    </row>
    <row r="1330" spans="1:8" x14ac:dyDescent="0.25">
      <c r="E1330" t="str">
        <f>""</f>
        <v/>
      </c>
      <c r="F1330" t="str">
        <f>""</f>
        <v/>
      </c>
      <c r="H1330" t="str">
        <f>"G3Q47A#BGJ"</f>
        <v>G3Q47A#BGJ</v>
      </c>
    </row>
    <row r="1331" spans="1:8" x14ac:dyDescent="0.25">
      <c r="A1331" t="s">
        <v>338</v>
      </c>
      <c r="B1331">
        <v>131638</v>
      </c>
      <c r="C1331" s="5">
        <v>8500.1299999999992</v>
      </c>
      <c r="D1331" s="1">
        <v>43934</v>
      </c>
      <c r="E1331" t="str">
        <f>"202003246071"</f>
        <v>202003246071</v>
      </c>
      <c r="F1331" t="str">
        <f>"John Deere Gator XUV560E"</f>
        <v>John Deere Gator XUV560E</v>
      </c>
      <c r="G1331" s="5">
        <v>8500.1299999999992</v>
      </c>
      <c r="H1331" t="str">
        <f>"John Deere Gator XUV560E"</f>
        <v>John Deere Gator XUV560E</v>
      </c>
    </row>
    <row r="1332" spans="1:8" x14ac:dyDescent="0.25">
      <c r="A1332" t="s">
        <v>339</v>
      </c>
      <c r="B1332">
        <v>131639</v>
      </c>
      <c r="C1332" s="5">
        <v>26575</v>
      </c>
      <c r="D1332" s="1">
        <v>43934</v>
      </c>
      <c r="E1332" t="str">
        <f>"9403"</f>
        <v>9403</v>
      </c>
      <c r="F1332" t="str">
        <f>"INGRESS/EGRESS PROJECT"</f>
        <v>INGRESS/EGRESS PROJECT</v>
      </c>
      <c r="G1332" s="5">
        <v>15930</v>
      </c>
      <c r="H1332" t="str">
        <f>"INGRESS/EGRESS PROJECT"</f>
        <v>INGRESS/EGRESS PROJECT</v>
      </c>
    </row>
    <row r="1333" spans="1:8" x14ac:dyDescent="0.25">
      <c r="E1333" t="str">
        <f>"9427"</f>
        <v>9427</v>
      </c>
      <c r="F1333" t="str">
        <f>"INGRESS/EGRESS PROJECT"</f>
        <v>INGRESS/EGRESS PROJECT</v>
      </c>
      <c r="G1333" s="5">
        <v>10645</v>
      </c>
      <c r="H1333" t="str">
        <f>"INGRESS/EGRESS PROJECT"</f>
        <v>INGRESS/EGRESS PROJECT</v>
      </c>
    </row>
    <row r="1334" spans="1:8" x14ac:dyDescent="0.25">
      <c r="A1334" t="s">
        <v>283</v>
      </c>
      <c r="B1334">
        <v>131478</v>
      </c>
      <c r="C1334" s="5">
        <v>27.6</v>
      </c>
      <c r="D1334" s="1">
        <v>43930</v>
      </c>
      <c r="E1334" t="str">
        <f>"D-2020-2-0110-APTF"</f>
        <v>D-2020-2-0110-APTF</v>
      </c>
      <c r="F1334" t="str">
        <f>"UNEMPLOYMENT QTR END 03/31/20"</f>
        <v>UNEMPLOYMENT QTR END 03/31/20</v>
      </c>
      <c r="G1334" s="5">
        <v>27.6</v>
      </c>
      <c r="H1334" t="str">
        <f>"UNEMPLOYMENT QTR END 03/31/20"</f>
        <v>UNEMPLOYMENT QTR END 03/31/20</v>
      </c>
    </row>
    <row r="1335" spans="1:8" x14ac:dyDescent="0.25">
      <c r="A1335" t="s">
        <v>283</v>
      </c>
      <c r="B1335">
        <v>131646</v>
      </c>
      <c r="C1335" s="5">
        <v>32.44</v>
      </c>
      <c r="D1335" s="1">
        <v>43943</v>
      </c>
      <c r="E1335" t="str">
        <f>"DP-2019-3-0110-245"</f>
        <v>DP-2019-3-0110-245</v>
      </c>
      <c r="F1335" t="str">
        <f>"UNEMPLOYMENT DEFICIT 3RD 2019"</f>
        <v>UNEMPLOYMENT DEFICIT 3RD 2019</v>
      </c>
      <c r="G1335" s="5">
        <v>32.44</v>
      </c>
      <c r="H1335" t="str">
        <f>"UNEMPLOYMENT DEFICIT 3RD 2019"</f>
        <v>UNEMPLOYMENT DEFICIT 3RD 2019</v>
      </c>
    </row>
    <row r="1336" spans="1:8" x14ac:dyDescent="0.25">
      <c r="A1336" t="s">
        <v>340</v>
      </c>
      <c r="B1336">
        <v>2477</v>
      </c>
      <c r="C1336" s="5">
        <v>1196.56</v>
      </c>
      <c r="D1336" s="1">
        <v>43935</v>
      </c>
      <c r="E1336" t="str">
        <f>"118173734"</f>
        <v>118173734</v>
      </c>
      <c r="F1336" t="str">
        <f>"COVID-19"</f>
        <v>COVID-19</v>
      </c>
      <c r="G1336" s="5">
        <v>1196.56</v>
      </c>
      <c r="H1336" t="str">
        <f>"H-5097"</f>
        <v>H-5097</v>
      </c>
    </row>
    <row r="1337" spans="1:8" x14ac:dyDescent="0.25">
      <c r="E1337" t="str">
        <f>""</f>
        <v/>
      </c>
      <c r="F1337" t="str">
        <f>""</f>
        <v/>
      </c>
      <c r="H1337" t="str">
        <f>"Shipping"</f>
        <v>Shipping</v>
      </c>
    </row>
    <row r="1338" spans="1:8" x14ac:dyDescent="0.25">
      <c r="A1338" t="s">
        <v>341</v>
      </c>
      <c r="B1338">
        <v>501</v>
      </c>
      <c r="C1338" s="5">
        <v>5027.04</v>
      </c>
      <c r="D1338" s="1">
        <v>43949</v>
      </c>
      <c r="E1338" t="str">
        <f>"202004286615"</f>
        <v>202004286615</v>
      </c>
      <c r="F1338" t="str">
        <f>"ALLSTATE-AMERICAN HERITAGE LIF"</f>
        <v>ALLSTATE-AMERICAN HERITAGE LIF</v>
      </c>
      <c r="G1338" s="5">
        <v>0.04</v>
      </c>
      <c r="H1338" t="str">
        <f>"ALLSTATE-AMERICAN HERITAGE LIF"</f>
        <v>ALLSTATE-AMERICAN HERITAGE LIF</v>
      </c>
    </row>
    <row r="1339" spans="1:8" x14ac:dyDescent="0.25">
      <c r="E1339" t="str">
        <f>"AS 202004016131"</f>
        <v>AS 202004016131</v>
      </c>
      <c r="F1339" t="str">
        <f t="shared" ref="F1339:F1352" si="15">"ALLSTATE"</f>
        <v>ALLSTATE</v>
      </c>
      <c r="G1339" s="5">
        <v>478.93</v>
      </c>
      <c r="H1339" t="str">
        <f t="shared" ref="H1339:H1352" si="16">"ALLSTATE"</f>
        <v>ALLSTATE</v>
      </c>
    </row>
    <row r="1340" spans="1:8" x14ac:dyDescent="0.25">
      <c r="E1340" t="str">
        <f>"AS 202004016132"</f>
        <v>AS 202004016132</v>
      </c>
      <c r="F1340" t="str">
        <f t="shared" si="15"/>
        <v>ALLSTATE</v>
      </c>
      <c r="G1340" s="5">
        <v>27.14</v>
      </c>
      <c r="H1340" t="str">
        <f t="shared" si="16"/>
        <v>ALLSTATE</v>
      </c>
    </row>
    <row r="1341" spans="1:8" x14ac:dyDescent="0.25">
      <c r="E1341" t="str">
        <f>"AS 202004156438"</f>
        <v>AS 202004156438</v>
      </c>
      <c r="F1341" t="str">
        <f t="shared" si="15"/>
        <v>ALLSTATE</v>
      </c>
      <c r="G1341" s="5">
        <v>478.93</v>
      </c>
      <c r="H1341" t="str">
        <f t="shared" si="16"/>
        <v>ALLSTATE</v>
      </c>
    </row>
    <row r="1342" spans="1:8" x14ac:dyDescent="0.25">
      <c r="E1342" t="str">
        <f>"AS 202004156439"</f>
        <v>AS 202004156439</v>
      </c>
      <c r="F1342" t="str">
        <f t="shared" si="15"/>
        <v>ALLSTATE</v>
      </c>
      <c r="G1342" s="5">
        <v>27.14</v>
      </c>
      <c r="H1342" t="str">
        <f t="shared" si="16"/>
        <v>ALLSTATE</v>
      </c>
    </row>
    <row r="1343" spans="1:8" x14ac:dyDescent="0.25">
      <c r="E1343" t="str">
        <f>"ASD202004016131"</f>
        <v>ASD202004016131</v>
      </c>
      <c r="F1343" t="str">
        <f t="shared" si="15"/>
        <v>ALLSTATE</v>
      </c>
      <c r="G1343" s="5">
        <v>170.21</v>
      </c>
      <c r="H1343" t="str">
        <f t="shared" si="16"/>
        <v>ALLSTATE</v>
      </c>
    </row>
    <row r="1344" spans="1:8" x14ac:dyDescent="0.25">
      <c r="E1344" t="str">
        <f>"ASD202004156438"</f>
        <v>ASD202004156438</v>
      </c>
      <c r="F1344" t="str">
        <f t="shared" si="15"/>
        <v>ALLSTATE</v>
      </c>
      <c r="G1344" s="5">
        <v>170.21</v>
      </c>
      <c r="H1344" t="str">
        <f t="shared" si="16"/>
        <v>ALLSTATE</v>
      </c>
    </row>
    <row r="1345" spans="1:8" x14ac:dyDescent="0.25">
      <c r="E1345" t="str">
        <f>"ASI202004016131"</f>
        <v>ASI202004016131</v>
      </c>
      <c r="F1345" t="str">
        <f t="shared" si="15"/>
        <v>ALLSTATE</v>
      </c>
      <c r="G1345" s="5">
        <v>592.16</v>
      </c>
      <c r="H1345" t="str">
        <f t="shared" si="16"/>
        <v>ALLSTATE</v>
      </c>
    </row>
    <row r="1346" spans="1:8" x14ac:dyDescent="0.25">
      <c r="E1346" t="str">
        <f>"ASI202004016132"</f>
        <v>ASI202004016132</v>
      </c>
      <c r="F1346" t="str">
        <f t="shared" si="15"/>
        <v>ALLSTATE</v>
      </c>
      <c r="G1346" s="5">
        <v>67.150000000000006</v>
      </c>
      <c r="H1346" t="str">
        <f t="shared" si="16"/>
        <v>ALLSTATE</v>
      </c>
    </row>
    <row r="1347" spans="1:8" x14ac:dyDescent="0.25">
      <c r="E1347" t="str">
        <f>"ASI202004156438"</f>
        <v>ASI202004156438</v>
      </c>
      <c r="F1347" t="str">
        <f t="shared" si="15"/>
        <v>ALLSTATE</v>
      </c>
      <c r="G1347" s="5">
        <v>592.16</v>
      </c>
      <c r="H1347" t="str">
        <f t="shared" si="16"/>
        <v>ALLSTATE</v>
      </c>
    </row>
    <row r="1348" spans="1:8" x14ac:dyDescent="0.25">
      <c r="E1348" t="str">
        <f>"ASI202004156439"</f>
        <v>ASI202004156439</v>
      </c>
      <c r="F1348" t="str">
        <f t="shared" si="15"/>
        <v>ALLSTATE</v>
      </c>
      <c r="G1348" s="5">
        <v>67.150000000000006</v>
      </c>
      <c r="H1348" t="str">
        <f t="shared" si="16"/>
        <v>ALLSTATE</v>
      </c>
    </row>
    <row r="1349" spans="1:8" x14ac:dyDescent="0.25">
      <c r="E1349" t="str">
        <f>"AST202004016131"</f>
        <v>AST202004016131</v>
      </c>
      <c r="F1349" t="str">
        <f t="shared" si="15"/>
        <v>ALLSTATE</v>
      </c>
      <c r="G1349" s="5">
        <v>1135.3</v>
      </c>
      <c r="H1349" t="str">
        <f t="shared" si="16"/>
        <v>ALLSTATE</v>
      </c>
    </row>
    <row r="1350" spans="1:8" x14ac:dyDescent="0.25">
      <c r="E1350" t="str">
        <f>"AST202004016132"</f>
        <v>AST202004016132</v>
      </c>
      <c r="F1350" t="str">
        <f t="shared" si="15"/>
        <v>ALLSTATE</v>
      </c>
      <c r="G1350" s="5">
        <v>42.61</v>
      </c>
      <c r="H1350" t="str">
        <f t="shared" si="16"/>
        <v>ALLSTATE</v>
      </c>
    </row>
    <row r="1351" spans="1:8" x14ac:dyDescent="0.25">
      <c r="E1351" t="str">
        <f>"AST202004156438"</f>
        <v>AST202004156438</v>
      </c>
      <c r="F1351" t="str">
        <f t="shared" si="15"/>
        <v>ALLSTATE</v>
      </c>
      <c r="G1351" s="5">
        <v>1135.3</v>
      </c>
      <c r="H1351" t="str">
        <f t="shared" si="16"/>
        <v>ALLSTATE</v>
      </c>
    </row>
    <row r="1352" spans="1:8" x14ac:dyDescent="0.25">
      <c r="E1352" t="str">
        <f>"AST202004156439"</f>
        <v>AST202004156439</v>
      </c>
      <c r="F1352" t="str">
        <f t="shared" si="15"/>
        <v>ALLSTATE</v>
      </c>
      <c r="G1352" s="5">
        <v>42.61</v>
      </c>
      <c r="H1352" t="str">
        <f t="shared" si="16"/>
        <v>ALLSTATE</v>
      </c>
    </row>
    <row r="1353" spans="1:8" x14ac:dyDescent="0.25">
      <c r="A1353" t="s">
        <v>342</v>
      </c>
      <c r="B1353">
        <v>497</v>
      </c>
      <c r="C1353" s="5">
        <v>27631.33</v>
      </c>
      <c r="D1353" s="1">
        <v>43949</v>
      </c>
      <c r="E1353" t="str">
        <f>"202004286612"</f>
        <v>202004286612</v>
      </c>
      <c r="F1353" t="str">
        <f>"AmWINS Group Benefits  Inc."</f>
        <v>AmWINS Group Benefits  Inc.</v>
      </c>
      <c r="G1353" s="5">
        <v>27631.33</v>
      </c>
      <c r="H1353" t="str">
        <f>"AmWINS Group Benefits  Inc."</f>
        <v>AmWINS Group Benefits  Inc.</v>
      </c>
    </row>
    <row r="1354" spans="1:8" x14ac:dyDescent="0.25">
      <c r="A1354" t="s">
        <v>343</v>
      </c>
      <c r="B1354">
        <v>467</v>
      </c>
      <c r="C1354" s="5">
        <v>2378.08</v>
      </c>
      <c r="D1354" s="1">
        <v>43924</v>
      </c>
      <c r="E1354" t="str">
        <f>"DHM202004016133"</f>
        <v>DHM202004016133</v>
      </c>
      <c r="F1354" t="str">
        <f>"AP - DENTAL HMO"</f>
        <v>AP - DENTAL HMO</v>
      </c>
      <c r="G1354" s="5">
        <v>45.09</v>
      </c>
      <c r="H1354" t="str">
        <f>"AP - DENTAL HMO"</f>
        <v>AP - DENTAL HMO</v>
      </c>
    </row>
    <row r="1355" spans="1:8" x14ac:dyDescent="0.25">
      <c r="E1355" t="str">
        <f>"DTX202004016133"</f>
        <v>DTX202004016133</v>
      </c>
      <c r="F1355" t="str">
        <f>"AP - TEXAS DENTAL"</f>
        <v>AP - TEXAS DENTAL</v>
      </c>
      <c r="G1355" s="5">
        <v>405.38</v>
      </c>
      <c r="H1355" t="str">
        <f>"AP - TEXAS DENTAL"</f>
        <v>AP - TEXAS DENTAL</v>
      </c>
    </row>
    <row r="1356" spans="1:8" x14ac:dyDescent="0.25">
      <c r="E1356" t="str">
        <f>"FD 202004016133"</f>
        <v>FD 202004016133</v>
      </c>
      <c r="F1356" t="str">
        <f>"AP - FT DEARBORN PRE-TAX"</f>
        <v>AP - FT DEARBORN PRE-TAX</v>
      </c>
      <c r="G1356" s="5">
        <v>80.09</v>
      </c>
      <c r="H1356" t="str">
        <f>"AP - FT DEARBORN PRE-TAX"</f>
        <v>AP - FT DEARBORN PRE-TAX</v>
      </c>
    </row>
    <row r="1357" spans="1:8" x14ac:dyDescent="0.25">
      <c r="E1357" t="str">
        <f>"FDT202004016133"</f>
        <v>FDT202004016133</v>
      </c>
      <c r="F1357" t="str">
        <f>"AP - FT DEARBORN AFTER TAX"</f>
        <v>AP - FT DEARBORN AFTER TAX</v>
      </c>
      <c r="G1357" s="5">
        <v>68.44</v>
      </c>
      <c r="H1357" t="str">
        <f>"AP - FT DEARBORN AFTER TAX"</f>
        <v>AP - FT DEARBORN AFTER TAX</v>
      </c>
    </row>
    <row r="1358" spans="1:8" x14ac:dyDescent="0.25">
      <c r="E1358" t="str">
        <f>"FLX202004016133"</f>
        <v>FLX202004016133</v>
      </c>
      <c r="F1358" t="str">
        <f>"AP - TEX FLEX"</f>
        <v>AP - TEX FLEX</v>
      </c>
      <c r="G1358" s="5">
        <v>80.5</v>
      </c>
      <c r="H1358" t="str">
        <f>"AP - TEX FLEX"</f>
        <v>AP - TEX FLEX</v>
      </c>
    </row>
    <row r="1359" spans="1:8" x14ac:dyDescent="0.25">
      <c r="E1359" t="str">
        <f>"HSA202004016133"</f>
        <v>HSA202004016133</v>
      </c>
      <c r="F1359" t="str">
        <f>"AP- HSA"</f>
        <v>AP- HSA</v>
      </c>
      <c r="G1359" s="5">
        <v>20</v>
      </c>
      <c r="H1359" t="str">
        <f>"AP- HSA"</f>
        <v>AP- HSA</v>
      </c>
    </row>
    <row r="1360" spans="1:8" x14ac:dyDescent="0.25">
      <c r="E1360" t="str">
        <f>"MHS202004016133"</f>
        <v>MHS202004016133</v>
      </c>
      <c r="F1360" t="str">
        <f>"AP - HEALTH SELECT MEDICAL"</f>
        <v>AP - HEALTH SELECT MEDICAL</v>
      </c>
      <c r="G1360" s="5">
        <v>1257.6500000000001</v>
      </c>
      <c r="H1360" t="str">
        <f>"AP - HEALTH SELECT MEDICAL"</f>
        <v>AP - HEALTH SELECT MEDICAL</v>
      </c>
    </row>
    <row r="1361" spans="1:8" x14ac:dyDescent="0.25">
      <c r="E1361" t="str">
        <f>"MSW202004016133"</f>
        <v>MSW202004016133</v>
      </c>
      <c r="F1361" t="str">
        <f>"AP - SCOTT &amp; WHITE MEDICAL"</f>
        <v>AP - SCOTT &amp; WHITE MEDICAL</v>
      </c>
      <c r="G1361" s="5">
        <v>372.9</v>
      </c>
      <c r="H1361" t="str">
        <f>"AP - SCOTT &amp; WHITE MEDICAL"</f>
        <v>AP - SCOTT &amp; WHITE MEDICAL</v>
      </c>
    </row>
    <row r="1362" spans="1:8" x14ac:dyDescent="0.25">
      <c r="E1362" t="str">
        <f>"SPE202004016133"</f>
        <v>SPE202004016133</v>
      </c>
      <c r="F1362" t="str">
        <f>"AP - STATE VISION"</f>
        <v>AP - STATE VISION</v>
      </c>
      <c r="G1362" s="5">
        <v>48.03</v>
      </c>
      <c r="H1362" t="str">
        <f>"AP - STATE VISION"</f>
        <v>AP - STATE VISION</v>
      </c>
    </row>
    <row r="1363" spans="1:8" x14ac:dyDescent="0.25">
      <c r="A1363" t="s">
        <v>343</v>
      </c>
      <c r="B1363">
        <v>476</v>
      </c>
      <c r="C1363" s="5">
        <v>2378.08</v>
      </c>
      <c r="D1363" s="1">
        <v>43938</v>
      </c>
      <c r="E1363" t="str">
        <f>"DHM202004156440"</f>
        <v>DHM202004156440</v>
      </c>
      <c r="F1363" t="str">
        <f>"AP - DENTAL HMO"</f>
        <v>AP - DENTAL HMO</v>
      </c>
      <c r="G1363" s="5">
        <v>45.09</v>
      </c>
      <c r="H1363" t="str">
        <f>"AP - DENTAL HMO"</f>
        <v>AP - DENTAL HMO</v>
      </c>
    </row>
    <row r="1364" spans="1:8" x14ac:dyDescent="0.25">
      <c r="E1364" t="str">
        <f>"DTX202004156440"</f>
        <v>DTX202004156440</v>
      </c>
      <c r="F1364" t="str">
        <f>"AP - TEXAS DENTAL"</f>
        <v>AP - TEXAS DENTAL</v>
      </c>
      <c r="G1364" s="5">
        <v>405.38</v>
      </c>
      <c r="H1364" t="str">
        <f>"AP - TEXAS DENTAL"</f>
        <v>AP - TEXAS DENTAL</v>
      </c>
    </row>
    <row r="1365" spans="1:8" x14ac:dyDescent="0.25">
      <c r="E1365" t="str">
        <f>"FD 202004156440"</f>
        <v>FD 202004156440</v>
      </c>
      <c r="F1365" t="str">
        <f>"AP - FT DEARBORN PRE-TAX"</f>
        <v>AP - FT DEARBORN PRE-TAX</v>
      </c>
      <c r="G1365" s="5">
        <v>80.09</v>
      </c>
      <c r="H1365" t="str">
        <f>"AP - FT DEARBORN PRE-TAX"</f>
        <v>AP - FT DEARBORN PRE-TAX</v>
      </c>
    </row>
    <row r="1366" spans="1:8" x14ac:dyDescent="0.25">
      <c r="E1366" t="str">
        <f>"FDT202004156440"</f>
        <v>FDT202004156440</v>
      </c>
      <c r="F1366" t="str">
        <f>"AP - FT DEARBORN AFTER TAX"</f>
        <v>AP - FT DEARBORN AFTER TAX</v>
      </c>
      <c r="G1366" s="5">
        <v>68.44</v>
      </c>
      <c r="H1366" t="str">
        <f>"AP - FT DEARBORN AFTER TAX"</f>
        <v>AP - FT DEARBORN AFTER TAX</v>
      </c>
    </row>
    <row r="1367" spans="1:8" x14ac:dyDescent="0.25">
      <c r="E1367" t="str">
        <f>"FLX202004156440"</f>
        <v>FLX202004156440</v>
      </c>
      <c r="F1367" t="str">
        <f>"AP - TEX FLEX"</f>
        <v>AP - TEX FLEX</v>
      </c>
      <c r="G1367" s="5">
        <v>80.5</v>
      </c>
      <c r="H1367" t="str">
        <f>"AP - TEX FLEX"</f>
        <v>AP - TEX FLEX</v>
      </c>
    </row>
    <row r="1368" spans="1:8" x14ac:dyDescent="0.25">
      <c r="E1368" t="str">
        <f>"HSA202004156440"</f>
        <v>HSA202004156440</v>
      </c>
      <c r="F1368" t="str">
        <f>"AP- HSA"</f>
        <v>AP- HSA</v>
      </c>
      <c r="G1368" s="5">
        <v>20</v>
      </c>
      <c r="H1368" t="str">
        <f>"AP- HSA"</f>
        <v>AP- HSA</v>
      </c>
    </row>
    <row r="1369" spans="1:8" x14ac:dyDescent="0.25">
      <c r="E1369" t="str">
        <f>"MHS202004156440"</f>
        <v>MHS202004156440</v>
      </c>
      <c r="F1369" t="str">
        <f>"AP - HEALTH SELECT MEDICAL"</f>
        <v>AP - HEALTH SELECT MEDICAL</v>
      </c>
      <c r="G1369" s="5">
        <v>1257.6500000000001</v>
      </c>
      <c r="H1369" t="str">
        <f>"AP - HEALTH SELECT MEDICAL"</f>
        <v>AP - HEALTH SELECT MEDICAL</v>
      </c>
    </row>
    <row r="1370" spans="1:8" x14ac:dyDescent="0.25">
      <c r="E1370" t="str">
        <f>"MSW202004156440"</f>
        <v>MSW202004156440</v>
      </c>
      <c r="F1370" t="str">
        <f>"AP - SCOTT &amp; WHITE MEDICAL"</f>
        <v>AP - SCOTT &amp; WHITE MEDICAL</v>
      </c>
      <c r="G1370" s="5">
        <v>372.9</v>
      </c>
      <c r="H1370" t="str">
        <f>"AP - SCOTT &amp; WHITE MEDICAL"</f>
        <v>AP - SCOTT &amp; WHITE MEDICAL</v>
      </c>
    </row>
    <row r="1371" spans="1:8" x14ac:dyDescent="0.25">
      <c r="E1371" t="str">
        <f>"SPE202004156440"</f>
        <v>SPE202004156440</v>
      </c>
      <c r="F1371" t="str">
        <f>"AP - STATE VISION"</f>
        <v>AP - STATE VISION</v>
      </c>
      <c r="G1371" s="5">
        <v>48.03</v>
      </c>
      <c r="H1371" t="str">
        <f>"AP - STATE VISION"</f>
        <v>AP - STATE VISION</v>
      </c>
    </row>
    <row r="1372" spans="1:8" x14ac:dyDescent="0.25">
      <c r="A1372" t="s">
        <v>344</v>
      </c>
      <c r="B1372">
        <v>502</v>
      </c>
      <c r="C1372" s="5">
        <v>4806.5</v>
      </c>
      <c r="D1372" s="1">
        <v>43949</v>
      </c>
      <c r="E1372" t="str">
        <f>"202004286616"</f>
        <v>202004286616</v>
      </c>
      <c r="F1372" t="str">
        <f>"COLONIAL LIFE &amp; ACCIDENT INS."</f>
        <v>COLONIAL LIFE &amp; ACCIDENT INS.</v>
      </c>
      <c r="G1372" s="5">
        <v>0.46</v>
      </c>
      <c r="H1372" t="str">
        <f>"COLONIAL LIFE &amp; ACCIDENT INS."</f>
        <v>COLONIAL LIFE &amp; ACCIDENT INS.</v>
      </c>
    </row>
    <row r="1373" spans="1:8" x14ac:dyDescent="0.25">
      <c r="E1373" t="str">
        <f>"CL 202004016131"</f>
        <v>CL 202004016131</v>
      </c>
      <c r="F1373" t="str">
        <f t="shared" ref="F1373:F1392" si="17">"COLONIAL"</f>
        <v>COLONIAL</v>
      </c>
      <c r="G1373" s="5">
        <v>596.15</v>
      </c>
      <c r="H1373" t="str">
        <f t="shared" ref="H1373:H1392" si="18">"COLONIAL"</f>
        <v>COLONIAL</v>
      </c>
    </row>
    <row r="1374" spans="1:8" x14ac:dyDescent="0.25">
      <c r="E1374" t="str">
        <f>"CL 202004016132"</f>
        <v>CL 202004016132</v>
      </c>
      <c r="F1374" t="str">
        <f t="shared" si="17"/>
        <v>COLONIAL</v>
      </c>
      <c r="G1374" s="5">
        <v>14.49</v>
      </c>
      <c r="H1374" t="str">
        <f t="shared" si="18"/>
        <v>COLONIAL</v>
      </c>
    </row>
    <row r="1375" spans="1:8" x14ac:dyDescent="0.25">
      <c r="E1375" t="str">
        <f>"CL 202004156438"</f>
        <v>CL 202004156438</v>
      </c>
      <c r="F1375" t="str">
        <f t="shared" si="17"/>
        <v>COLONIAL</v>
      </c>
      <c r="G1375" s="5">
        <v>596.15</v>
      </c>
      <c r="H1375" t="str">
        <f t="shared" si="18"/>
        <v>COLONIAL</v>
      </c>
    </row>
    <row r="1376" spans="1:8" x14ac:dyDescent="0.25">
      <c r="E1376" t="str">
        <f>"CL 202004156439"</f>
        <v>CL 202004156439</v>
      </c>
      <c r="F1376" t="str">
        <f t="shared" si="17"/>
        <v>COLONIAL</v>
      </c>
      <c r="G1376" s="5">
        <v>14.49</v>
      </c>
      <c r="H1376" t="str">
        <f t="shared" si="18"/>
        <v>COLONIAL</v>
      </c>
    </row>
    <row r="1377" spans="5:8" x14ac:dyDescent="0.25">
      <c r="E1377" t="str">
        <f>"CLC202004016131"</f>
        <v>CLC202004016131</v>
      </c>
      <c r="F1377" t="str">
        <f t="shared" si="17"/>
        <v>COLONIAL</v>
      </c>
      <c r="G1377" s="5">
        <v>33.99</v>
      </c>
      <c r="H1377" t="str">
        <f t="shared" si="18"/>
        <v>COLONIAL</v>
      </c>
    </row>
    <row r="1378" spans="5:8" x14ac:dyDescent="0.25">
      <c r="E1378" t="str">
        <f>"CLC202004156438"</f>
        <v>CLC202004156438</v>
      </c>
      <c r="F1378" t="str">
        <f t="shared" si="17"/>
        <v>COLONIAL</v>
      </c>
      <c r="G1378" s="5">
        <v>33.99</v>
      </c>
      <c r="H1378" t="str">
        <f t="shared" si="18"/>
        <v>COLONIAL</v>
      </c>
    </row>
    <row r="1379" spans="5:8" x14ac:dyDescent="0.25">
      <c r="E1379" t="str">
        <f>"CLI202004016131"</f>
        <v>CLI202004016131</v>
      </c>
      <c r="F1379" t="str">
        <f t="shared" si="17"/>
        <v>COLONIAL</v>
      </c>
      <c r="G1379" s="5">
        <v>570.70000000000005</v>
      </c>
      <c r="H1379" t="str">
        <f t="shared" si="18"/>
        <v>COLONIAL</v>
      </c>
    </row>
    <row r="1380" spans="5:8" x14ac:dyDescent="0.25">
      <c r="E1380" t="str">
        <f>"CLI202004156438"</f>
        <v>CLI202004156438</v>
      </c>
      <c r="F1380" t="str">
        <f t="shared" si="17"/>
        <v>COLONIAL</v>
      </c>
      <c r="G1380" s="5">
        <v>570.70000000000005</v>
      </c>
      <c r="H1380" t="str">
        <f t="shared" si="18"/>
        <v>COLONIAL</v>
      </c>
    </row>
    <row r="1381" spans="5:8" x14ac:dyDescent="0.25">
      <c r="E1381" t="str">
        <f>"CLK202004016131"</f>
        <v>CLK202004016131</v>
      </c>
      <c r="F1381" t="str">
        <f t="shared" si="17"/>
        <v>COLONIAL</v>
      </c>
      <c r="G1381" s="5">
        <v>27.09</v>
      </c>
      <c r="H1381" t="str">
        <f t="shared" si="18"/>
        <v>COLONIAL</v>
      </c>
    </row>
    <row r="1382" spans="5:8" x14ac:dyDescent="0.25">
      <c r="E1382" t="str">
        <f>"CLK202004156438"</f>
        <v>CLK202004156438</v>
      </c>
      <c r="F1382" t="str">
        <f t="shared" si="17"/>
        <v>COLONIAL</v>
      </c>
      <c r="G1382" s="5">
        <v>27.09</v>
      </c>
      <c r="H1382" t="str">
        <f t="shared" si="18"/>
        <v>COLONIAL</v>
      </c>
    </row>
    <row r="1383" spans="5:8" x14ac:dyDescent="0.25">
      <c r="E1383" t="str">
        <f>"CLS202004016131"</f>
        <v>CLS202004016131</v>
      </c>
      <c r="F1383" t="str">
        <f t="shared" si="17"/>
        <v>COLONIAL</v>
      </c>
      <c r="G1383" s="5">
        <v>343.38</v>
      </c>
      <c r="H1383" t="str">
        <f t="shared" si="18"/>
        <v>COLONIAL</v>
      </c>
    </row>
    <row r="1384" spans="5:8" x14ac:dyDescent="0.25">
      <c r="E1384" t="str">
        <f>"CLS202004016132"</f>
        <v>CLS202004016132</v>
      </c>
      <c r="F1384" t="str">
        <f t="shared" si="17"/>
        <v>COLONIAL</v>
      </c>
      <c r="G1384" s="5">
        <v>15.73</v>
      </c>
      <c r="H1384" t="str">
        <f t="shared" si="18"/>
        <v>COLONIAL</v>
      </c>
    </row>
    <row r="1385" spans="5:8" x14ac:dyDescent="0.25">
      <c r="E1385" t="str">
        <f>"CLS202004156438"</f>
        <v>CLS202004156438</v>
      </c>
      <c r="F1385" t="str">
        <f t="shared" si="17"/>
        <v>COLONIAL</v>
      </c>
      <c r="G1385" s="5">
        <v>375.48</v>
      </c>
      <c r="H1385" t="str">
        <f t="shared" si="18"/>
        <v>COLONIAL</v>
      </c>
    </row>
    <row r="1386" spans="5:8" x14ac:dyDescent="0.25">
      <c r="E1386" t="str">
        <f>"CLS202004156439"</f>
        <v>CLS202004156439</v>
      </c>
      <c r="F1386" t="str">
        <f t="shared" si="17"/>
        <v>COLONIAL</v>
      </c>
      <c r="G1386" s="5">
        <v>15.73</v>
      </c>
      <c r="H1386" t="str">
        <f t="shared" si="18"/>
        <v>COLONIAL</v>
      </c>
    </row>
    <row r="1387" spans="5:8" x14ac:dyDescent="0.25">
      <c r="E1387" t="str">
        <f>"CLT202004016131"</f>
        <v>CLT202004016131</v>
      </c>
      <c r="F1387" t="str">
        <f t="shared" si="17"/>
        <v>COLONIAL</v>
      </c>
      <c r="G1387" s="5">
        <v>365.09</v>
      </c>
      <c r="H1387" t="str">
        <f t="shared" si="18"/>
        <v>COLONIAL</v>
      </c>
    </row>
    <row r="1388" spans="5:8" x14ac:dyDescent="0.25">
      <c r="E1388" t="str">
        <f>"CLT202004156438"</f>
        <v>CLT202004156438</v>
      </c>
      <c r="F1388" t="str">
        <f t="shared" si="17"/>
        <v>COLONIAL</v>
      </c>
      <c r="G1388" s="5">
        <v>365.09</v>
      </c>
      <c r="H1388" t="str">
        <f t="shared" si="18"/>
        <v>COLONIAL</v>
      </c>
    </row>
    <row r="1389" spans="5:8" x14ac:dyDescent="0.25">
      <c r="E1389" t="str">
        <f>"CLU202004016131"</f>
        <v>CLU202004016131</v>
      </c>
      <c r="F1389" t="str">
        <f t="shared" si="17"/>
        <v>COLONIAL</v>
      </c>
      <c r="G1389" s="5">
        <v>111.55</v>
      </c>
      <c r="H1389" t="str">
        <f t="shared" si="18"/>
        <v>COLONIAL</v>
      </c>
    </row>
    <row r="1390" spans="5:8" x14ac:dyDescent="0.25">
      <c r="E1390" t="str">
        <f>"CLU202004156438"</f>
        <v>CLU202004156438</v>
      </c>
      <c r="F1390" t="str">
        <f t="shared" si="17"/>
        <v>COLONIAL</v>
      </c>
      <c r="G1390" s="5">
        <v>111.55</v>
      </c>
      <c r="H1390" t="str">
        <f t="shared" si="18"/>
        <v>COLONIAL</v>
      </c>
    </row>
    <row r="1391" spans="5:8" x14ac:dyDescent="0.25">
      <c r="E1391" t="str">
        <f>"CLW202004016131"</f>
        <v>CLW202004016131</v>
      </c>
      <c r="F1391" t="str">
        <f t="shared" si="17"/>
        <v>COLONIAL</v>
      </c>
      <c r="G1391" s="5">
        <v>308.8</v>
      </c>
      <c r="H1391" t="str">
        <f t="shared" si="18"/>
        <v>COLONIAL</v>
      </c>
    </row>
    <row r="1392" spans="5:8" x14ac:dyDescent="0.25">
      <c r="E1392" t="str">
        <f>"CLW202004156438"</f>
        <v>CLW202004156438</v>
      </c>
      <c r="F1392" t="str">
        <f t="shared" si="17"/>
        <v>COLONIAL</v>
      </c>
      <c r="G1392" s="5">
        <v>308.8</v>
      </c>
      <c r="H1392" t="str">
        <f t="shared" si="18"/>
        <v>COLONIAL</v>
      </c>
    </row>
    <row r="1393" spans="1:8" x14ac:dyDescent="0.25">
      <c r="A1393" t="s">
        <v>345</v>
      </c>
      <c r="B1393">
        <v>468</v>
      </c>
      <c r="C1393" s="5">
        <v>7250.03</v>
      </c>
      <c r="D1393" s="1">
        <v>43924</v>
      </c>
      <c r="E1393" t="str">
        <f>"CPI202004016131"</f>
        <v>CPI202004016131</v>
      </c>
      <c r="F1393" t="str">
        <f>"DEFERRED COMP 457B PAYABLE"</f>
        <v>DEFERRED COMP 457B PAYABLE</v>
      </c>
      <c r="G1393" s="5">
        <v>7142.53</v>
      </c>
      <c r="H1393" t="str">
        <f>"DEFERRED COMP 457B PAYABLE"</f>
        <v>DEFERRED COMP 457B PAYABLE</v>
      </c>
    </row>
    <row r="1394" spans="1:8" x14ac:dyDescent="0.25">
      <c r="E1394" t="str">
        <f>"CPI202004016132"</f>
        <v>CPI202004016132</v>
      </c>
      <c r="F1394" t="str">
        <f>"DEFERRED COMP 457B PAYABLE"</f>
        <v>DEFERRED COMP 457B PAYABLE</v>
      </c>
      <c r="G1394" s="5">
        <v>107.5</v>
      </c>
      <c r="H1394" t="str">
        <f>"DEFERRED COMP 457B PAYABLE"</f>
        <v>DEFERRED COMP 457B PAYABLE</v>
      </c>
    </row>
    <row r="1395" spans="1:8" x14ac:dyDescent="0.25">
      <c r="A1395" t="s">
        <v>345</v>
      </c>
      <c r="B1395">
        <v>477</v>
      </c>
      <c r="C1395" s="5">
        <v>7275.03</v>
      </c>
      <c r="D1395" s="1">
        <v>43938</v>
      </c>
      <c r="E1395" t="str">
        <f>"CPI202004156438"</f>
        <v>CPI202004156438</v>
      </c>
      <c r="F1395" t="str">
        <f>"DEFERRED COMP 457B PAYABLE"</f>
        <v>DEFERRED COMP 457B PAYABLE</v>
      </c>
      <c r="G1395" s="5">
        <v>7167.53</v>
      </c>
      <c r="H1395" t="str">
        <f>"DEFERRED COMP 457B PAYABLE"</f>
        <v>DEFERRED COMP 457B PAYABLE</v>
      </c>
    </row>
    <row r="1396" spans="1:8" x14ac:dyDescent="0.25">
      <c r="E1396" t="str">
        <f>"CPI202004156439"</f>
        <v>CPI202004156439</v>
      </c>
      <c r="F1396" t="str">
        <f>"DEFERRED COMP 457B PAYABLE"</f>
        <v>DEFERRED COMP 457B PAYABLE</v>
      </c>
      <c r="G1396" s="5">
        <v>107.5</v>
      </c>
      <c r="H1396" t="str">
        <f>"DEFERRED COMP 457B PAYABLE"</f>
        <v>DEFERRED COMP 457B PAYABLE</v>
      </c>
    </row>
    <row r="1397" spans="1:8" x14ac:dyDescent="0.25">
      <c r="A1397" t="s">
        <v>346</v>
      </c>
      <c r="B1397">
        <v>47892</v>
      </c>
      <c r="C1397" s="5">
        <v>853.85</v>
      </c>
      <c r="D1397" s="1">
        <v>43924</v>
      </c>
      <c r="E1397" t="str">
        <f>"B13202004016131"</f>
        <v>B13202004016131</v>
      </c>
      <c r="F1397" t="str">
        <f>"Rosa Warren 15-10357-TMD"</f>
        <v>Rosa Warren 15-10357-TMD</v>
      </c>
      <c r="G1397" s="5">
        <v>853.85</v>
      </c>
      <c r="H1397" t="str">
        <f>"Rosa Warren 15-10357-TMD"</f>
        <v>Rosa Warren 15-10357-TMD</v>
      </c>
    </row>
    <row r="1398" spans="1:8" x14ac:dyDescent="0.25">
      <c r="A1398" t="s">
        <v>346</v>
      </c>
      <c r="B1398">
        <v>47906</v>
      </c>
      <c r="C1398" s="5">
        <v>853.85</v>
      </c>
      <c r="D1398" s="1">
        <v>43938</v>
      </c>
      <c r="E1398" t="str">
        <f>"B13202004156438"</f>
        <v>B13202004156438</v>
      </c>
      <c r="F1398" t="str">
        <f>"Rosa Warren 15-10357-TMD"</f>
        <v>Rosa Warren 15-10357-TMD</v>
      </c>
      <c r="G1398" s="5">
        <v>853.85</v>
      </c>
      <c r="H1398" t="str">
        <f>"Rosa Warren 15-10357-TMD"</f>
        <v>Rosa Warren 15-10357-TMD</v>
      </c>
    </row>
    <row r="1399" spans="1:8" x14ac:dyDescent="0.25">
      <c r="A1399" t="s">
        <v>347</v>
      </c>
      <c r="B1399">
        <v>498</v>
      </c>
      <c r="C1399" s="5">
        <v>41751.17</v>
      </c>
      <c r="D1399" s="1">
        <v>43949</v>
      </c>
      <c r="E1399" t="str">
        <f>"202004276610"</f>
        <v>202004276610</v>
      </c>
      <c r="F1399" t="str">
        <f>"RETIREE INS APR 2020"</f>
        <v>RETIREE INS APR 2020</v>
      </c>
      <c r="G1399" s="5">
        <v>3462.97</v>
      </c>
      <c r="H1399" t="str">
        <f>"RETIREE INS APR 2020"</f>
        <v>RETIREE INS APR 2020</v>
      </c>
    </row>
    <row r="1400" spans="1:8" x14ac:dyDescent="0.25">
      <c r="E1400" t="str">
        <f>"202004276611"</f>
        <v>202004276611</v>
      </c>
      <c r="F1400" t="str">
        <f>"GUARDIAN Navejas not on bill"</f>
        <v>GUARDIAN Navejas not on bill</v>
      </c>
      <c r="G1400" s="5">
        <v>24.79</v>
      </c>
      <c r="H1400" t="str">
        <f t="shared" ref="H1400:H1463" si="19">"GUARDIAN"</f>
        <v>GUARDIAN</v>
      </c>
    </row>
    <row r="1401" spans="1:8" x14ac:dyDescent="0.25">
      <c r="E1401" t="str">
        <f>"ADC202004016131"</f>
        <v>ADC202004016131</v>
      </c>
      <c r="F1401" t="str">
        <f t="shared" ref="F1401:F1413" si="20">"GUARDIAN"</f>
        <v>GUARDIAN</v>
      </c>
      <c r="G1401" s="5">
        <v>4.8499999999999996</v>
      </c>
      <c r="H1401" t="str">
        <f t="shared" si="19"/>
        <v>GUARDIAN</v>
      </c>
    </row>
    <row r="1402" spans="1:8" x14ac:dyDescent="0.25">
      <c r="E1402" t="str">
        <f>"ADC202004016132"</f>
        <v>ADC202004016132</v>
      </c>
      <c r="F1402" t="str">
        <f t="shared" si="20"/>
        <v>GUARDIAN</v>
      </c>
      <c r="G1402" s="5">
        <v>0.16</v>
      </c>
      <c r="H1402" t="str">
        <f t="shared" si="19"/>
        <v>GUARDIAN</v>
      </c>
    </row>
    <row r="1403" spans="1:8" x14ac:dyDescent="0.25">
      <c r="E1403" t="str">
        <f>"ADC202004156438"</f>
        <v>ADC202004156438</v>
      </c>
      <c r="F1403" t="str">
        <f t="shared" si="20"/>
        <v>GUARDIAN</v>
      </c>
      <c r="G1403" s="5">
        <v>4.8499999999999996</v>
      </c>
      <c r="H1403" t="str">
        <f t="shared" si="19"/>
        <v>GUARDIAN</v>
      </c>
    </row>
    <row r="1404" spans="1:8" x14ac:dyDescent="0.25">
      <c r="E1404" t="str">
        <f>"ADC202004156439"</f>
        <v>ADC202004156439</v>
      </c>
      <c r="F1404" t="str">
        <f t="shared" si="20"/>
        <v>GUARDIAN</v>
      </c>
      <c r="G1404" s="5">
        <v>0.16</v>
      </c>
      <c r="H1404" t="str">
        <f t="shared" si="19"/>
        <v>GUARDIAN</v>
      </c>
    </row>
    <row r="1405" spans="1:8" x14ac:dyDescent="0.25">
      <c r="E1405" t="str">
        <f>"ADE202004016131"</f>
        <v>ADE202004016131</v>
      </c>
      <c r="F1405" t="str">
        <f t="shared" si="20"/>
        <v>GUARDIAN</v>
      </c>
      <c r="G1405" s="5">
        <v>229.27</v>
      </c>
      <c r="H1405" t="str">
        <f t="shared" si="19"/>
        <v>GUARDIAN</v>
      </c>
    </row>
    <row r="1406" spans="1:8" x14ac:dyDescent="0.25">
      <c r="E1406" t="str">
        <f>"ADE202004016132"</f>
        <v>ADE202004016132</v>
      </c>
      <c r="F1406" t="str">
        <f t="shared" si="20"/>
        <v>GUARDIAN</v>
      </c>
      <c r="G1406" s="5">
        <v>6.3</v>
      </c>
      <c r="H1406" t="str">
        <f t="shared" si="19"/>
        <v>GUARDIAN</v>
      </c>
    </row>
    <row r="1407" spans="1:8" x14ac:dyDescent="0.25">
      <c r="E1407" t="str">
        <f>"ADE202004156438"</f>
        <v>ADE202004156438</v>
      </c>
      <c r="F1407" t="str">
        <f t="shared" si="20"/>
        <v>GUARDIAN</v>
      </c>
      <c r="G1407" s="5">
        <v>243.43</v>
      </c>
      <c r="H1407" t="str">
        <f t="shared" si="19"/>
        <v>GUARDIAN</v>
      </c>
    </row>
    <row r="1408" spans="1:8" x14ac:dyDescent="0.25">
      <c r="E1408" t="str">
        <f>"ADE202004156439"</f>
        <v>ADE202004156439</v>
      </c>
      <c r="F1408" t="str">
        <f t="shared" si="20"/>
        <v>GUARDIAN</v>
      </c>
      <c r="G1408" s="5">
        <v>6.3</v>
      </c>
      <c r="H1408" t="str">
        <f t="shared" si="19"/>
        <v>GUARDIAN</v>
      </c>
    </row>
    <row r="1409" spans="5:8" x14ac:dyDescent="0.25">
      <c r="E1409" t="str">
        <f>"ADS202004016131"</f>
        <v>ADS202004016131</v>
      </c>
      <c r="F1409" t="str">
        <f t="shared" si="20"/>
        <v>GUARDIAN</v>
      </c>
      <c r="G1409" s="5">
        <v>42.5</v>
      </c>
      <c r="H1409" t="str">
        <f t="shared" si="19"/>
        <v>GUARDIAN</v>
      </c>
    </row>
    <row r="1410" spans="5:8" x14ac:dyDescent="0.25">
      <c r="E1410" t="str">
        <f>"ADS202004016132"</f>
        <v>ADS202004016132</v>
      </c>
      <c r="F1410" t="str">
        <f t="shared" si="20"/>
        <v>GUARDIAN</v>
      </c>
      <c r="G1410" s="5">
        <v>0.53</v>
      </c>
      <c r="H1410" t="str">
        <f t="shared" si="19"/>
        <v>GUARDIAN</v>
      </c>
    </row>
    <row r="1411" spans="5:8" x14ac:dyDescent="0.25">
      <c r="E1411" t="str">
        <f>"ADS202004156438"</f>
        <v>ADS202004156438</v>
      </c>
      <c r="F1411" t="str">
        <f t="shared" si="20"/>
        <v>GUARDIAN</v>
      </c>
      <c r="G1411" s="5">
        <v>42.26</v>
      </c>
      <c r="H1411" t="str">
        <f t="shared" si="19"/>
        <v>GUARDIAN</v>
      </c>
    </row>
    <row r="1412" spans="5:8" x14ac:dyDescent="0.25">
      <c r="E1412" t="str">
        <f>"ADS202004156439"</f>
        <v>ADS202004156439</v>
      </c>
      <c r="F1412" t="str">
        <f t="shared" si="20"/>
        <v>GUARDIAN</v>
      </c>
      <c r="G1412" s="5">
        <v>0.53</v>
      </c>
      <c r="H1412" t="str">
        <f t="shared" si="19"/>
        <v>GUARDIAN</v>
      </c>
    </row>
    <row r="1413" spans="5:8" x14ac:dyDescent="0.25">
      <c r="E1413" t="str">
        <f>"GDC202004016131"</f>
        <v>GDC202004016131</v>
      </c>
      <c r="F1413" t="str">
        <f t="shared" si="20"/>
        <v>GUARDIAN</v>
      </c>
      <c r="G1413" s="5">
        <v>2750.76</v>
      </c>
      <c r="H1413" t="str">
        <f t="shared" si="19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19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19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19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19"/>
        <v>GUARDIAN</v>
      </c>
    </row>
    <row r="1418" spans="5:8" x14ac:dyDescent="0.25">
      <c r="E1418" t="str">
        <f>""</f>
        <v/>
      </c>
      <c r="F1418" t="str">
        <f>""</f>
        <v/>
      </c>
      <c r="H1418" t="str">
        <f t="shared" si="19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19"/>
        <v>GUARDIAN</v>
      </c>
    </row>
    <row r="1420" spans="5:8" x14ac:dyDescent="0.25">
      <c r="E1420" t="str">
        <f>""</f>
        <v/>
      </c>
      <c r="F1420" t="str">
        <f>""</f>
        <v/>
      </c>
      <c r="H1420" t="str">
        <f t="shared" si="19"/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si="19"/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19"/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 t="shared" si="19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19"/>
        <v>GUARDIAN</v>
      </c>
    </row>
    <row r="1425" spans="5:8" x14ac:dyDescent="0.25">
      <c r="E1425" t="str">
        <f>""</f>
        <v/>
      </c>
      <c r="F1425" t="str">
        <f>""</f>
        <v/>
      </c>
      <c r="H1425" t="str">
        <f t="shared" si="19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19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19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19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19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19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19"/>
        <v>GUARDIAN</v>
      </c>
    </row>
    <row r="1432" spans="5:8" x14ac:dyDescent="0.25">
      <c r="E1432" t="str">
        <f>""</f>
        <v/>
      </c>
      <c r="F1432" t="str">
        <f>""</f>
        <v/>
      </c>
      <c r="H1432" t="str">
        <f t="shared" si="19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si="19"/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19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19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19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19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19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19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19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19"/>
        <v>GUARDIAN</v>
      </c>
    </row>
    <row r="1442" spans="5:8" x14ac:dyDescent="0.25">
      <c r="E1442" t="str">
        <f>"GDC202004016132"</f>
        <v>GDC202004016132</v>
      </c>
      <c r="F1442" t="str">
        <f>"GUARDIAN"</f>
        <v>GUARDIAN</v>
      </c>
      <c r="G1442" s="5">
        <v>135.84</v>
      </c>
      <c r="H1442" t="str">
        <f t="shared" si="19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19"/>
        <v>GUARDIAN</v>
      </c>
    </row>
    <row r="1444" spans="5:8" x14ac:dyDescent="0.25">
      <c r="E1444" t="str">
        <f>"GDC202004156438"</f>
        <v>GDC202004156438</v>
      </c>
      <c r="F1444" t="str">
        <f>"GUARDIAN"</f>
        <v>GUARDIAN</v>
      </c>
      <c r="G1444" s="5">
        <v>2750.76</v>
      </c>
      <c r="H1444" t="str">
        <f t="shared" si="19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19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19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19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19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19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19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19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si="19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19"/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 t="shared" si="19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19"/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 t="shared" si="19"/>
        <v>GUARDIAN</v>
      </c>
    </row>
    <row r="1457" spans="5:8" x14ac:dyDescent="0.25">
      <c r="E1457" t="str">
        <f>""</f>
        <v/>
      </c>
      <c r="F1457" t="str">
        <f>""</f>
        <v/>
      </c>
      <c r="H1457" t="str">
        <f t="shared" si="19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19"/>
        <v>GUARDIAN</v>
      </c>
    </row>
    <row r="1459" spans="5:8" x14ac:dyDescent="0.25">
      <c r="E1459" t="str">
        <f>""</f>
        <v/>
      </c>
      <c r="F1459" t="str">
        <f>""</f>
        <v/>
      </c>
      <c r="H1459" t="str">
        <f t="shared" si="19"/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19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19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19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19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ref="H1464:H1527" si="21">"GUARDIAN"</f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21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21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21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21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21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21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21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21"/>
        <v>GUARDIAN</v>
      </c>
    </row>
    <row r="1473" spans="5:8" x14ac:dyDescent="0.25">
      <c r="E1473" t="str">
        <f>"GDC202004156439"</f>
        <v>GDC202004156439</v>
      </c>
      <c r="F1473" t="str">
        <f>"GUARDIAN"</f>
        <v>GUARDIAN</v>
      </c>
      <c r="G1473" s="5">
        <v>135.84</v>
      </c>
      <c r="H1473" t="str">
        <f t="shared" si="21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21"/>
        <v>GUARDIAN</v>
      </c>
    </row>
    <row r="1475" spans="5:8" x14ac:dyDescent="0.25">
      <c r="E1475" t="str">
        <f>"GDE202004016131"</f>
        <v>GDE202004016131</v>
      </c>
      <c r="F1475" t="str">
        <f>"GUARDIAN"</f>
        <v>GUARDIAN</v>
      </c>
      <c r="G1475" s="5">
        <v>4386.1499999999996</v>
      </c>
      <c r="H1475" t="str">
        <f t="shared" si="21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21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21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21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1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1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1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1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21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1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21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1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1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1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1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1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1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1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21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1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1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21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1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1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21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1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21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1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1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21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1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1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1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1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1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1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1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1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1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1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1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1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1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1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1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1"/>
        <v>GUARDIAN</v>
      </c>
    </row>
    <row r="1521" spans="5:8" x14ac:dyDescent="0.25">
      <c r="E1521" t="str">
        <f>"GDE202004016132"</f>
        <v>GDE202004016132</v>
      </c>
      <c r="F1521" t="str">
        <f>"GUARDIAN"</f>
        <v>GUARDIAN</v>
      </c>
      <c r="G1521" s="5">
        <v>184.68</v>
      </c>
      <c r="H1521" t="str">
        <f t="shared" si="21"/>
        <v>GUARDIAN</v>
      </c>
    </row>
    <row r="1522" spans="5:8" x14ac:dyDescent="0.25">
      <c r="E1522" t="str">
        <f>"GDE202004156438"</f>
        <v>GDE202004156438</v>
      </c>
      <c r="F1522" t="str">
        <f>"GUARDIAN"</f>
        <v>GUARDIAN</v>
      </c>
      <c r="G1522" s="5">
        <v>4386.1499999999996</v>
      </c>
      <c r="H1522" t="str">
        <f t="shared" si="21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1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1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1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1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1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ref="H1528:H1591" si="22">"GUARDIAN"</f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2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2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2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2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2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2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2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2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2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2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2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2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2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2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2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2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2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2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2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2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2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2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2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2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2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2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2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2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2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2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2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2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2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2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2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2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2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2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2"/>
        <v>GUARDIAN</v>
      </c>
    </row>
    <row r="1568" spans="5:8" x14ac:dyDescent="0.25">
      <c r="E1568" t="str">
        <f>"GDE202004156439"</f>
        <v>GDE202004156439</v>
      </c>
      <c r="F1568" t="str">
        <f>"GUARDIAN"</f>
        <v>GUARDIAN</v>
      </c>
      <c r="G1568" s="5">
        <v>184.68</v>
      </c>
      <c r="H1568" t="str">
        <f t="shared" si="22"/>
        <v>GUARDIAN</v>
      </c>
    </row>
    <row r="1569" spans="5:8" x14ac:dyDescent="0.25">
      <c r="E1569" t="str">
        <f>"GDF202004016131"</f>
        <v>GDF202004016131</v>
      </c>
      <c r="F1569" t="str">
        <f>"GUARDIAN"</f>
        <v>GUARDIAN</v>
      </c>
      <c r="G1569" s="5">
        <v>2209.2399999999998</v>
      </c>
      <c r="H1569" t="str">
        <f t="shared" si="22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2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2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2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2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2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2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2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2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2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2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2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2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2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2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2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2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2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2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2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2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2"/>
        <v>GUARDIAN</v>
      </c>
    </row>
    <row r="1591" spans="5:8" x14ac:dyDescent="0.25">
      <c r="E1591" t="str">
        <f>"GDF202004016132"</f>
        <v>GDF202004016132</v>
      </c>
      <c r="F1591" t="str">
        <f>"GUARDIAN"</f>
        <v>GUARDIAN</v>
      </c>
      <c r="G1591" s="5">
        <v>100.42</v>
      </c>
      <c r="H1591" t="str">
        <f t="shared" si="22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ref="H1592:H1655" si="23">"GUARDIAN"</f>
        <v>GUARDIAN</v>
      </c>
    </row>
    <row r="1593" spans="5:8" x14ac:dyDescent="0.25">
      <c r="E1593" t="str">
        <f>"GDF202004156438"</f>
        <v>GDF202004156438</v>
      </c>
      <c r="F1593" t="str">
        <f>"GUARDIAN"</f>
        <v>GUARDIAN</v>
      </c>
      <c r="G1593" s="5">
        <v>2209.2399999999998</v>
      </c>
      <c r="H1593" t="str">
        <f t="shared" si="23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3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3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3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3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3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3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3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3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3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3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3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3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3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3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3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3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3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3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3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3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3"/>
        <v>GUARDIAN</v>
      </c>
    </row>
    <row r="1615" spans="5:8" x14ac:dyDescent="0.25">
      <c r="E1615" t="str">
        <f>"GDF202004156439"</f>
        <v>GDF202004156439</v>
      </c>
      <c r="F1615" t="str">
        <f>"GUARDIAN"</f>
        <v>GUARDIAN</v>
      </c>
      <c r="G1615" s="5">
        <v>100.42</v>
      </c>
      <c r="H1615" t="str">
        <f t="shared" si="23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3"/>
        <v>GUARDIAN</v>
      </c>
    </row>
    <row r="1617" spans="5:8" x14ac:dyDescent="0.25">
      <c r="E1617" t="str">
        <f>"GDS202004016131"</f>
        <v>GDS202004016131</v>
      </c>
      <c r="F1617" t="str">
        <f>"GUARDIAN"</f>
        <v>GUARDIAN</v>
      </c>
      <c r="G1617" s="5">
        <v>1923.24</v>
      </c>
      <c r="H1617" t="str">
        <f t="shared" si="23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3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3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3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3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3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3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3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3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3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3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3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3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3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3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3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3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3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3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3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3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3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3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3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3"/>
        <v>GUARDIAN</v>
      </c>
    </row>
    <row r="1642" spans="5:8" x14ac:dyDescent="0.25">
      <c r="E1642" t="str">
        <f>"GDS202004156438"</f>
        <v>GDS202004156438</v>
      </c>
      <c r="F1642" t="str">
        <f>"GUARDIAN"</f>
        <v>GUARDIAN</v>
      </c>
      <c r="G1642" s="5">
        <v>1923.24</v>
      </c>
      <c r="H1642" t="str">
        <f t="shared" si="23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3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3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3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3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3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3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3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3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3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3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3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3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3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ref="H1656:H1666" si="24">"GUARDIAN"</f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4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4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4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4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4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4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4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4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4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4"/>
        <v>GUARDIAN</v>
      </c>
    </row>
    <row r="1667" spans="5:8" x14ac:dyDescent="0.25">
      <c r="E1667" t="str">
        <f>"GV1202004016131"</f>
        <v>GV1202004016131</v>
      </c>
      <c r="F1667" t="str">
        <f>"GUARDIAN VISION"</f>
        <v>GUARDIAN VISION</v>
      </c>
      <c r="G1667" s="5">
        <v>420</v>
      </c>
      <c r="H1667" t="str">
        <f>"GUARDIAN VISION"</f>
        <v>GUARDIAN VISION</v>
      </c>
    </row>
    <row r="1668" spans="5:8" x14ac:dyDescent="0.25">
      <c r="E1668" t="str">
        <f>"GV1202004156438"</f>
        <v>GV1202004156438</v>
      </c>
      <c r="F1668" t="str">
        <f>"GUARDIAN VISION"</f>
        <v>GUARDIAN VISION</v>
      </c>
      <c r="G1668" s="5">
        <v>420</v>
      </c>
      <c r="H1668" t="str">
        <f>"GUARDIAN VISION"</f>
        <v>GUARDIAN VISION</v>
      </c>
    </row>
    <row r="1669" spans="5:8" x14ac:dyDescent="0.25">
      <c r="E1669" t="str">
        <f>"GVE202004016131"</f>
        <v>GVE202004016131</v>
      </c>
      <c r="F1669" t="str">
        <f>"GUARDIAN VISION VENDOR"</f>
        <v>GUARDIAN VISION VENDOR</v>
      </c>
      <c r="G1669" s="5">
        <v>616.23</v>
      </c>
      <c r="H1669" t="str">
        <f>"GUARDIAN VISION VENDOR"</f>
        <v>GUARDIAN VISION VENDOR</v>
      </c>
    </row>
    <row r="1670" spans="5:8" x14ac:dyDescent="0.25">
      <c r="E1670" t="str">
        <f>"GVE202004016132"</f>
        <v>GVE202004016132</v>
      </c>
      <c r="F1670" t="str">
        <f>"GUARDIAN VISION VENDOR"</f>
        <v>GUARDIAN VISION VENDOR</v>
      </c>
      <c r="G1670" s="5">
        <v>33.21</v>
      </c>
      <c r="H1670" t="str">
        <f>"GUARDIAN VISION VENDOR"</f>
        <v>GUARDIAN VISION VENDOR</v>
      </c>
    </row>
    <row r="1671" spans="5:8" x14ac:dyDescent="0.25">
      <c r="E1671" t="str">
        <f>"GVE202004156438"</f>
        <v>GVE202004156438</v>
      </c>
      <c r="F1671" t="str">
        <f>"GUARDIAN VISION VENDOR"</f>
        <v>GUARDIAN VISION VENDOR</v>
      </c>
      <c r="G1671" s="5">
        <v>616.23</v>
      </c>
      <c r="H1671" t="str">
        <f>"GUARDIAN VISION VENDOR"</f>
        <v>GUARDIAN VISION VENDOR</v>
      </c>
    </row>
    <row r="1672" spans="5:8" x14ac:dyDescent="0.25">
      <c r="E1672" t="str">
        <f>"GVE202004156439"</f>
        <v>GVE202004156439</v>
      </c>
      <c r="F1672" t="str">
        <f>"GUARDIAN VISION VENDOR"</f>
        <v>GUARDIAN VISION VENDOR</v>
      </c>
      <c r="G1672" s="5">
        <v>33.21</v>
      </c>
      <c r="H1672" t="str">
        <f>"GUARDIAN VISION VENDOR"</f>
        <v>GUARDIAN VISION VENDOR</v>
      </c>
    </row>
    <row r="1673" spans="5:8" x14ac:dyDescent="0.25">
      <c r="E1673" t="str">
        <f>"GVF202004016131"</f>
        <v>GVF202004016131</v>
      </c>
      <c r="F1673" t="str">
        <f>"GUARDIAN VISION"</f>
        <v>GUARDIAN VISION</v>
      </c>
      <c r="G1673" s="5">
        <v>561.45000000000005</v>
      </c>
      <c r="H1673" t="str">
        <f>"GUARDIAN VISION"</f>
        <v>GUARDIAN VISION</v>
      </c>
    </row>
    <row r="1674" spans="5:8" x14ac:dyDescent="0.25">
      <c r="E1674" t="str">
        <f>"GVF202004016132"</f>
        <v>GVF202004016132</v>
      </c>
      <c r="F1674" t="str">
        <f>"GUARDIAN VISION VENDOR"</f>
        <v>GUARDIAN VISION VENDOR</v>
      </c>
      <c r="G1674" s="5">
        <v>39.4</v>
      </c>
      <c r="H1674" t="str">
        <f>"GUARDIAN VISION VENDOR"</f>
        <v>GUARDIAN VISION VENDOR</v>
      </c>
    </row>
    <row r="1675" spans="5:8" x14ac:dyDescent="0.25">
      <c r="E1675" t="str">
        <f>"GVF202004156438"</f>
        <v>GVF202004156438</v>
      </c>
      <c r="F1675" t="str">
        <f>"GUARDIAN VISION"</f>
        <v>GUARDIAN VISION</v>
      </c>
      <c r="G1675" s="5">
        <v>561.45000000000005</v>
      </c>
      <c r="H1675" t="str">
        <f>"GUARDIAN VISION"</f>
        <v>GUARDIAN VISION</v>
      </c>
    </row>
    <row r="1676" spans="5:8" x14ac:dyDescent="0.25">
      <c r="E1676" t="str">
        <f>"GVF202004156439"</f>
        <v>GVF202004156439</v>
      </c>
      <c r="F1676" t="str">
        <f>"GUARDIAN VISION VENDOR"</f>
        <v>GUARDIAN VISION VENDOR</v>
      </c>
      <c r="G1676" s="5">
        <v>39.4</v>
      </c>
      <c r="H1676" t="str">
        <f>"GUARDIAN VISION VENDOR"</f>
        <v>GUARDIAN VISION VENDOR</v>
      </c>
    </row>
    <row r="1677" spans="5:8" x14ac:dyDescent="0.25">
      <c r="E1677" t="str">
        <f>"LIA202004016131"</f>
        <v>LIA202004016131</v>
      </c>
      <c r="F1677" t="str">
        <f>"GUARDIAN"</f>
        <v>GUARDIAN</v>
      </c>
      <c r="G1677" s="5">
        <v>141.03</v>
      </c>
      <c r="H1677" t="str">
        <f t="shared" ref="H1677:H1708" si="25">"GUARDIAN"</f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5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5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5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5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5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5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5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5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5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5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5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5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5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5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5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5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5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5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5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5"/>
        <v>GUARDIAN</v>
      </c>
    </row>
    <row r="1698" spans="5:8" x14ac:dyDescent="0.25">
      <c r="E1698" t="str">
        <f>"LIA202004016132"</f>
        <v>LIA202004016132</v>
      </c>
      <c r="F1698" t="str">
        <f>"GUARDIAN"</f>
        <v>GUARDIAN</v>
      </c>
      <c r="G1698" s="5">
        <v>40.799999999999997</v>
      </c>
      <c r="H1698" t="str">
        <f t="shared" si="25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5"/>
        <v>GUARDIAN</v>
      </c>
    </row>
    <row r="1700" spans="5:8" x14ac:dyDescent="0.25">
      <c r="E1700" t="str">
        <f>"LIA202004156438"</f>
        <v>LIA202004156438</v>
      </c>
      <c r="F1700" t="str">
        <f>"GUARDIAN"</f>
        <v>GUARDIAN</v>
      </c>
      <c r="G1700" s="5">
        <v>183</v>
      </c>
      <c r="H1700" t="str">
        <f t="shared" si="25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5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5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5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5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5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5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5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5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ref="H1709:H1740" si="26">"GUARDIAN"</f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26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6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26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6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6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6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6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6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6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6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6"/>
        <v>GUARDIAN</v>
      </c>
    </row>
    <row r="1721" spans="5:8" x14ac:dyDescent="0.25">
      <c r="E1721" t="str">
        <f>"LIA202004156439"</f>
        <v>LIA202004156439</v>
      </c>
      <c r="F1721" t="str">
        <f>"GUARDIAN"</f>
        <v>GUARDIAN</v>
      </c>
      <c r="G1721" s="5">
        <v>40.799999999999997</v>
      </c>
      <c r="H1721" t="str">
        <f t="shared" si="26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6"/>
        <v>GUARDIAN</v>
      </c>
    </row>
    <row r="1723" spans="5:8" x14ac:dyDescent="0.25">
      <c r="E1723" t="str">
        <f>"LIC202004016131"</f>
        <v>LIC202004016131</v>
      </c>
      <c r="F1723" t="str">
        <f>"GUARDIAN"</f>
        <v>GUARDIAN</v>
      </c>
      <c r="G1723" s="5">
        <v>33.270000000000003</v>
      </c>
      <c r="H1723" t="str">
        <f t="shared" si="26"/>
        <v>GUARDIAN</v>
      </c>
    </row>
    <row r="1724" spans="5:8" x14ac:dyDescent="0.25">
      <c r="E1724" t="str">
        <f>"LIC202004016132"</f>
        <v>LIC202004016132</v>
      </c>
      <c r="F1724" t="str">
        <f>"GUARDIAN"</f>
        <v>GUARDIAN</v>
      </c>
      <c r="G1724" s="5">
        <v>1.05</v>
      </c>
      <c r="H1724" t="str">
        <f t="shared" si="26"/>
        <v>GUARDIAN</v>
      </c>
    </row>
    <row r="1725" spans="5:8" x14ac:dyDescent="0.25">
      <c r="E1725" t="str">
        <f>"LIC202004156438"</f>
        <v>LIC202004156438</v>
      </c>
      <c r="F1725" t="str">
        <f>"GUARDIAN"</f>
        <v>GUARDIAN</v>
      </c>
      <c r="G1725" s="5">
        <v>33.270000000000003</v>
      </c>
      <c r="H1725" t="str">
        <f t="shared" si="26"/>
        <v>GUARDIAN</v>
      </c>
    </row>
    <row r="1726" spans="5:8" x14ac:dyDescent="0.25">
      <c r="E1726" t="str">
        <f>"LIC202004156439"</f>
        <v>LIC202004156439</v>
      </c>
      <c r="F1726" t="str">
        <f>"GUARDIAN"</f>
        <v>GUARDIAN</v>
      </c>
      <c r="G1726" s="5">
        <v>1.05</v>
      </c>
      <c r="H1726" t="str">
        <f t="shared" si="26"/>
        <v>GUARDIAN</v>
      </c>
    </row>
    <row r="1727" spans="5:8" x14ac:dyDescent="0.25">
      <c r="E1727" t="str">
        <f>"LIE202004016131"</f>
        <v>LIE202004016131</v>
      </c>
      <c r="F1727" t="str">
        <f>"GUARDIAN"</f>
        <v>GUARDIAN</v>
      </c>
      <c r="G1727" s="5">
        <v>3741.87</v>
      </c>
      <c r="H1727" t="str">
        <f t="shared" si="26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6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6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6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6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6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26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6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26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6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6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6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26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6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ref="H1741:H1772" si="27">"GUARDIAN"</f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7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7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7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7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7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7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7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7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7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7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7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7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7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7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7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7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7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7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7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27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7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7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27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27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27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27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27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27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27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7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27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ref="H1773:H1804" si="28">"GUARDIAN"</f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28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8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8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8"/>
        <v>GUARDIAN</v>
      </c>
    </row>
    <row r="1778" spans="5:8" x14ac:dyDescent="0.25">
      <c r="E1778" t="str">
        <f>"LIE202004016132"</f>
        <v>LIE202004016132</v>
      </c>
      <c r="F1778" t="str">
        <f>"GUARDIAN"</f>
        <v>GUARDIAN</v>
      </c>
      <c r="G1778" s="5">
        <v>90.2</v>
      </c>
      <c r="H1778" t="str">
        <f t="shared" si="28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8"/>
        <v>GUARDIAN</v>
      </c>
    </row>
    <row r="1780" spans="5:8" x14ac:dyDescent="0.25">
      <c r="E1780" t="str">
        <f>"LIE202004156438"</f>
        <v>LIE202004156438</v>
      </c>
      <c r="F1780" t="str">
        <f>"GUARDIAN"</f>
        <v>GUARDIAN</v>
      </c>
      <c r="G1780" s="5">
        <v>3741.87</v>
      </c>
      <c r="H1780" t="str">
        <f t="shared" si="28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28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8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8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8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8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8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28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28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28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28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28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28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28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28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8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8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28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28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28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28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28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8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28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8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ref="H1805:H1836" si="29">"GUARDIAN"</f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29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9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9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9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9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9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9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29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9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9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9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9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9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9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9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9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9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9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9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9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9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29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9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29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9"/>
        <v>GUARDIAN</v>
      </c>
    </row>
    <row r="1831" spans="5:8" x14ac:dyDescent="0.25">
      <c r="E1831" t="str">
        <f>"LIE202004156439"</f>
        <v>LIE202004156439</v>
      </c>
      <c r="F1831" t="str">
        <f>"GUARDIAN"</f>
        <v>GUARDIAN</v>
      </c>
      <c r="G1831" s="5">
        <v>90.2</v>
      </c>
      <c r="H1831" t="str">
        <f t="shared" si="29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9"/>
        <v>GUARDIAN</v>
      </c>
    </row>
    <row r="1833" spans="5:8" x14ac:dyDescent="0.25">
      <c r="E1833" t="str">
        <f>"LIS202004016131"</f>
        <v>LIS202004016131</v>
      </c>
      <c r="F1833" t="str">
        <f t="shared" ref="F1833:F1844" si="30">"GUARDIAN"</f>
        <v>GUARDIAN</v>
      </c>
      <c r="G1833" s="5">
        <v>504.37</v>
      </c>
      <c r="H1833" t="str">
        <f t="shared" si="29"/>
        <v>GUARDIAN</v>
      </c>
    </row>
    <row r="1834" spans="5:8" x14ac:dyDescent="0.25">
      <c r="E1834" t="str">
        <f>"LIS202004016132"</f>
        <v>LIS202004016132</v>
      </c>
      <c r="F1834" t="str">
        <f t="shared" si="30"/>
        <v>GUARDIAN</v>
      </c>
      <c r="G1834" s="5">
        <v>36.15</v>
      </c>
      <c r="H1834" t="str">
        <f t="shared" si="29"/>
        <v>GUARDIAN</v>
      </c>
    </row>
    <row r="1835" spans="5:8" x14ac:dyDescent="0.25">
      <c r="E1835" t="str">
        <f>"LIS202004156438"</f>
        <v>LIS202004156438</v>
      </c>
      <c r="F1835" t="str">
        <f t="shared" si="30"/>
        <v>GUARDIAN</v>
      </c>
      <c r="G1835" s="5">
        <v>504.37</v>
      </c>
      <c r="H1835" t="str">
        <f t="shared" si="29"/>
        <v>GUARDIAN</v>
      </c>
    </row>
    <row r="1836" spans="5:8" x14ac:dyDescent="0.25">
      <c r="E1836" t="str">
        <f>"LIS202004156439"</f>
        <v>LIS202004156439</v>
      </c>
      <c r="F1836" t="str">
        <f t="shared" si="30"/>
        <v>GUARDIAN</v>
      </c>
      <c r="G1836" s="5">
        <v>36.15</v>
      </c>
      <c r="H1836" t="str">
        <f t="shared" si="29"/>
        <v>GUARDIAN</v>
      </c>
    </row>
    <row r="1837" spans="5:8" x14ac:dyDescent="0.25">
      <c r="E1837" t="str">
        <f>"LTD202004016131"</f>
        <v>LTD202004016131</v>
      </c>
      <c r="F1837" t="str">
        <f t="shared" si="30"/>
        <v>GUARDIAN</v>
      </c>
      <c r="G1837" s="5">
        <v>864.68</v>
      </c>
      <c r="H1837" t="str">
        <f t="shared" ref="H1837:H1844" si="31">"GUARDIAN"</f>
        <v>GUARDIAN</v>
      </c>
    </row>
    <row r="1838" spans="5:8" x14ac:dyDescent="0.25">
      <c r="E1838" t="str">
        <f>"LTD202004016132"</f>
        <v>LTD202004016132</v>
      </c>
      <c r="F1838" t="str">
        <f t="shared" si="30"/>
        <v>GUARDIAN</v>
      </c>
      <c r="G1838" s="5">
        <v>6.11</v>
      </c>
      <c r="H1838" t="str">
        <f t="shared" si="31"/>
        <v>GUARDIAN</v>
      </c>
    </row>
    <row r="1839" spans="5:8" x14ac:dyDescent="0.25">
      <c r="E1839" t="str">
        <f>"LTD202004156438"</f>
        <v>LTD202004156438</v>
      </c>
      <c r="F1839" t="str">
        <f t="shared" si="30"/>
        <v>GUARDIAN</v>
      </c>
      <c r="G1839" s="5">
        <v>864.68</v>
      </c>
      <c r="H1839" t="str">
        <f t="shared" si="31"/>
        <v>GUARDIAN</v>
      </c>
    </row>
    <row r="1840" spans="5:8" x14ac:dyDescent="0.25">
      <c r="E1840" t="str">
        <f>"LTD202004156439"</f>
        <v>LTD202004156439</v>
      </c>
      <c r="F1840" t="str">
        <f t="shared" si="30"/>
        <v>GUARDIAN</v>
      </c>
      <c r="G1840" s="5">
        <v>6.11</v>
      </c>
      <c r="H1840" t="str">
        <f t="shared" si="31"/>
        <v>GUARDIAN</v>
      </c>
    </row>
    <row r="1841" spans="1:8" x14ac:dyDescent="0.25">
      <c r="A1841" t="s">
        <v>347</v>
      </c>
      <c r="B1841">
        <v>499</v>
      </c>
      <c r="C1841" s="5">
        <v>104.82</v>
      </c>
      <c r="D1841" s="1">
        <v>43949</v>
      </c>
      <c r="E1841" t="str">
        <f>"AEG202004016131"</f>
        <v>AEG202004016131</v>
      </c>
      <c r="F1841" t="str">
        <f t="shared" si="30"/>
        <v>GUARDIAN</v>
      </c>
      <c r="G1841" s="5">
        <v>6.66</v>
      </c>
      <c r="H1841" t="str">
        <f t="shared" si="31"/>
        <v>GUARDIAN</v>
      </c>
    </row>
    <row r="1842" spans="1:8" x14ac:dyDescent="0.25">
      <c r="E1842" t="str">
        <f>"AEG202004156438"</f>
        <v>AEG202004156438</v>
      </c>
      <c r="F1842" t="str">
        <f t="shared" si="30"/>
        <v>GUARDIAN</v>
      </c>
      <c r="G1842" s="5">
        <v>6.66</v>
      </c>
      <c r="H1842" t="str">
        <f t="shared" si="31"/>
        <v>GUARDIAN</v>
      </c>
    </row>
    <row r="1843" spans="1:8" x14ac:dyDescent="0.25">
      <c r="E1843" t="str">
        <f>"AFG202004016131"</f>
        <v>AFG202004016131</v>
      </c>
      <c r="F1843" t="str">
        <f t="shared" si="30"/>
        <v>GUARDIAN</v>
      </c>
      <c r="G1843" s="5">
        <v>46.03</v>
      </c>
      <c r="H1843" t="str">
        <f t="shared" si="31"/>
        <v>GUARDIAN</v>
      </c>
    </row>
    <row r="1844" spans="1:8" x14ac:dyDescent="0.25">
      <c r="E1844" t="str">
        <f>"AFG202004156438"</f>
        <v>AFG202004156438</v>
      </c>
      <c r="F1844" t="str">
        <f t="shared" si="30"/>
        <v>GUARDIAN</v>
      </c>
      <c r="G1844" s="5">
        <v>45.47</v>
      </c>
      <c r="H1844" t="str">
        <f t="shared" si="31"/>
        <v>GUARDIAN</v>
      </c>
    </row>
    <row r="1845" spans="1:8" x14ac:dyDescent="0.25">
      <c r="A1845" t="s">
        <v>348</v>
      </c>
      <c r="B1845">
        <v>466</v>
      </c>
      <c r="C1845" s="5">
        <v>243682.45</v>
      </c>
      <c r="D1845" s="1">
        <v>43924</v>
      </c>
      <c r="E1845" t="str">
        <f>"T1 202004016131"</f>
        <v>T1 202004016131</v>
      </c>
      <c r="F1845" t="str">
        <f>"FEDERAL WITHHOLDING"</f>
        <v>FEDERAL WITHHOLDING</v>
      </c>
      <c r="G1845" s="5">
        <v>81918.69</v>
      </c>
      <c r="H1845" t="str">
        <f>"FEDERAL WITHHOLDING"</f>
        <v>FEDERAL WITHHOLDING</v>
      </c>
    </row>
    <row r="1846" spans="1:8" x14ac:dyDescent="0.25">
      <c r="E1846" t="str">
        <f>"T1 202004016132"</f>
        <v>T1 202004016132</v>
      </c>
      <c r="F1846" t="str">
        <f>"FEDERAL WITHHOLDING"</f>
        <v>FEDERAL WITHHOLDING</v>
      </c>
      <c r="G1846" s="5">
        <v>3201.74</v>
      </c>
      <c r="H1846" t="str">
        <f>"FEDERAL WITHHOLDING"</f>
        <v>FEDERAL WITHHOLDING</v>
      </c>
    </row>
    <row r="1847" spans="1:8" x14ac:dyDescent="0.25">
      <c r="E1847" t="str">
        <f>"T1 202004016133"</f>
        <v>T1 202004016133</v>
      </c>
      <c r="F1847" t="str">
        <f>"FEDERAL WITHHOLDING"</f>
        <v>FEDERAL WITHHOLDING</v>
      </c>
      <c r="G1847" s="5">
        <v>3349.74</v>
      </c>
      <c r="H1847" t="str">
        <f>"FEDERAL WITHHOLDING"</f>
        <v>FEDERAL WITHHOLDING</v>
      </c>
    </row>
    <row r="1848" spans="1:8" x14ac:dyDescent="0.25">
      <c r="E1848" t="str">
        <f>"T3 202004016131"</f>
        <v>T3 202004016131</v>
      </c>
      <c r="F1848" t="str">
        <f>"SOCIAL SECURITY TAXES"</f>
        <v>SOCIAL SECURITY TAXES</v>
      </c>
      <c r="G1848" s="5">
        <v>116451.14</v>
      </c>
      <c r="H1848" t="str">
        <f t="shared" ref="H1848:H1879" si="32">"SOCIAL SECURITY TAXES"</f>
        <v>SOCIAL SECURITY TAXES</v>
      </c>
    </row>
    <row r="1849" spans="1:8" x14ac:dyDescent="0.25">
      <c r="E1849" t="str">
        <f>""</f>
        <v/>
      </c>
      <c r="F1849" t="str">
        <f>""</f>
        <v/>
      </c>
      <c r="H1849" t="str">
        <f t="shared" si="32"/>
        <v>SOCIAL SECURITY TAXES</v>
      </c>
    </row>
    <row r="1850" spans="1:8" x14ac:dyDescent="0.25">
      <c r="E1850" t="str">
        <f>""</f>
        <v/>
      </c>
      <c r="F1850" t="str">
        <f>""</f>
        <v/>
      </c>
      <c r="H1850" t="str">
        <f t="shared" si="32"/>
        <v>SOCIAL SECURITY TAXES</v>
      </c>
    </row>
    <row r="1851" spans="1:8" x14ac:dyDescent="0.25">
      <c r="E1851" t="str">
        <f>""</f>
        <v/>
      </c>
      <c r="F1851" t="str">
        <f>""</f>
        <v/>
      </c>
      <c r="H1851" t="str">
        <f t="shared" si="32"/>
        <v>SOCIAL SECURITY TAXES</v>
      </c>
    </row>
    <row r="1852" spans="1:8" x14ac:dyDescent="0.25">
      <c r="E1852" t="str">
        <f>""</f>
        <v/>
      </c>
      <c r="F1852" t="str">
        <f>""</f>
        <v/>
      </c>
      <c r="H1852" t="str">
        <f t="shared" si="32"/>
        <v>SOCIAL SECURITY TAXES</v>
      </c>
    </row>
    <row r="1853" spans="1:8" x14ac:dyDescent="0.25">
      <c r="E1853" t="str">
        <f>""</f>
        <v/>
      </c>
      <c r="F1853" t="str">
        <f>""</f>
        <v/>
      </c>
      <c r="H1853" t="str">
        <f t="shared" si="32"/>
        <v>SOCIAL SECURITY TAXES</v>
      </c>
    </row>
    <row r="1854" spans="1:8" x14ac:dyDescent="0.25">
      <c r="E1854" t="str">
        <f>""</f>
        <v/>
      </c>
      <c r="F1854" t="str">
        <f>""</f>
        <v/>
      </c>
      <c r="H1854" t="str">
        <f t="shared" si="32"/>
        <v>SOCIAL SECURITY TAXES</v>
      </c>
    </row>
    <row r="1855" spans="1:8" x14ac:dyDescent="0.25">
      <c r="E1855" t="str">
        <f>""</f>
        <v/>
      </c>
      <c r="F1855" t="str">
        <f>""</f>
        <v/>
      </c>
      <c r="H1855" t="str">
        <f t="shared" si="32"/>
        <v>SOCIAL SECURITY TAXES</v>
      </c>
    </row>
    <row r="1856" spans="1:8" x14ac:dyDescent="0.25">
      <c r="E1856" t="str">
        <f>""</f>
        <v/>
      </c>
      <c r="F1856" t="str">
        <f>""</f>
        <v/>
      </c>
      <c r="H1856" t="str">
        <f t="shared" si="32"/>
        <v>SOCIAL SECURITY TAXES</v>
      </c>
    </row>
    <row r="1857" spans="5:8" x14ac:dyDescent="0.25">
      <c r="E1857" t="str">
        <f>""</f>
        <v/>
      </c>
      <c r="F1857" t="str">
        <f>""</f>
        <v/>
      </c>
      <c r="H1857" t="str">
        <f t="shared" si="32"/>
        <v>SOCIAL SECURITY TAXES</v>
      </c>
    </row>
    <row r="1858" spans="5:8" x14ac:dyDescent="0.25">
      <c r="E1858" t="str">
        <f>""</f>
        <v/>
      </c>
      <c r="F1858" t="str">
        <f>""</f>
        <v/>
      </c>
      <c r="H1858" t="str">
        <f t="shared" si="32"/>
        <v>SOCIAL SECURITY TAXES</v>
      </c>
    </row>
    <row r="1859" spans="5:8" x14ac:dyDescent="0.25">
      <c r="E1859" t="str">
        <f>""</f>
        <v/>
      </c>
      <c r="F1859" t="str">
        <f>""</f>
        <v/>
      </c>
      <c r="H1859" t="str">
        <f t="shared" si="32"/>
        <v>SOCIAL SECURITY TAXES</v>
      </c>
    </row>
    <row r="1860" spans="5:8" x14ac:dyDescent="0.25">
      <c r="E1860" t="str">
        <f>""</f>
        <v/>
      </c>
      <c r="F1860" t="str">
        <f>""</f>
        <v/>
      </c>
      <c r="H1860" t="str">
        <f t="shared" si="32"/>
        <v>SOCIAL SECURITY TAXES</v>
      </c>
    </row>
    <row r="1861" spans="5:8" x14ac:dyDescent="0.25">
      <c r="E1861" t="str">
        <f>""</f>
        <v/>
      </c>
      <c r="F1861" t="str">
        <f>""</f>
        <v/>
      </c>
      <c r="H1861" t="str">
        <f t="shared" si="32"/>
        <v>SOCIAL SECURITY TAXES</v>
      </c>
    </row>
    <row r="1862" spans="5:8" x14ac:dyDescent="0.25">
      <c r="E1862" t="str">
        <f>""</f>
        <v/>
      </c>
      <c r="F1862" t="str">
        <f>""</f>
        <v/>
      </c>
      <c r="H1862" t="str">
        <f t="shared" si="32"/>
        <v>SOCIAL SECURITY TAXES</v>
      </c>
    </row>
    <row r="1863" spans="5:8" x14ac:dyDescent="0.25">
      <c r="E1863" t="str">
        <f>""</f>
        <v/>
      </c>
      <c r="F1863" t="str">
        <f>""</f>
        <v/>
      </c>
      <c r="H1863" t="str">
        <f t="shared" si="32"/>
        <v>SOCIAL SECURITY TAXES</v>
      </c>
    </row>
    <row r="1864" spans="5:8" x14ac:dyDescent="0.25">
      <c r="E1864" t="str">
        <f>""</f>
        <v/>
      </c>
      <c r="F1864" t="str">
        <f>""</f>
        <v/>
      </c>
      <c r="H1864" t="str">
        <f t="shared" si="32"/>
        <v>SOCIAL SECURITY TAXES</v>
      </c>
    </row>
    <row r="1865" spans="5:8" x14ac:dyDescent="0.25">
      <c r="E1865" t="str">
        <f>""</f>
        <v/>
      </c>
      <c r="F1865" t="str">
        <f>""</f>
        <v/>
      </c>
      <c r="H1865" t="str">
        <f t="shared" si="32"/>
        <v>SOCIAL SECURITY TAXES</v>
      </c>
    </row>
    <row r="1866" spans="5:8" x14ac:dyDescent="0.25">
      <c r="E1866" t="str">
        <f>""</f>
        <v/>
      </c>
      <c r="F1866" t="str">
        <f>""</f>
        <v/>
      </c>
      <c r="H1866" t="str">
        <f t="shared" si="32"/>
        <v>SOCIAL SECURITY TAXES</v>
      </c>
    </row>
    <row r="1867" spans="5:8" x14ac:dyDescent="0.25">
      <c r="E1867" t="str">
        <f>""</f>
        <v/>
      </c>
      <c r="F1867" t="str">
        <f>""</f>
        <v/>
      </c>
      <c r="H1867" t="str">
        <f t="shared" si="32"/>
        <v>SOCIAL SECURITY TAXES</v>
      </c>
    </row>
    <row r="1868" spans="5:8" x14ac:dyDescent="0.25">
      <c r="E1868" t="str">
        <f>""</f>
        <v/>
      </c>
      <c r="F1868" t="str">
        <f>""</f>
        <v/>
      </c>
      <c r="H1868" t="str">
        <f t="shared" si="32"/>
        <v>SOCIAL SECURITY TAXES</v>
      </c>
    </row>
    <row r="1869" spans="5:8" x14ac:dyDescent="0.25">
      <c r="E1869" t="str">
        <f>""</f>
        <v/>
      </c>
      <c r="F1869" t="str">
        <f>""</f>
        <v/>
      </c>
      <c r="H1869" t="str">
        <f t="shared" si="32"/>
        <v>SOCIAL SECURITY TAXES</v>
      </c>
    </row>
    <row r="1870" spans="5:8" x14ac:dyDescent="0.25">
      <c r="E1870" t="str">
        <f>""</f>
        <v/>
      </c>
      <c r="F1870" t="str">
        <f>""</f>
        <v/>
      </c>
      <c r="H1870" t="str">
        <f t="shared" si="32"/>
        <v>SOCIAL SECURITY TAXES</v>
      </c>
    </row>
    <row r="1871" spans="5:8" x14ac:dyDescent="0.25">
      <c r="E1871" t="str">
        <f>""</f>
        <v/>
      </c>
      <c r="F1871" t="str">
        <f>""</f>
        <v/>
      </c>
      <c r="H1871" t="str">
        <f t="shared" si="32"/>
        <v>SOCIAL SECURITY TAXES</v>
      </c>
    </row>
    <row r="1872" spans="5:8" x14ac:dyDescent="0.25">
      <c r="E1872" t="str">
        <f>""</f>
        <v/>
      </c>
      <c r="F1872" t="str">
        <f>""</f>
        <v/>
      </c>
      <c r="H1872" t="str">
        <f t="shared" si="32"/>
        <v>SOCIAL SECURITY TAXES</v>
      </c>
    </row>
    <row r="1873" spans="5:8" x14ac:dyDescent="0.25">
      <c r="E1873" t="str">
        <f>""</f>
        <v/>
      </c>
      <c r="F1873" t="str">
        <f>""</f>
        <v/>
      </c>
      <c r="H1873" t="str">
        <f t="shared" si="32"/>
        <v>SOCIAL SECURITY TAXES</v>
      </c>
    </row>
    <row r="1874" spans="5:8" x14ac:dyDescent="0.25">
      <c r="E1874" t="str">
        <f>""</f>
        <v/>
      </c>
      <c r="F1874" t="str">
        <f>""</f>
        <v/>
      </c>
      <c r="H1874" t="str">
        <f t="shared" si="32"/>
        <v>SOCIAL SECURITY TAXES</v>
      </c>
    </row>
    <row r="1875" spans="5:8" x14ac:dyDescent="0.25">
      <c r="E1875" t="str">
        <f>""</f>
        <v/>
      </c>
      <c r="F1875" t="str">
        <f>""</f>
        <v/>
      </c>
      <c r="H1875" t="str">
        <f t="shared" si="32"/>
        <v>SOCIAL SECURITY TAXES</v>
      </c>
    </row>
    <row r="1876" spans="5:8" x14ac:dyDescent="0.25">
      <c r="E1876" t="str">
        <f>""</f>
        <v/>
      </c>
      <c r="F1876" t="str">
        <f>""</f>
        <v/>
      </c>
      <c r="H1876" t="str">
        <f t="shared" si="32"/>
        <v>SOCIAL SECURITY TAXES</v>
      </c>
    </row>
    <row r="1877" spans="5:8" x14ac:dyDescent="0.25">
      <c r="E1877" t="str">
        <f>""</f>
        <v/>
      </c>
      <c r="F1877" t="str">
        <f>""</f>
        <v/>
      </c>
      <c r="H1877" t="str">
        <f t="shared" si="32"/>
        <v>SOCIAL SECURITY TAXES</v>
      </c>
    </row>
    <row r="1878" spans="5:8" x14ac:dyDescent="0.25">
      <c r="E1878" t="str">
        <f>""</f>
        <v/>
      </c>
      <c r="F1878" t="str">
        <f>""</f>
        <v/>
      </c>
      <c r="H1878" t="str">
        <f t="shared" si="32"/>
        <v>SOCIAL SECURITY TAXES</v>
      </c>
    </row>
    <row r="1879" spans="5:8" x14ac:dyDescent="0.25">
      <c r="E1879" t="str">
        <f>""</f>
        <v/>
      </c>
      <c r="F1879" t="str">
        <f>""</f>
        <v/>
      </c>
      <c r="H1879" t="str">
        <f t="shared" si="32"/>
        <v>SOCIAL SECURITY TAXES</v>
      </c>
    </row>
    <row r="1880" spans="5:8" x14ac:dyDescent="0.25">
      <c r="E1880" t="str">
        <f>""</f>
        <v/>
      </c>
      <c r="F1880" t="str">
        <f>""</f>
        <v/>
      </c>
      <c r="H1880" t="str">
        <f t="shared" ref="H1880:H1904" si="33">"SOCIAL SECURITY TAXES"</f>
        <v>SOCIAL SECURITY TAXES</v>
      </c>
    </row>
    <row r="1881" spans="5:8" x14ac:dyDescent="0.25">
      <c r="E1881" t="str">
        <f>""</f>
        <v/>
      </c>
      <c r="F1881" t="str">
        <f>""</f>
        <v/>
      </c>
      <c r="H1881" t="str">
        <f t="shared" si="33"/>
        <v>SOCIAL SECURITY TAXES</v>
      </c>
    </row>
    <row r="1882" spans="5:8" x14ac:dyDescent="0.25">
      <c r="E1882" t="str">
        <f>""</f>
        <v/>
      </c>
      <c r="F1882" t="str">
        <f>""</f>
        <v/>
      </c>
      <c r="H1882" t="str">
        <f t="shared" si="33"/>
        <v>SOCIAL SECURITY TAXES</v>
      </c>
    </row>
    <row r="1883" spans="5:8" x14ac:dyDescent="0.25">
      <c r="E1883" t="str">
        <f>""</f>
        <v/>
      </c>
      <c r="F1883" t="str">
        <f>""</f>
        <v/>
      </c>
      <c r="H1883" t="str">
        <f t="shared" si="33"/>
        <v>SOCIAL SECURITY TAXES</v>
      </c>
    </row>
    <row r="1884" spans="5:8" x14ac:dyDescent="0.25">
      <c r="E1884" t="str">
        <f>""</f>
        <v/>
      </c>
      <c r="F1884" t="str">
        <f>""</f>
        <v/>
      </c>
      <c r="H1884" t="str">
        <f t="shared" si="33"/>
        <v>SOCIAL SECURITY TAXES</v>
      </c>
    </row>
    <row r="1885" spans="5:8" x14ac:dyDescent="0.25">
      <c r="E1885" t="str">
        <f>""</f>
        <v/>
      </c>
      <c r="F1885" t="str">
        <f>""</f>
        <v/>
      </c>
      <c r="H1885" t="str">
        <f t="shared" si="33"/>
        <v>SOCIAL SECURITY TAXES</v>
      </c>
    </row>
    <row r="1886" spans="5:8" x14ac:dyDescent="0.25">
      <c r="E1886" t="str">
        <f>""</f>
        <v/>
      </c>
      <c r="F1886" t="str">
        <f>""</f>
        <v/>
      </c>
      <c r="H1886" t="str">
        <f t="shared" si="33"/>
        <v>SOCIAL SECURITY TAXES</v>
      </c>
    </row>
    <row r="1887" spans="5:8" x14ac:dyDescent="0.25">
      <c r="E1887" t="str">
        <f>""</f>
        <v/>
      </c>
      <c r="F1887" t="str">
        <f>""</f>
        <v/>
      </c>
      <c r="H1887" t="str">
        <f t="shared" si="33"/>
        <v>SOCIAL SECURITY TAXES</v>
      </c>
    </row>
    <row r="1888" spans="5:8" x14ac:dyDescent="0.25">
      <c r="E1888" t="str">
        <f>""</f>
        <v/>
      </c>
      <c r="F1888" t="str">
        <f>""</f>
        <v/>
      </c>
      <c r="H1888" t="str">
        <f t="shared" si="33"/>
        <v>SOCIAL SECURITY TAXES</v>
      </c>
    </row>
    <row r="1889" spans="5:8" x14ac:dyDescent="0.25">
      <c r="E1889" t="str">
        <f>""</f>
        <v/>
      </c>
      <c r="F1889" t="str">
        <f>""</f>
        <v/>
      </c>
      <c r="H1889" t="str">
        <f t="shared" si="33"/>
        <v>SOCIAL SECURITY TAXES</v>
      </c>
    </row>
    <row r="1890" spans="5:8" x14ac:dyDescent="0.25">
      <c r="E1890" t="str">
        <f>""</f>
        <v/>
      </c>
      <c r="F1890" t="str">
        <f>""</f>
        <v/>
      </c>
      <c r="H1890" t="str">
        <f t="shared" si="33"/>
        <v>SOCIAL SECURITY TAXES</v>
      </c>
    </row>
    <row r="1891" spans="5:8" x14ac:dyDescent="0.25">
      <c r="E1891" t="str">
        <f>""</f>
        <v/>
      </c>
      <c r="F1891" t="str">
        <f>""</f>
        <v/>
      </c>
      <c r="H1891" t="str">
        <f t="shared" si="33"/>
        <v>SOCIAL SECURITY TAXES</v>
      </c>
    </row>
    <row r="1892" spans="5:8" x14ac:dyDescent="0.25">
      <c r="E1892" t="str">
        <f>""</f>
        <v/>
      </c>
      <c r="F1892" t="str">
        <f>""</f>
        <v/>
      </c>
      <c r="H1892" t="str">
        <f t="shared" si="33"/>
        <v>SOCIAL SECURITY TAXES</v>
      </c>
    </row>
    <row r="1893" spans="5:8" x14ac:dyDescent="0.25">
      <c r="E1893" t="str">
        <f>""</f>
        <v/>
      </c>
      <c r="F1893" t="str">
        <f>""</f>
        <v/>
      </c>
      <c r="H1893" t="str">
        <f t="shared" si="33"/>
        <v>SOCIAL SECURITY TAXES</v>
      </c>
    </row>
    <row r="1894" spans="5:8" x14ac:dyDescent="0.25">
      <c r="E1894" t="str">
        <f>""</f>
        <v/>
      </c>
      <c r="F1894" t="str">
        <f>""</f>
        <v/>
      </c>
      <c r="H1894" t="str">
        <f t="shared" si="33"/>
        <v>SOCIAL SECURITY TAXES</v>
      </c>
    </row>
    <row r="1895" spans="5:8" x14ac:dyDescent="0.25">
      <c r="E1895" t="str">
        <f>""</f>
        <v/>
      </c>
      <c r="F1895" t="str">
        <f>""</f>
        <v/>
      </c>
      <c r="H1895" t="str">
        <f t="shared" si="33"/>
        <v>SOCIAL SECURITY TAXES</v>
      </c>
    </row>
    <row r="1896" spans="5:8" x14ac:dyDescent="0.25">
      <c r="E1896" t="str">
        <f>""</f>
        <v/>
      </c>
      <c r="F1896" t="str">
        <f>""</f>
        <v/>
      </c>
      <c r="H1896" t="str">
        <f t="shared" si="33"/>
        <v>SOCIAL SECURITY TAXES</v>
      </c>
    </row>
    <row r="1897" spans="5:8" x14ac:dyDescent="0.25">
      <c r="E1897" t="str">
        <f>""</f>
        <v/>
      </c>
      <c r="F1897" t="str">
        <f>""</f>
        <v/>
      </c>
      <c r="H1897" t="str">
        <f t="shared" si="33"/>
        <v>SOCIAL SECURITY TAXES</v>
      </c>
    </row>
    <row r="1898" spans="5:8" x14ac:dyDescent="0.25">
      <c r="E1898" t="str">
        <f>""</f>
        <v/>
      </c>
      <c r="F1898" t="str">
        <f>""</f>
        <v/>
      </c>
      <c r="H1898" t="str">
        <f t="shared" si="33"/>
        <v>SOCIAL SECURITY TAXES</v>
      </c>
    </row>
    <row r="1899" spans="5:8" x14ac:dyDescent="0.25">
      <c r="E1899" t="str">
        <f>""</f>
        <v/>
      </c>
      <c r="F1899" t="str">
        <f>""</f>
        <v/>
      </c>
      <c r="H1899" t="str">
        <f t="shared" si="33"/>
        <v>SOCIAL SECURITY TAXES</v>
      </c>
    </row>
    <row r="1900" spans="5:8" x14ac:dyDescent="0.25">
      <c r="E1900" t="str">
        <f>""</f>
        <v/>
      </c>
      <c r="F1900" t="str">
        <f>""</f>
        <v/>
      </c>
      <c r="H1900" t="str">
        <f t="shared" si="33"/>
        <v>SOCIAL SECURITY TAXES</v>
      </c>
    </row>
    <row r="1901" spans="5:8" x14ac:dyDescent="0.25">
      <c r="E1901" t="str">
        <f>"T3 202004016132"</f>
        <v>T3 202004016132</v>
      </c>
      <c r="F1901" t="str">
        <f>"SOCIAL SECURITY TAXES"</f>
        <v>SOCIAL SECURITY TAXES</v>
      </c>
      <c r="G1901" s="5">
        <v>4415</v>
      </c>
      <c r="H1901" t="str">
        <f t="shared" si="33"/>
        <v>SOCIAL SECURITY TAXES</v>
      </c>
    </row>
    <row r="1902" spans="5:8" x14ac:dyDescent="0.25">
      <c r="E1902" t="str">
        <f>""</f>
        <v/>
      </c>
      <c r="F1902" t="str">
        <f>""</f>
        <v/>
      </c>
      <c r="H1902" t="str">
        <f t="shared" si="33"/>
        <v>SOCIAL SECURITY TAXES</v>
      </c>
    </row>
    <row r="1903" spans="5:8" x14ac:dyDescent="0.25">
      <c r="E1903" t="str">
        <f>"T3 202004016133"</f>
        <v>T3 202004016133</v>
      </c>
      <c r="F1903" t="str">
        <f>"SOCIAL SECURITY TAXES"</f>
        <v>SOCIAL SECURITY TAXES</v>
      </c>
      <c r="G1903" s="5">
        <v>4926.88</v>
      </c>
      <c r="H1903" t="str">
        <f t="shared" si="33"/>
        <v>SOCIAL SECURITY TAXES</v>
      </c>
    </row>
    <row r="1904" spans="5:8" x14ac:dyDescent="0.25">
      <c r="E1904" t="str">
        <f>""</f>
        <v/>
      </c>
      <c r="F1904" t="str">
        <f>""</f>
        <v/>
      </c>
      <c r="H1904" t="str">
        <f t="shared" si="33"/>
        <v>SOCIAL SECURITY TAXES</v>
      </c>
    </row>
    <row r="1905" spans="5:8" x14ac:dyDescent="0.25">
      <c r="E1905" t="str">
        <f>"T4 202004016131"</f>
        <v>T4 202004016131</v>
      </c>
      <c r="F1905" t="str">
        <f>"MEDICARE TAXES"</f>
        <v>MEDICARE TAXES</v>
      </c>
      <c r="G1905" s="5">
        <v>27234.44</v>
      </c>
      <c r="H1905" t="str">
        <f t="shared" ref="H1905:H1936" si="34">"MEDICARE TAXES"</f>
        <v>MEDICARE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34"/>
        <v>MEDICARE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34"/>
        <v>MEDICARE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34"/>
        <v>MEDICARE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34"/>
        <v>MEDICARE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34"/>
        <v>MEDICARE TAXES</v>
      </c>
    </row>
    <row r="1911" spans="5:8" x14ac:dyDescent="0.25">
      <c r="E1911" t="str">
        <f>""</f>
        <v/>
      </c>
      <c r="F1911" t="str">
        <f>""</f>
        <v/>
      </c>
      <c r="H1911" t="str">
        <f t="shared" si="34"/>
        <v>MEDICARE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34"/>
        <v>MEDICARE TAXES</v>
      </c>
    </row>
    <row r="1913" spans="5:8" x14ac:dyDescent="0.25">
      <c r="E1913" t="str">
        <f>""</f>
        <v/>
      </c>
      <c r="F1913" t="str">
        <f>""</f>
        <v/>
      </c>
      <c r="H1913" t="str">
        <f t="shared" si="34"/>
        <v>MEDICARE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34"/>
        <v>MEDICARE TAXES</v>
      </c>
    </row>
    <row r="1915" spans="5:8" x14ac:dyDescent="0.25">
      <c r="E1915" t="str">
        <f>""</f>
        <v/>
      </c>
      <c r="F1915" t="str">
        <f>""</f>
        <v/>
      </c>
      <c r="H1915" t="str">
        <f t="shared" si="34"/>
        <v>MEDICARE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34"/>
        <v>MEDICARE TAXES</v>
      </c>
    </row>
    <row r="1917" spans="5:8" x14ac:dyDescent="0.25">
      <c r="E1917" t="str">
        <f>""</f>
        <v/>
      </c>
      <c r="F1917" t="str">
        <f>""</f>
        <v/>
      </c>
      <c r="H1917" t="str">
        <f t="shared" si="34"/>
        <v>MEDICARE TAXES</v>
      </c>
    </row>
    <row r="1918" spans="5:8" x14ac:dyDescent="0.25">
      <c r="E1918" t="str">
        <f>""</f>
        <v/>
      </c>
      <c r="F1918" t="str">
        <f>""</f>
        <v/>
      </c>
      <c r="H1918" t="str">
        <f t="shared" si="34"/>
        <v>MEDICARE TAXES</v>
      </c>
    </row>
    <row r="1919" spans="5:8" x14ac:dyDescent="0.25">
      <c r="E1919" t="str">
        <f>""</f>
        <v/>
      </c>
      <c r="F1919" t="str">
        <f>""</f>
        <v/>
      </c>
      <c r="H1919" t="str">
        <f t="shared" si="34"/>
        <v>MEDICARE TAXES</v>
      </c>
    </row>
    <row r="1920" spans="5:8" x14ac:dyDescent="0.25">
      <c r="E1920" t="str">
        <f>""</f>
        <v/>
      </c>
      <c r="F1920" t="str">
        <f>""</f>
        <v/>
      </c>
      <c r="H1920" t="str">
        <f t="shared" si="34"/>
        <v>MEDICARE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34"/>
        <v>MEDICARE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34"/>
        <v>MEDICARE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34"/>
        <v>MEDICARE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34"/>
        <v>MEDICARE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34"/>
        <v>MEDICARE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34"/>
        <v>MEDICARE TAXES</v>
      </c>
    </row>
    <row r="1927" spans="5:8" x14ac:dyDescent="0.25">
      <c r="E1927" t="str">
        <f>""</f>
        <v/>
      </c>
      <c r="F1927" t="str">
        <f>""</f>
        <v/>
      </c>
      <c r="H1927" t="str">
        <f t="shared" si="34"/>
        <v>MEDICARE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34"/>
        <v>MEDICARE TAXES</v>
      </c>
    </row>
    <row r="1929" spans="5:8" x14ac:dyDescent="0.25">
      <c r="E1929" t="str">
        <f>""</f>
        <v/>
      </c>
      <c r="F1929" t="str">
        <f>""</f>
        <v/>
      </c>
      <c r="H1929" t="str">
        <f t="shared" si="34"/>
        <v>MEDICARE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34"/>
        <v>MEDICARE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34"/>
        <v>MEDICARE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34"/>
        <v>MEDICARE TAXES</v>
      </c>
    </row>
    <row r="1933" spans="5:8" x14ac:dyDescent="0.25">
      <c r="E1933" t="str">
        <f>""</f>
        <v/>
      </c>
      <c r="F1933" t="str">
        <f>""</f>
        <v/>
      </c>
      <c r="H1933" t="str">
        <f t="shared" si="34"/>
        <v>MEDICARE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34"/>
        <v>MEDICARE TAXES</v>
      </c>
    </row>
    <row r="1935" spans="5:8" x14ac:dyDescent="0.25">
      <c r="E1935" t="str">
        <f>""</f>
        <v/>
      </c>
      <c r="F1935" t="str">
        <f>""</f>
        <v/>
      </c>
      <c r="H1935" t="str">
        <f t="shared" si="34"/>
        <v>MEDICARE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34"/>
        <v>MEDICARE TAXES</v>
      </c>
    </row>
    <row r="1937" spans="5:8" x14ac:dyDescent="0.25">
      <c r="E1937" t="str">
        <f>""</f>
        <v/>
      </c>
      <c r="F1937" t="str">
        <f>""</f>
        <v/>
      </c>
      <c r="H1937" t="str">
        <f t="shared" ref="H1937:H1961" si="35">"MEDICARE TAXES"</f>
        <v>MEDICARE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35"/>
        <v>MEDICARE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35"/>
        <v>MEDICARE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35"/>
        <v>MEDICARE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35"/>
        <v>MEDICARE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35"/>
        <v>MEDICARE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35"/>
        <v>MEDICARE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35"/>
        <v>MEDICARE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35"/>
        <v>MEDICARE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35"/>
        <v>MEDICARE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35"/>
        <v>MEDICARE TAXES</v>
      </c>
    </row>
    <row r="1948" spans="5:8" x14ac:dyDescent="0.25">
      <c r="E1948" t="str">
        <f>""</f>
        <v/>
      </c>
      <c r="F1948" t="str">
        <f>""</f>
        <v/>
      </c>
      <c r="H1948" t="str">
        <f t="shared" si="35"/>
        <v>MEDICARE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35"/>
        <v>MEDICARE TAXES</v>
      </c>
    </row>
    <row r="1950" spans="5:8" x14ac:dyDescent="0.25">
      <c r="E1950" t="str">
        <f>""</f>
        <v/>
      </c>
      <c r="F1950" t="str">
        <f>""</f>
        <v/>
      </c>
      <c r="H1950" t="str">
        <f t="shared" si="35"/>
        <v>MEDICARE TAXES</v>
      </c>
    </row>
    <row r="1951" spans="5:8" x14ac:dyDescent="0.25">
      <c r="E1951" t="str">
        <f>""</f>
        <v/>
      </c>
      <c r="F1951" t="str">
        <f>""</f>
        <v/>
      </c>
      <c r="H1951" t="str">
        <f t="shared" si="35"/>
        <v>MEDICARE TAXES</v>
      </c>
    </row>
    <row r="1952" spans="5:8" x14ac:dyDescent="0.25">
      <c r="E1952" t="str">
        <f>""</f>
        <v/>
      </c>
      <c r="F1952" t="str">
        <f>""</f>
        <v/>
      </c>
      <c r="H1952" t="str">
        <f t="shared" si="35"/>
        <v>MEDICARE TAXES</v>
      </c>
    </row>
    <row r="1953" spans="1:8" x14ac:dyDescent="0.25">
      <c r="E1953" t="str">
        <f>""</f>
        <v/>
      </c>
      <c r="F1953" t="str">
        <f>""</f>
        <v/>
      </c>
      <c r="H1953" t="str">
        <f t="shared" si="35"/>
        <v>MEDICARE TAXES</v>
      </c>
    </row>
    <row r="1954" spans="1:8" x14ac:dyDescent="0.25">
      <c r="E1954" t="str">
        <f>""</f>
        <v/>
      </c>
      <c r="F1954" t="str">
        <f>""</f>
        <v/>
      </c>
      <c r="H1954" t="str">
        <f t="shared" si="35"/>
        <v>MEDICARE TAXES</v>
      </c>
    </row>
    <row r="1955" spans="1:8" x14ac:dyDescent="0.25">
      <c r="E1955" t="str">
        <f>""</f>
        <v/>
      </c>
      <c r="F1955" t="str">
        <f>""</f>
        <v/>
      </c>
      <c r="H1955" t="str">
        <f t="shared" si="35"/>
        <v>MEDICARE TAXES</v>
      </c>
    </row>
    <row r="1956" spans="1:8" x14ac:dyDescent="0.25">
      <c r="E1956" t="str">
        <f>""</f>
        <v/>
      </c>
      <c r="F1956" t="str">
        <f>""</f>
        <v/>
      </c>
      <c r="H1956" t="str">
        <f t="shared" si="35"/>
        <v>MEDICARE TAXES</v>
      </c>
    </row>
    <row r="1957" spans="1:8" x14ac:dyDescent="0.25">
      <c r="E1957" t="str">
        <f>""</f>
        <v/>
      </c>
      <c r="F1957" t="str">
        <f>""</f>
        <v/>
      </c>
      <c r="H1957" t="str">
        <f t="shared" si="35"/>
        <v>MEDICARE TAXES</v>
      </c>
    </row>
    <row r="1958" spans="1:8" x14ac:dyDescent="0.25">
      <c r="E1958" t="str">
        <f>"T4 202004016132"</f>
        <v>T4 202004016132</v>
      </c>
      <c r="F1958" t="str">
        <f>"MEDICARE TAXES"</f>
        <v>MEDICARE TAXES</v>
      </c>
      <c r="G1958" s="5">
        <v>1032.54</v>
      </c>
      <c r="H1958" t="str">
        <f t="shared" si="35"/>
        <v>MEDICARE TAXES</v>
      </c>
    </row>
    <row r="1959" spans="1:8" x14ac:dyDescent="0.25">
      <c r="E1959" t="str">
        <f>""</f>
        <v/>
      </c>
      <c r="F1959" t="str">
        <f>""</f>
        <v/>
      </c>
      <c r="H1959" t="str">
        <f t="shared" si="35"/>
        <v>MEDICARE TAXES</v>
      </c>
    </row>
    <row r="1960" spans="1:8" x14ac:dyDescent="0.25">
      <c r="E1960" t="str">
        <f>"T4 202004016133"</f>
        <v>T4 202004016133</v>
      </c>
      <c r="F1960" t="str">
        <f>"MEDICARE TAXES"</f>
        <v>MEDICARE TAXES</v>
      </c>
      <c r="G1960" s="5">
        <v>1152.28</v>
      </c>
      <c r="H1960" t="str">
        <f t="shared" si="35"/>
        <v>MEDICARE TAXES</v>
      </c>
    </row>
    <row r="1961" spans="1:8" x14ac:dyDescent="0.25">
      <c r="E1961" t="str">
        <f>""</f>
        <v/>
      </c>
      <c r="F1961" t="str">
        <f>""</f>
        <v/>
      </c>
      <c r="H1961" t="str">
        <f t="shared" si="35"/>
        <v>MEDICARE TAXES</v>
      </c>
    </row>
    <row r="1962" spans="1:8" x14ac:dyDescent="0.25">
      <c r="A1962" t="s">
        <v>348</v>
      </c>
      <c r="B1962">
        <v>475</v>
      </c>
      <c r="C1962" s="5">
        <v>245056.9</v>
      </c>
      <c r="D1962" s="1">
        <v>43938</v>
      </c>
      <c r="E1962" t="str">
        <f>"T1 202004156438"</f>
        <v>T1 202004156438</v>
      </c>
      <c r="F1962" t="str">
        <f>"FEDERAL WITHHOLDING"</f>
        <v>FEDERAL WITHHOLDING</v>
      </c>
      <c r="G1962" s="5">
        <v>82582.42</v>
      </c>
      <c r="H1962" t="str">
        <f>"FEDERAL WITHHOLDING"</f>
        <v>FEDERAL WITHHOLDING</v>
      </c>
    </row>
    <row r="1963" spans="1:8" x14ac:dyDescent="0.25">
      <c r="E1963" t="str">
        <f>"T1 202004156439"</f>
        <v>T1 202004156439</v>
      </c>
      <c r="F1963" t="str">
        <f>"FEDERAL WITHHOLDING"</f>
        <v>FEDERAL WITHHOLDING</v>
      </c>
      <c r="G1963" s="5">
        <v>3198.64</v>
      </c>
      <c r="H1963" t="str">
        <f>"FEDERAL WITHHOLDING"</f>
        <v>FEDERAL WITHHOLDING</v>
      </c>
    </row>
    <row r="1964" spans="1:8" x14ac:dyDescent="0.25">
      <c r="E1964" t="str">
        <f>"T1 202004156440"</f>
        <v>T1 202004156440</v>
      </c>
      <c r="F1964" t="str">
        <f>"FEDERAL WITHHOLDING"</f>
        <v>FEDERAL WITHHOLDING</v>
      </c>
      <c r="G1964" s="5">
        <v>3341.56</v>
      </c>
      <c r="H1964" t="str">
        <f>"FEDERAL WITHHOLDING"</f>
        <v>FEDERAL WITHHOLDING</v>
      </c>
    </row>
    <row r="1965" spans="1:8" x14ac:dyDescent="0.25">
      <c r="E1965" t="str">
        <f>"T3 202004156438"</f>
        <v>T3 202004156438</v>
      </c>
      <c r="F1965" t="str">
        <f>"SOCIAL SECURITY TAXES"</f>
        <v>SOCIAL SECURITY TAXES</v>
      </c>
      <c r="G1965" s="5">
        <v>117053</v>
      </c>
      <c r="H1965" t="str">
        <f t="shared" ref="H1965:H1996" si="36">"SOCIAL SECURITY TAXES"</f>
        <v>SOCIAL SECURITY TAXES</v>
      </c>
    </row>
    <row r="1966" spans="1:8" x14ac:dyDescent="0.25">
      <c r="E1966" t="str">
        <f>""</f>
        <v/>
      </c>
      <c r="F1966" t="str">
        <f>""</f>
        <v/>
      </c>
      <c r="H1966" t="str">
        <f t="shared" si="36"/>
        <v>SOCIAL SECURITY TAXES</v>
      </c>
    </row>
    <row r="1967" spans="1:8" x14ac:dyDescent="0.25">
      <c r="E1967" t="str">
        <f>""</f>
        <v/>
      </c>
      <c r="F1967" t="str">
        <f>""</f>
        <v/>
      </c>
      <c r="H1967" t="str">
        <f t="shared" si="36"/>
        <v>SOCIAL SECURITY TAXES</v>
      </c>
    </row>
    <row r="1968" spans="1:8" x14ac:dyDescent="0.25">
      <c r="E1968" t="str">
        <f>""</f>
        <v/>
      </c>
      <c r="F1968" t="str">
        <f>""</f>
        <v/>
      </c>
      <c r="H1968" t="str">
        <f t="shared" si="36"/>
        <v>SOCIAL SECURITY TAXES</v>
      </c>
    </row>
    <row r="1969" spans="5:8" x14ac:dyDescent="0.25">
      <c r="E1969" t="str">
        <f>""</f>
        <v/>
      </c>
      <c r="F1969" t="str">
        <f>""</f>
        <v/>
      </c>
      <c r="H1969" t="str">
        <f t="shared" si="36"/>
        <v>SOCIAL SECURITY TAXES</v>
      </c>
    </row>
    <row r="1970" spans="5:8" x14ac:dyDescent="0.25">
      <c r="E1970" t="str">
        <f>""</f>
        <v/>
      </c>
      <c r="F1970" t="str">
        <f>""</f>
        <v/>
      </c>
      <c r="H1970" t="str">
        <f t="shared" si="36"/>
        <v>SOCIAL SECURITY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36"/>
        <v>SOCIAL SECURITY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36"/>
        <v>SOCIAL SECURITY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36"/>
        <v>SOCIAL SECURITY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36"/>
        <v>SOCIAL SECURITY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36"/>
        <v>SOCIAL SECURITY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36"/>
        <v>SOCIAL SECURITY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36"/>
        <v>SOCIAL SECURITY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36"/>
        <v>SOCIAL SECURITY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36"/>
        <v>SOCIAL SECURITY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36"/>
        <v>SOCIAL SECURITY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36"/>
        <v>SOCIAL SECURITY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36"/>
        <v>SOCIAL SECURITY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36"/>
        <v>SOCIAL SECURITY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36"/>
        <v>SOCIAL SECURITY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36"/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36"/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36"/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36"/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36"/>
        <v>SOCIAL SECURITY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36"/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36"/>
        <v>SOCIAL SECURITY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36"/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36"/>
        <v>SOCIAL SECURITY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36"/>
        <v>SOCIAL SECURITY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36"/>
        <v>SOCIAL SECURITY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36"/>
        <v>SOCIAL SECURITY TAXES</v>
      </c>
    </row>
    <row r="1997" spans="5:8" x14ac:dyDescent="0.25">
      <c r="E1997" t="str">
        <f>""</f>
        <v/>
      </c>
      <c r="F1997" t="str">
        <f>""</f>
        <v/>
      </c>
      <c r="H1997" t="str">
        <f t="shared" ref="H1997:H2021" si="37">"SOCIAL SECURITY TAXES"</f>
        <v>SOCIAL SECURITY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37"/>
        <v>SOCIAL SECURITY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37"/>
        <v>SOCIAL SECURITY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37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7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7"/>
        <v>SOCIAL SECURITY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37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7"/>
        <v>SOCIAL SECURITY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37"/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37"/>
        <v>SOCIAL SECURITY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37"/>
        <v>SOCIAL SECURITY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37"/>
        <v>SOCIAL SECURITY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7"/>
        <v>SOCIAL SECURITY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37"/>
        <v>SOCIAL SECURITY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37"/>
        <v>SOCIAL SECURITY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37"/>
        <v>SOCIAL SECURITY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37"/>
        <v>SOCIAL SECURITY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37"/>
        <v>SOCIAL SECURITY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37"/>
        <v>SOCIAL SECURITY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37"/>
        <v>SOCIAL SECURITY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37"/>
        <v>SOCIAL SECURITY TAXES</v>
      </c>
    </row>
    <row r="2018" spans="5:8" x14ac:dyDescent="0.25">
      <c r="E2018" t="str">
        <f>"T3 202004156439"</f>
        <v>T3 202004156439</v>
      </c>
      <c r="F2018" t="str">
        <f>"SOCIAL SECURITY TAXES"</f>
        <v>SOCIAL SECURITY TAXES</v>
      </c>
      <c r="G2018" s="5">
        <v>4407.42</v>
      </c>
      <c r="H2018" t="str">
        <f t="shared" si="37"/>
        <v>SOCIAL SECURITY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37"/>
        <v>SOCIAL SECURITY TAXES</v>
      </c>
    </row>
    <row r="2020" spans="5:8" x14ac:dyDescent="0.25">
      <c r="E2020" t="str">
        <f>"T3 202004156440"</f>
        <v>T3 202004156440</v>
      </c>
      <c r="F2020" t="str">
        <f>"SOCIAL SECURITY TAXES"</f>
        <v>SOCIAL SECURITY TAXES</v>
      </c>
      <c r="G2020" s="5">
        <v>4917.78</v>
      </c>
      <c r="H2020" t="str">
        <f t="shared" si="37"/>
        <v>SOCIAL SECURITY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37"/>
        <v>SOCIAL SECURITY TAXES</v>
      </c>
    </row>
    <row r="2022" spans="5:8" x14ac:dyDescent="0.25">
      <c r="E2022" t="str">
        <f>"T4 202004156438"</f>
        <v>T4 202004156438</v>
      </c>
      <c r="F2022" t="str">
        <f>"MEDICARE TAXES"</f>
        <v>MEDICARE TAXES</v>
      </c>
      <c r="G2022" s="5">
        <v>27375.16</v>
      </c>
      <c r="H2022" t="str">
        <f t="shared" ref="H2022:H2053" si="38">"MEDICARE TAXES"</f>
        <v>MEDICARE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38"/>
        <v>MEDICARE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38"/>
        <v>MEDICARE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38"/>
        <v>MEDICARE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38"/>
        <v>MEDICARE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38"/>
        <v>MEDICARE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38"/>
        <v>MEDICARE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38"/>
        <v>MEDICARE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38"/>
        <v>MEDICARE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38"/>
        <v>MEDICARE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38"/>
        <v>MEDICARE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38"/>
        <v>MEDICARE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38"/>
        <v>MEDICARE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38"/>
        <v>MEDICARE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38"/>
        <v>MEDICARE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38"/>
        <v>MEDICARE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38"/>
        <v>MEDICARE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38"/>
        <v>MEDICARE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38"/>
        <v>MEDICARE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38"/>
        <v>MEDICARE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38"/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38"/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38"/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38"/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38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38"/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38"/>
        <v>MEDICARE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38"/>
        <v>MEDICARE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38"/>
        <v>MEDICARE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38"/>
        <v>MEDICARE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38"/>
        <v>MEDICARE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38"/>
        <v>MEDICARE TAXES</v>
      </c>
    </row>
    <row r="2054" spans="5:8" x14ac:dyDescent="0.25">
      <c r="E2054" t="str">
        <f>""</f>
        <v/>
      </c>
      <c r="F2054" t="str">
        <f>""</f>
        <v/>
      </c>
      <c r="H2054" t="str">
        <f t="shared" ref="H2054:H2078" si="39">"MEDICARE TAXES"</f>
        <v>MEDICARE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39"/>
        <v>MEDICARE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39"/>
        <v>MEDICARE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39"/>
        <v>MEDICARE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39"/>
        <v>MEDICARE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39"/>
        <v>MEDICARE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39"/>
        <v>MEDICARE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39"/>
        <v>MEDICARE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39"/>
        <v>MEDICARE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39"/>
        <v>MEDICARE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39"/>
        <v>MEDICARE TAXES</v>
      </c>
    </row>
    <row r="2065" spans="1:8" x14ac:dyDescent="0.25">
      <c r="E2065" t="str">
        <f>""</f>
        <v/>
      </c>
      <c r="F2065" t="str">
        <f>""</f>
        <v/>
      </c>
      <c r="H2065" t="str">
        <f t="shared" si="39"/>
        <v>MEDICARE TAXES</v>
      </c>
    </row>
    <row r="2066" spans="1:8" x14ac:dyDescent="0.25">
      <c r="E2066" t="str">
        <f>""</f>
        <v/>
      </c>
      <c r="F2066" t="str">
        <f>""</f>
        <v/>
      </c>
      <c r="H2066" t="str">
        <f t="shared" si="39"/>
        <v>MEDICARE TAXES</v>
      </c>
    </row>
    <row r="2067" spans="1:8" x14ac:dyDescent="0.25">
      <c r="E2067" t="str">
        <f>""</f>
        <v/>
      </c>
      <c r="F2067" t="str">
        <f>""</f>
        <v/>
      </c>
      <c r="H2067" t="str">
        <f t="shared" si="39"/>
        <v>MEDICARE TAXES</v>
      </c>
    </row>
    <row r="2068" spans="1:8" x14ac:dyDescent="0.25">
      <c r="E2068" t="str">
        <f>""</f>
        <v/>
      </c>
      <c r="F2068" t="str">
        <f>""</f>
        <v/>
      </c>
      <c r="H2068" t="str">
        <f t="shared" si="39"/>
        <v>MEDICARE TAXES</v>
      </c>
    </row>
    <row r="2069" spans="1:8" x14ac:dyDescent="0.25">
      <c r="E2069" t="str">
        <f>""</f>
        <v/>
      </c>
      <c r="F2069" t="str">
        <f>""</f>
        <v/>
      </c>
      <c r="H2069" t="str">
        <f t="shared" si="39"/>
        <v>MEDICARE TAXES</v>
      </c>
    </row>
    <row r="2070" spans="1:8" x14ac:dyDescent="0.25">
      <c r="E2070" t="str">
        <f>""</f>
        <v/>
      </c>
      <c r="F2070" t="str">
        <f>""</f>
        <v/>
      </c>
      <c r="H2070" t="str">
        <f t="shared" si="39"/>
        <v>MEDICARE TAXES</v>
      </c>
    </row>
    <row r="2071" spans="1:8" x14ac:dyDescent="0.25">
      <c r="E2071" t="str">
        <f>""</f>
        <v/>
      </c>
      <c r="F2071" t="str">
        <f>""</f>
        <v/>
      </c>
      <c r="H2071" t="str">
        <f t="shared" si="39"/>
        <v>MEDICARE TAXES</v>
      </c>
    </row>
    <row r="2072" spans="1:8" x14ac:dyDescent="0.25">
      <c r="E2072" t="str">
        <f>""</f>
        <v/>
      </c>
      <c r="F2072" t="str">
        <f>""</f>
        <v/>
      </c>
      <c r="H2072" t="str">
        <f t="shared" si="39"/>
        <v>MEDICARE TAXES</v>
      </c>
    </row>
    <row r="2073" spans="1:8" x14ac:dyDescent="0.25">
      <c r="E2073" t="str">
        <f>""</f>
        <v/>
      </c>
      <c r="F2073" t="str">
        <f>""</f>
        <v/>
      </c>
      <c r="H2073" t="str">
        <f t="shared" si="39"/>
        <v>MEDICARE TAXES</v>
      </c>
    </row>
    <row r="2074" spans="1:8" x14ac:dyDescent="0.25">
      <c r="E2074" t="str">
        <f>""</f>
        <v/>
      </c>
      <c r="F2074" t="str">
        <f>""</f>
        <v/>
      </c>
      <c r="H2074" t="str">
        <f t="shared" si="39"/>
        <v>MEDICARE TAXES</v>
      </c>
    </row>
    <row r="2075" spans="1:8" x14ac:dyDescent="0.25">
      <c r="E2075" t="str">
        <f>"T4 202004156439"</f>
        <v>T4 202004156439</v>
      </c>
      <c r="F2075" t="str">
        <f>"MEDICARE TAXES"</f>
        <v>MEDICARE TAXES</v>
      </c>
      <c r="G2075" s="5">
        <v>1030.78</v>
      </c>
      <c r="H2075" t="str">
        <f t="shared" si="39"/>
        <v>MEDICARE TAXES</v>
      </c>
    </row>
    <row r="2076" spans="1:8" x14ac:dyDescent="0.25">
      <c r="E2076" t="str">
        <f>""</f>
        <v/>
      </c>
      <c r="F2076" t="str">
        <f>""</f>
        <v/>
      </c>
      <c r="H2076" t="str">
        <f t="shared" si="39"/>
        <v>MEDICARE TAXES</v>
      </c>
    </row>
    <row r="2077" spans="1:8" x14ac:dyDescent="0.25">
      <c r="E2077" t="str">
        <f>"T4 202004156440"</f>
        <v>T4 202004156440</v>
      </c>
      <c r="F2077" t="str">
        <f>"MEDICARE TAXES"</f>
        <v>MEDICARE TAXES</v>
      </c>
      <c r="G2077" s="5">
        <v>1150.1400000000001</v>
      </c>
      <c r="H2077" t="str">
        <f t="shared" si="39"/>
        <v>MEDICARE TAXES</v>
      </c>
    </row>
    <row r="2078" spans="1:8" x14ac:dyDescent="0.25">
      <c r="E2078" t="str">
        <f>""</f>
        <v/>
      </c>
      <c r="F2078" t="str">
        <f>""</f>
        <v/>
      </c>
      <c r="H2078" t="str">
        <f t="shared" si="39"/>
        <v>MEDICARE TAXES</v>
      </c>
    </row>
    <row r="2079" spans="1:8" x14ac:dyDescent="0.25">
      <c r="A2079" t="s">
        <v>349</v>
      </c>
      <c r="B2079">
        <v>500</v>
      </c>
      <c r="C2079" s="5">
        <v>535.82000000000005</v>
      </c>
      <c r="D2079" s="1">
        <v>43949</v>
      </c>
      <c r="E2079" t="str">
        <f>"LIX202004016131"</f>
        <v>LIX202004016131</v>
      </c>
      <c r="F2079" t="str">
        <f>"TEXAS LIFE/OLIVO GROUP"</f>
        <v>TEXAS LIFE/OLIVO GROUP</v>
      </c>
      <c r="G2079" s="5">
        <v>267.91000000000003</v>
      </c>
      <c r="H2079" t="str">
        <f>"TEXAS LIFE/OLIVO GROUP"</f>
        <v>TEXAS LIFE/OLIVO GROUP</v>
      </c>
    </row>
    <row r="2080" spans="1:8" x14ac:dyDescent="0.25">
      <c r="E2080" t="str">
        <f>"LIX202004156438"</f>
        <v>LIX202004156438</v>
      </c>
      <c r="F2080" t="str">
        <f>"TEXAS LIFE/OLIVO GROUP"</f>
        <v>TEXAS LIFE/OLIVO GROUP</v>
      </c>
      <c r="G2080" s="5">
        <v>267.91000000000003</v>
      </c>
      <c r="H2080" t="str">
        <f>"TEXAS LIFE/OLIVO GROUP"</f>
        <v>TEXAS LIFE/OLIVO GROUP</v>
      </c>
    </row>
    <row r="2081" spans="1:8" x14ac:dyDescent="0.25">
      <c r="A2081" t="s">
        <v>350</v>
      </c>
      <c r="B2081">
        <v>47910</v>
      </c>
      <c r="C2081" s="5">
        <v>120</v>
      </c>
      <c r="D2081" s="1">
        <v>43949</v>
      </c>
      <c r="E2081" t="str">
        <f>"PHI202004016131"</f>
        <v>PHI202004016131</v>
      </c>
      <c r="F2081" t="str">
        <f>"PHI AIR"</f>
        <v>PHI AIR</v>
      </c>
      <c r="G2081" s="5">
        <v>40</v>
      </c>
      <c r="H2081" t="str">
        <f>"PHI AIR"</f>
        <v>PHI AIR</v>
      </c>
    </row>
    <row r="2082" spans="1:8" x14ac:dyDescent="0.25">
      <c r="E2082" t="str">
        <f>"PHI202004156438"</f>
        <v>PHI202004156438</v>
      </c>
      <c r="F2082" t="str">
        <f>"PHI AIR"</f>
        <v>PHI AIR</v>
      </c>
      <c r="G2082" s="5">
        <v>80</v>
      </c>
      <c r="H2082" t="str">
        <f>"PHI AIR"</f>
        <v>PHI AIR</v>
      </c>
    </row>
    <row r="2083" spans="1:8" x14ac:dyDescent="0.25">
      <c r="A2083" t="s">
        <v>351</v>
      </c>
      <c r="B2083">
        <v>47909</v>
      </c>
      <c r="C2083" s="5">
        <v>364149.8</v>
      </c>
      <c r="D2083" s="1">
        <v>43949</v>
      </c>
      <c r="E2083" t="str">
        <f>"202004286614"</f>
        <v>202004286614</v>
      </c>
      <c r="F2083" t="str">
        <f>"M Vasquez Dep BC fronting"</f>
        <v>M Vasquez Dep BC fronting</v>
      </c>
      <c r="G2083" s="5">
        <v>-82.8</v>
      </c>
      <c r="H2083" t="str">
        <f>"TAC HEALTH BENEFITS POOL"</f>
        <v>TAC HEALTH BENEFITS POOL</v>
      </c>
    </row>
    <row r="2084" spans="1:8" x14ac:dyDescent="0.25">
      <c r="E2084" t="str">
        <f>"202004286613"</f>
        <v>202004286613</v>
      </c>
      <c r="F2084" t="str">
        <f>"RETIREE INS APRIL 2020"</f>
        <v>RETIREE INS APRIL 2020</v>
      </c>
      <c r="G2084" s="5">
        <v>16818.88</v>
      </c>
      <c r="H2084" t="str">
        <f>"TAC HEALTH BENEFITS POOL"</f>
        <v>TAC HEALTH BENEFITS POOL</v>
      </c>
    </row>
    <row r="2085" spans="1:8" x14ac:dyDescent="0.25">
      <c r="E2085" t="str">
        <f>"2EC202004016131"</f>
        <v>2EC202004016131</v>
      </c>
      <c r="F2085" t="str">
        <f>"BCBS PAYABLE"</f>
        <v>BCBS PAYABLE</v>
      </c>
      <c r="G2085" s="5">
        <v>49256.639999999999</v>
      </c>
      <c r="H2085" t="str">
        <f t="shared" ref="H2085:H2116" si="40">"BCBS PAYABLE"</f>
        <v>BCBS PAYABLE</v>
      </c>
    </row>
    <row r="2086" spans="1:8" x14ac:dyDescent="0.25">
      <c r="E2086" t="str">
        <f>""</f>
        <v/>
      </c>
      <c r="F2086" t="str">
        <f>""</f>
        <v/>
      </c>
      <c r="H2086" t="str">
        <f t="shared" si="40"/>
        <v>BCBS PAYABLE</v>
      </c>
    </row>
    <row r="2087" spans="1:8" x14ac:dyDescent="0.25">
      <c r="E2087" t="str">
        <f>""</f>
        <v/>
      </c>
      <c r="F2087" t="str">
        <f>""</f>
        <v/>
      </c>
      <c r="H2087" t="str">
        <f t="shared" si="40"/>
        <v>BCBS PAYABLE</v>
      </c>
    </row>
    <row r="2088" spans="1:8" x14ac:dyDescent="0.25">
      <c r="E2088" t="str">
        <f>""</f>
        <v/>
      </c>
      <c r="F2088" t="str">
        <f>""</f>
        <v/>
      </c>
      <c r="H2088" t="str">
        <f t="shared" si="40"/>
        <v>BCBS PAYABLE</v>
      </c>
    </row>
    <row r="2089" spans="1:8" x14ac:dyDescent="0.25">
      <c r="E2089" t="str">
        <f>""</f>
        <v/>
      </c>
      <c r="F2089" t="str">
        <f>""</f>
        <v/>
      </c>
      <c r="H2089" t="str">
        <f t="shared" si="40"/>
        <v>BCBS PAYABLE</v>
      </c>
    </row>
    <row r="2090" spans="1:8" x14ac:dyDescent="0.25">
      <c r="E2090" t="str">
        <f>""</f>
        <v/>
      </c>
      <c r="F2090" t="str">
        <f>""</f>
        <v/>
      </c>
      <c r="H2090" t="str">
        <f t="shared" si="40"/>
        <v>BCBS PAYABLE</v>
      </c>
    </row>
    <row r="2091" spans="1:8" x14ac:dyDescent="0.25">
      <c r="E2091" t="str">
        <f>""</f>
        <v/>
      </c>
      <c r="F2091" t="str">
        <f>""</f>
        <v/>
      </c>
      <c r="H2091" t="str">
        <f t="shared" si="40"/>
        <v>BCBS PAYABLE</v>
      </c>
    </row>
    <row r="2092" spans="1:8" x14ac:dyDescent="0.25">
      <c r="E2092" t="str">
        <f>""</f>
        <v/>
      </c>
      <c r="F2092" t="str">
        <f>""</f>
        <v/>
      </c>
      <c r="H2092" t="str">
        <f t="shared" si="40"/>
        <v>BCBS PAYABLE</v>
      </c>
    </row>
    <row r="2093" spans="1:8" x14ac:dyDescent="0.25">
      <c r="E2093" t="str">
        <f>""</f>
        <v/>
      </c>
      <c r="F2093" t="str">
        <f>""</f>
        <v/>
      </c>
      <c r="H2093" t="str">
        <f t="shared" si="40"/>
        <v>BCBS PAYABLE</v>
      </c>
    </row>
    <row r="2094" spans="1:8" x14ac:dyDescent="0.25">
      <c r="E2094" t="str">
        <f>""</f>
        <v/>
      </c>
      <c r="F2094" t="str">
        <f>""</f>
        <v/>
      </c>
      <c r="H2094" t="str">
        <f t="shared" si="40"/>
        <v>BCBS PAYABLE</v>
      </c>
    </row>
    <row r="2095" spans="1:8" x14ac:dyDescent="0.25">
      <c r="E2095" t="str">
        <f>""</f>
        <v/>
      </c>
      <c r="F2095" t="str">
        <f>""</f>
        <v/>
      </c>
      <c r="H2095" t="str">
        <f t="shared" si="40"/>
        <v>BCBS PAYABLE</v>
      </c>
    </row>
    <row r="2096" spans="1:8" x14ac:dyDescent="0.25">
      <c r="E2096" t="str">
        <f>""</f>
        <v/>
      </c>
      <c r="F2096" t="str">
        <f>""</f>
        <v/>
      </c>
      <c r="H2096" t="str">
        <f t="shared" si="40"/>
        <v>BCBS PAYABLE</v>
      </c>
    </row>
    <row r="2097" spans="5:8" x14ac:dyDescent="0.25">
      <c r="E2097" t="str">
        <f>""</f>
        <v/>
      </c>
      <c r="F2097" t="str">
        <f>""</f>
        <v/>
      </c>
      <c r="H2097" t="str">
        <f t="shared" si="40"/>
        <v>BCBS PAYABLE</v>
      </c>
    </row>
    <row r="2098" spans="5:8" x14ac:dyDescent="0.25">
      <c r="E2098" t="str">
        <f>""</f>
        <v/>
      </c>
      <c r="F2098" t="str">
        <f>""</f>
        <v/>
      </c>
      <c r="H2098" t="str">
        <f t="shared" si="40"/>
        <v>BCBS PAYABLE</v>
      </c>
    </row>
    <row r="2099" spans="5:8" x14ac:dyDescent="0.25">
      <c r="E2099" t="str">
        <f>""</f>
        <v/>
      </c>
      <c r="F2099" t="str">
        <f>""</f>
        <v/>
      </c>
      <c r="H2099" t="str">
        <f t="shared" si="40"/>
        <v>BCBS PAYABLE</v>
      </c>
    </row>
    <row r="2100" spans="5:8" x14ac:dyDescent="0.25">
      <c r="E2100" t="str">
        <f>""</f>
        <v/>
      </c>
      <c r="F2100" t="str">
        <f>""</f>
        <v/>
      </c>
      <c r="H2100" t="str">
        <f t="shared" si="40"/>
        <v>BCBS PAYABLE</v>
      </c>
    </row>
    <row r="2101" spans="5:8" x14ac:dyDescent="0.25">
      <c r="E2101" t="str">
        <f>""</f>
        <v/>
      </c>
      <c r="F2101" t="str">
        <f>""</f>
        <v/>
      </c>
      <c r="H2101" t="str">
        <f t="shared" si="40"/>
        <v>BCBS PAYABLE</v>
      </c>
    </row>
    <row r="2102" spans="5:8" x14ac:dyDescent="0.25">
      <c r="E2102" t="str">
        <f>""</f>
        <v/>
      </c>
      <c r="F2102" t="str">
        <f>""</f>
        <v/>
      </c>
      <c r="H2102" t="str">
        <f t="shared" si="40"/>
        <v>BCBS PAYABLE</v>
      </c>
    </row>
    <row r="2103" spans="5:8" x14ac:dyDescent="0.25">
      <c r="E2103" t="str">
        <f>""</f>
        <v/>
      </c>
      <c r="F2103" t="str">
        <f>""</f>
        <v/>
      </c>
      <c r="H2103" t="str">
        <f t="shared" si="40"/>
        <v>BCBS PAYABLE</v>
      </c>
    </row>
    <row r="2104" spans="5:8" x14ac:dyDescent="0.25">
      <c r="E2104" t="str">
        <f>""</f>
        <v/>
      </c>
      <c r="F2104" t="str">
        <f>""</f>
        <v/>
      </c>
      <c r="H2104" t="str">
        <f t="shared" si="40"/>
        <v>BCBS PAYABLE</v>
      </c>
    </row>
    <row r="2105" spans="5:8" x14ac:dyDescent="0.25">
      <c r="E2105" t="str">
        <f>""</f>
        <v/>
      </c>
      <c r="F2105" t="str">
        <f>""</f>
        <v/>
      </c>
      <c r="H2105" t="str">
        <f t="shared" si="40"/>
        <v>BCBS PAYABLE</v>
      </c>
    </row>
    <row r="2106" spans="5:8" x14ac:dyDescent="0.25">
      <c r="E2106" t="str">
        <f>""</f>
        <v/>
      </c>
      <c r="F2106" t="str">
        <f>""</f>
        <v/>
      </c>
      <c r="H2106" t="str">
        <f t="shared" si="40"/>
        <v>BCBS PAYABLE</v>
      </c>
    </row>
    <row r="2107" spans="5:8" x14ac:dyDescent="0.25">
      <c r="E2107" t="str">
        <f>""</f>
        <v/>
      </c>
      <c r="F2107" t="str">
        <f>""</f>
        <v/>
      </c>
      <c r="H2107" t="str">
        <f t="shared" si="40"/>
        <v>BCBS PAYABLE</v>
      </c>
    </row>
    <row r="2108" spans="5:8" x14ac:dyDescent="0.25">
      <c r="E2108" t="str">
        <f>""</f>
        <v/>
      </c>
      <c r="F2108" t="str">
        <f>""</f>
        <v/>
      </c>
      <c r="H2108" t="str">
        <f t="shared" si="40"/>
        <v>BCBS PAYABLE</v>
      </c>
    </row>
    <row r="2109" spans="5:8" x14ac:dyDescent="0.25">
      <c r="E2109" t="str">
        <f>""</f>
        <v/>
      </c>
      <c r="F2109" t="str">
        <f>""</f>
        <v/>
      </c>
      <c r="H2109" t="str">
        <f t="shared" si="40"/>
        <v>BCBS PAYABLE</v>
      </c>
    </row>
    <row r="2110" spans="5:8" x14ac:dyDescent="0.25">
      <c r="E2110" t="str">
        <f>""</f>
        <v/>
      </c>
      <c r="F2110" t="str">
        <f>""</f>
        <v/>
      </c>
      <c r="H2110" t="str">
        <f t="shared" si="40"/>
        <v>BCBS PAYABLE</v>
      </c>
    </row>
    <row r="2111" spans="5:8" x14ac:dyDescent="0.25">
      <c r="E2111" t="str">
        <f>""</f>
        <v/>
      </c>
      <c r="F2111" t="str">
        <f>""</f>
        <v/>
      </c>
      <c r="H2111" t="str">
        <f t="shared" si="40"/>
        <v>BCBS PAYABLE</v>
      </c>
    </row>
    <row r="2112" spans="5:8" x14ac:dyDescent="0.25">
      <c r="E2112" t="str">
        <f>""</f>
        <v/>
      </c>
      <c r="F2112" t="str">
        <f>""</f>
        <v/>
      </c>
      <c r="H2112" t="str">
        <f t="shared" si="40"/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40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40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40"/>
        <v>BCBS PAYABLE</v>
      </c>
    </row>
    <row r="2116" spans="5:8" x14ac:dyDescent="0.25">
      <c r="E2116" t="str">
        <f>"2EC202004016132"</f>
        <v>2EC202004016132</v>
      </c>
      <c r="F2116" t="str">
        <f>"BCBS PAYABLE"</f>
        <v>BCBS PAYABLE</v>
      </c>
      <c r="G2116" s="5">
        <v>1824.32</v>
      </c>
      <c r="H2116" t="str">
        <f t="shared" si="40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ref="H2117:H2148" si="41">"BCBS PAYABLE"</f>
        <v>BCBS PAYABLE</v>
      </c>
    </row>
    <row r="2118" spans="5:8" x14ac:dyDescent="0.25">
      <c r="E2118" t="str">
        <f>"2EC202004156438"</f>
        <v>2EC202004156438</v>
      </c>
      <c r="F2118" t="str">
        <f>"BCBS PAYABLE"</f>
        <v>BCBS PAYABLE</v>
      </c>
      <c r="G2118" s="5">
        <v>49712.72</v>
      </c>
      <c r="H2118" t="str">
        <f t="shared" si="41"/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 t="shared" si="41"/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41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41"/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 t="shared" si="41"/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41"/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 t="shared" si="41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41"/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 t="shared" si="41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41"/>
        <v>BCBS PAYABLE</v>
      </c>
    </row>
    <row r="2128" spans="5:8" x14ac:dyDescent="0.25">
      <c r="E2128" t="str">
        <f>""</f>
        <v/>
      </c>
      <c r="F2128" t="str">
        <f>""</f>
        <v/>
      </c>
      <c r="H2128" t="str">
        <f t="shared" si="41"/>
        <v>BCBS PAYABLE</v>
      </c>
    </row>
    <row r="2129" spans="5:8" x14ac:dyDescent="0.25">
      <c r="E2129" t="str">
        <f>""</f>
        <v/>
      </c>
      <c r="F2129" t="str">
        <f>""</f>
        <v/>
      </c>
      <c r="H2129" t="str">
        <f t="shared" si="41"/>
        <v>BCBS PAYABLE</v>
      </c>
    </row>
    <row r="2130" spans="5:8" x14ac:dyDescent="0.25">
      <c r="E2130" t="str">
        <f>""</f>
        <v/>
      </c>
      <c r="F2130" t="str">
        <f>""</f>
        <v/>
      </c>
      <c r="H2130" t="str">
        <f t="shared" si="41"/>
        <v>BCBS PAYABLE</v>
      </c>
    </row>
    <row r="2131" spans="5:8" x14ac:dyDescent="0.25">
      <c r="E2131" t="str">
        <f>""</f>
        <v/>
      </c>
      <c r="F2131" t="str">
        <f>""</f>
        <v/>
      </c>
      <c r="H2131" t="str">
        <f t="shared" si="41"/>
        <v>BCBS PAYABLE</v>
      </c>
    </row>
    <row r="2132" spans="5:8" x14ac:dyDescent="0.25">
      <c r="E2132" t="str">
        <f>""</f>
        <v/>
      </c>
      <c r="F2132" t="str">
        <f>""</f>
        <v/>
      </c>
      <c r="H2132" t="str">
        <f t="shared" si="41"/>
        <v>BCBS PAYABLE</v>
      </c>
    </row>
    <row r="2133" spans="5:8" x14ac:dyDescent="0.25">
      <c r="E2133" t="str">
        <f>""</f>
        <v/>
      </c>
      <c r="F2133" t="str">
        <f>""</f>
        <v/>
      </c>
      <c r="H2133" t="str">
        <f t="shared" si="41"/>
        <v>BCBS PAYABLE</v>
      </c>
    </row>
    <row r="2134" spans="5:8" x14ac:dyDescent="0.25">
      <c r="E2134" t="str">
        <f>""</f>
        <v/>
      </c>
      <c r="F2134" t="str">
        <f>""</f>
        <v/>
      </c>
      <c r="H2134" t="str">
        <f t="shared" si="41"/>
        <v>BCBS PAYABLE</v>
      </c>
    </row>
    <row r="2135" spans="5:8" x14ac:dyDescent="0.25">
      <c r="E2135" t="str">
        <f>""</f>
        <v/>
      </c>
      <c r="F2135" t="str">
        <f>""</f>
        <v/>
      </c>
      <c r="H2135" t="str">
        <f t="shared" si="41"/>
        <v>BCBS PAYABLE</v>
      </c>
    </row>
    <row r="2136" spans="5:8" x14ac:dyDescent="0.25">
      <c r="E2136" t="str">
        <f>""</f>
        <v/>
      </c>
      <c r="F2136" t="str">
        <f>""</f>
        <v/>
      </c>
      <c r="H2136" t="str">
        <f t="shared" si="41"/>
        <v>BCBS PAYABLE</v>
      </c>
    </row>
    <row r="2137" spans="5:8" x14ac:dyDescent="0.25">
      <c r="E2137" t="str">
        <f>""</f>
        <v/>
      </c>
      <c r="F2137" t="str">
        <f>""</f>
        <v/>
      </c>
      <c r="H2137" t="str">
        <f t="shared" si="41"/>
        <v>BCBS PAYABLE</v>
      </c>
    </row>
    <row r="2138" spans="5:8" x14ac:dyDescent="0.25">
      <c r="E2138" t="str">
        <f>""</f>
        <v/>
      </c>
      <c r="F2138" t="str">
        <f>""</f>
        <v/>
      </c>
      <c r="H2138" t="str">
        <f t="shared" si="41"/>
        <v>BCBS PAYABLE</v>
      </c>
    </row>
    <row r="2139" spans="5:8" x14ac:dyDescent="0.25">
      <c r="E2139" t="str">
        <f>""</f>
        <v/>
      </c>
      <c r="F2139" t="str">
        <f>""</f>
        <v/>
      </c>
      <c r="H2139" t="str">
        <f t="shared" si="41"/>
        <v>BCBS PAYABLE</v>
      </c>
    </row>
    <row r="2140" spans="5:8" x14ac:dyDescent="0.25">
      <c r="E2140" t="str">
        <f>""</f>
        <v/>
      </c>
      <c r="F2140" t="str">
        <f>""</f>
        <v/>
      </c>
      <c r="H2140" t="str">
        <f t="shared" si="41"/>
        <v>BCBS PAYABLE</v>
      </c>
    </row>
    <row r="2141" spans="5:8" x14ac:dyDescent="0.25">
      <c r="E2141" t="str">
        <f>""</f>
        <v/>
      </c>
      <c r="F2141" t="str">
        <f>""</f>
        <v/>
      </c>
      <c r="H2141" t="str">
        <f t="shared" si="41"/>
        <v>BCBS PAYABLE</v>
      </c>
    </row>
    <row r="2142" spans="5:8" x14ac:dyDescent="0.25">
      <c r="E2142" t="str">
        <f>""</f>
        <v/>
      </c>
      <c r="F2142" t="str">
        <f>""</f>
        <v/>
      </c>
      <c r="H2142" t="str">
        <f t="shared" si="41"/>
        <v>BCBS PAYABLE</v>
      </c>
    </row>
    <row r="2143" spans="5:8" x14ac:dyDescent="0.25">
      <c r="E2143" t="str">
        <f>""</f>
        <v/>
      </c>
      <c r="F2143" t="str">
        <f>""</f>
        <v/>
      </c>
      <c r="H2143" t="str">
        <f t="shared" si="41"/>
        <v>BCBS PAYABLE</v>
      </c>
    </row>
    <row r="2144" spans="5:8" x14ac:dyDescent="0.25">
      <c r="E2144" t="str">
        <f>""</f>
        <v/>
      </c>
      <c r="F2144" t="str">
        <f>""</f>
        <v/>
      </c>
      <c r="H2144" t="str">
        <f t="shared" si="41"/>
        <v>BCBS PAYABLE</v>
      </c>
    </row>
    <row r="2145" spans="5:8" x14ac:dyDescent="0.25">
      <c r="E2145" t="str">
        <f>""</f>
        <v/>
      </c>
      <c r="F2145" t="str">
        <f>""</f>
        <v/>
      </c>
      <c r="H2145" t="str">
        <f t="shared" si="41"/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 t="shared" si="41"/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 t="shared" si="41"/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 t="shared" si="41"/>
        <v>BCBS PAYABLE</v>
      </c>
    </row>
    <row r="2149" spans="5:8" x14ac:dyDescent="0.25">
      <c r="E2149" t="str">
        <f>"2EC202004156439"</f>
        <v>2EC202004156439</v>
      </c>
      <c r="F2149" t="str">
        <f>"BCBS PAYABLE"</f>
        <v>BCBS PAYABLE</v>
      </c>
      <c r="G2149" s="5">
        <v>1824.32</v>
      </c>
      <c r="H2149" t="str">
        <f t="shared" ref="H2149:H2180" si="42">"BCBS PAYABLE"</f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 t="shared" si="42"/>
        <v>BCBS PAYABLE</v>
      </c>
    </row>
    <row r="2151" spans="5:8" x14ac:dyDescent="0.25">
      <c r="E2151" t="str">
        <f>"2EF202004016131"</f>
        <v>2EF202004016131</v>
      </c>
      <c r="F2151" t="str">
        <f>"BCBS PAYABLE"</f>
        <v>BCBS PAYABLE</v>
      </c>
      <c r="G2151" s="5">
        <v>1812.18</v>
      </c>
      <c r="H2151" t="str">
        <f t="shared" si="42"/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 t="shared" si="42"/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 t="shared" si="42"/>
        <v>BCBS PAYABLE</v>
      </c>
    </row>
    <row r="2154" spans="5:8" x14ac:dyDescent="0.25">
      <c r="E2154" t="str">
        <f>"2EF202004156438"</f>
        <v>2EF202004156438</v>
      </c>
      <c r="F2154" t="str">
        <f>"BCBS PAYABLE"</f>
        <v>BCBS PAYABLE</v>
      </c>
      <c r="G2154" s="5">
        <v>1812.18</v>
      </c>
      <c r="H2154" t="str">
        <f t="shared" si="42"/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 t="shared" si="42"/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 t="shared" si="42"/>
        <v>BCBS PAYABLE</v>
      </c>
    </row>
    <row r="2157" spans="5:8" x14ac:dyDescent="0.25">
      <c r="E2157" t="str">
        <f>"2EO202004016131"</f>
        <v>2EO202004016131</v>
      </c>
      <c r="F2157" t="str">
        <f>"BCBS PAYABLE"</f>
        <v>BCBS PAYABLE</v>
      </c>
      <c r="G2157" s="5">
        <v>101555.28</v>
      </c>
      <c r="H2157" t="str">
        <f t="shared" si="42"/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 t="shared" si="42"/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 t="shared" si="42"/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 t="shared" si="42"/>
        <v>BCBS PAYABLE</v>
      </c>
    </row>
    <row r="2161" spans="5:8" x14ac:dyDescent="0.25">
      <c r="E2161" t="str">
        <f>""</f>
        <v/>
      </c>
      <c r="F2161" t="str">
        <f>""</f>
        <v/>
      </c>
      <c r="H2161" t="str">
        <f t="shared" si="42"/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 t="shared" si="42"/>
        <v>BCBS PAYABLE</v>
      </c>
    </row>
    <row r="2163" spans="5:8" x14ac:dyDescent="0.25">
      <c r="E2163" t="str">
        <f>""</f>
        <v/>
      </c>
      <c r="F2163" t="str">
        <f>""</f>
        <v/>
      </c>
      <c r="H2163" t="str">
        <f t="shared" si="42"/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 t="shared" si="42"/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 t="shared" si="42"/>
        <v>BCBS PAYABLE</v>
      </c>
    </row>
    <row r="2166" spans="5:8" x14ac:dyDescent="0.25">
      <c r="E2166" t="str">
        <f>""</f>
        <v/>
      </c>
      <c r="F2166" t="str">
        <f>""</f>
        <v/>
      </c>
      <c r="H2166" t="str">
        <f t="shared" si="42"/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 t="shared" si="42"/>
        <v>BCBS PAYABLE</v>
      </c>
    </row>
    <row r="2168" spans="5:8" x14ac:dyDescent="0.25">
      <c r="E2168" t="str">
        <f>""</f>
        <v/>
      </c>
      <c r="F2168" t="str">
        <f>""</f>
        <v/>
      </c>
      <c r="H2168" t="str">
        <f t="shared" si="42"/>
        <v>BCBS PAYABLE</v>
      </c>
    </row>
    <row r="2169" spans="5:8" x14ac:dyDescent="0.25">
      <c r="E2169" t="str">
        <f>""</f>
        <v/>
      </c>
      <c r="F2169" t="str">
        <f>""</f>
        <v/>
      </c>
      <c r="H2169" t="str">
        <f t="shared" si="42"/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 t="shared" si="42"/>
        <v>BCBS PAYABLE</v>
      </c>
    </row>
    <row r="2171" spans="5:8" x14ac:dyDescent="0.25">
      <c r="E2171" t="str">
        <f>""</f>
        <v/>
      </c>
      <c r="F2171" t="str">
        <f>""</f>
        <v/>
      </c>
      <c r="H2171" t="str">
        <f t="shared" si="42"/>
        <v>BCBS PAYABLE</v>
      </c>
    </row>
    <row r="2172" spans="5:8" x14ac:dyDescent="0.25">
      <c r="E2172" t="str">
        <f>""</f>
        <v/>
      </c>
      <c r="F2172" t="str">
        <f>""</f>
        <v/>
      </c>
      <c r="H2172" t="str">
        <f t="shared" si="42"/>
        <v>BCBS PAYABLE</v>
      </c>
    </row>
    <row r="2173" spans="5:8" x14ac:dyDescent="0.25">
      <c r="E2173" t="str">
        <f>""</f>
        <v/>
      </c>
      <c r="F2173" t="str">
        <f>""</f>
        <v/>
      </c>
      <c r="H2173" t="str">
        <f t="shared" si="42"/>
        <v>BCBS PAYABLE</v>
      </c>
    </row>
    <row r="2174" spans="5:8" x14ac:dyDescent="0.25">
      <c r="E2174" t="str">
        <f>""</f>
        <v/>
      </c>
      <c r="F2174" t="str">
        <f>""</f>
        <v/>
      </c>
      <c r="H2174" t="str">
        <f t="shared" si="42"/>
        <v>BCBS PAYABLE</v>
      </c>
    </row>
    <row r="2175" spans="5:8" x14ac:dyDescent="0.25">
      <c r="E2175" t="str">
        <f>""</f>
        <v/>
      </c>
      <c r="F2175" t="str">
        <f>""</f>
        <v/>
      </c>
      <c r="H2175" t="str">
        <f t="shared" si="42"/>
        <v>BCBS PAYABLE</v>
      </c>
    </row>
    <row r="2176" spans="5:8" x14ac:dyDescent="0.25">
      <c r="E2176" t="str">
        <f>""</f>
        <v/>
      </c>
      <c r="F2176" t="str">
        <f>""</f>
        <v/>
      </c>
      <c r="H2176" t="str">
        <f t="shared" si="42"/>
        <v>BCBS PAYABLE</v>
      </c>
    </row>
    <row r="2177" spans="5:8" x14ac:dyDescent="0.25">
      <c r="E2177" t="str">
        <f>""</f>
        <v/>
      </c>
      <c r="F2177" t="str">
        <f>""</f>
        <v/>
      </c>
      <c r="H2177" t="str">
        <f t="shared" si="42"/>
        <v>BCBS PAYABLE</v>
      </c>
    </row>
    <row r="2178" spans="5:8" x14ac:dyDescent="0.25">
      <c r="E2178" t="str">
        <f>""</f>
        <v/>
      </c>
      <c r="F2178" t="str">
        <f>""</f>
        <v/>
      </c>
      <c r="H2178" t="str">
        <f t="shared" si="42"/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 t="shared" si="42"/>
        <v>BCBS PAYABLE</v>
      </c>
    </row>
    <row r="2180" spans="5:8" x14ac:dyDescent="0.25">
      <c r="E2180" t="str">
        <f>""</f>
        <v/>
      </c>
      <c r="F2180" t="str">
        <f>""</f>
        <v/>
      </c>
      <c r="H2180" t="str">
        <f t="shared" si="42"/>
        <v>BCBS PAYABLE</v>
      </c>
    </row>
    <row r="2181" spans="5:8" x14ac:dyDescent="0.25">
      <c r="E2181" t="str">
        <f>""</f>
        <v/>
      </c>
      <c r="F2181" t="str">
        <f>""</f>
        <v/>
      </c>
      <c r="H2181" t="str">
        <f t="shared" ref="H2181:H2212" si="43">"BCBS PAYABLE"</f>
        <v>BCBS PAYABLE</v>
      </c>
    </row>
    <row r="2182" spans="5:8" x14ac:dyDescent="0.25">
      <c r="E2182" t="str">
        <f>""</f>
        <v/>
      </c>
      <c r="F2182" t="str">
        <f>""</f>
        <v/>
      </c>
      <c r="H2182" t="str">
        <f t="shared" si="43"/>
        <v>BCBS PAYABLE</v>
      </c>
    </row>
    <row r="2183" spans="5:8" x14ac:dyDescent="0.25">
      <c r="E2183" t="str">
        <f>""</f>
        <v/>
      </c>
      <c r="F2183" t="str">
        <f>""</f>
        <v/>
      </c>
      <c r="H2183" t="str">
        <f t="shared" si="43"/>
        <v>BCBS PAYABLE</v>
      </c>
    </row>
    <row r="2184" spans="5:8" x14ac:dyDescent="0.25">
      <c r="E2184" t="str">
        <f>""</f>
        <v/>
      </c>
      <c r="F2184" t="str">
        <f>""</f>
        <v/>
      </c>
      <c r="H2184" t="str">
        <f t="shared" si="43"/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 t="shared" si="43"/>
        <v>BCBS PAYABLE</v>
      </c>
    </row>
    <row r="2186" spans="5:8" x14ac:dyDescent="0.25">
      <c r="E2186" t="str">
        <f>""</f>
        <v/>
      </c>
      <c r="F2186" t="str">
        <f>""</f>
        <v/>
      </c>
      <c r="H2186" t="str">
        <f t="shared" si="43"/>
        <v>BCBS PAYABLE</v>
      </c>
    </row>
    <row r="2187" spans="5:8" x14ac:dyDescent="0.25">
      <c r="E2187" t="str">
        <f>""</f>
        <v/>
      </c>
      <c r="F2187" t="str">
        <f>""</f>
        <v/>
      </c>
      <c r="H2187" t="str">
        <f t="shared" si="43"/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 t="shared" si="43"/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 t="shared" si="43"/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 t="shared" si="43"/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 t="shared" si="43"/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 t="shared" si="43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43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43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43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43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43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43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43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43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43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43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43"/>
        <v>BCBS PAYABLE</v>
      </c>
    </row>
    <row r="2204" spans="5:8" x14ac:dyDescent="0.25">
      <c r="E2204" t="str">
        <f>"2EO202004016132"</f>
        <v>2EO202004016132</v>
      </c>
      <c r="F2204" t="str">
        <f>"BCBS PAYABLE"</f>
        <v>BCBS PAYABLE</v>
      </c>
      <c r="G2204" s="5">
        <v>4314.4399999999996</v>
      </c>
      <c r="H2204" t="str">
        <f t="shared" si="43"/>
        <v>BCBS PAYABLE</v>
      </c>
    </row>
    <row r="2205" spans="5:8" x14ac:dyDescent="0.25">
      <c r="E2205" t="str">
        <f>"2EO202004156438"</f>
        <v>2EO202004156438</v>
      </c>
      <c r="F2205" t="str">
        <f>"BCBS PAYABLE"</f>
        <v>BCBS PAYABLE</v>
      </c>
      <c r="G2205" s="5">
        <v>101430.39999999999</v>
      </c>
      <c r="H2205" t="str">
        <f t="shared" si="43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43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43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si="43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43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43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43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43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ref="H2213:H2244" si="44">"BCBS PAYABLE"</f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si="44"/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44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44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44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44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44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44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si="44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si="44"/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 t="shared" si="44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44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44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44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4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4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4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4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4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4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4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4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4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44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4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4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4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4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4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4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4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4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ref="H2245:H2276" si="45">"BCBS PAYABLE"</f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5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5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5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45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45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45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5"/>
        <v>BCBS PAYABLE</v>
      </c>
    </row>
    <row r="2253" spans="5:8" x14ac:dyDescent="0.25">
      <c r="E2253" t="str">
        <f>"2EO202004156439"</f>
        <v>2EO202004156439</v>
      </c>
      <c r="F2253" t="str">
        <f>"BCBS PAYABLE"</f>
        <v>BCBS PAYABLE</v>
      </c>
      <c r="G2253" s="5">
        <v>4314.4399999999996</v>
      </c>
      <c r="H2253" t="str">
        <f t="shared" si="45"/>
        <v>BCBS PAYABLE</v>
      </c>
    </row>
    <row r="2254" spans="5:8" x14ac:dyDescent="0.25">
      <c r="E2254" t="str">
        <f>"2ES202004016131"</f>
        <v>2ES202004016131</v>
      </c>
      <c r="F2254" t="str">
        <f>"BCBS PAYABLE"</f>
        <v>BCBS PAYABLE</v>
      </c>
      <c r="G2254" s="5">
        <v>14778.4</v>
      </c>
      <c r="H2254" t="str">
        <f t="shared" si="45"/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 t="shared" si="45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45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45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45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45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5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45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5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5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5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45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45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5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45"/>
        <v>BCBS PAYABLE</v>
      </c>
    </row>
    <row r="2269" spans="5:8" x14ac:dyDescent="0.25">
      <c r="E2269" t="str">
        <f>"2ES202004156438"</f>
        <v>2ES202004156438</v>
      </c>
      <c r="F2269" t="str">
        <f>"BCBS PAYABLE"</f>
        <v>BCBS PAYABLE</v>
      </c>
      <c r="G2269" s="5">
        <v>14778.4</v>
      </c>
      <c r="H2269" t="str">
        <f t="shared" si="45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45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45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45"/>
        <v>BCBS PAYABLE</v>
      </c>
    </row>
    <row r="2273" spans="1:8" x14ac:dyDescent="0.25">
      <c r="E2273" t="str">
        <f>""</f>
        <v/>
      </c>
      <c r="F2273" t="str">
        <f>""</f>
        <v/>
      </c>
      <c r="H2273" t="str">
        <f t="shared" si="45"/>
        <v>BCBS PAYABLE</v>
      </c>
    </row>
    <row r="2274" spans="1:8" x14ac:dyDescent="0.25">
      <c r="E2274" t="str">
        <f>""</f>
        <v/>
      </c>
      <c r="F2274" t="str">
        <f>""</f>
        <v/>
      </c>
      <c r="H2274" t="str">
        <f t="shared" si="45"/>
        <v>BCBS PAYABLE</v>
      </c>
    </row>
    <row r="2275" spans="1:8" x14ac:dyDescent="0.25">
      <c r="E2275" t="str">
        <f>""</f>
        <v/>
      </c>
      <c r="F2275" t="str">
        <f>""</f>
        <v/>
      </c>
      <c r="H2275" t="str">
        <f t="shared" si="45"/>
        <v>BCBS PAYABLE</v>
      </c>
    </row>
    <row r="2276" spans="1:8" x14ac:dyDescent="0.25">
      <c r="E2276" t="str">
        <f>""</f>
        <v/>
      </c>
      <c r="F2276" t="str">
        <f>""</f>
        <v/>
      </c>
      <c r="H2276" t="str">
        <f t="shared" si="45"/>
        <v>BCBS PAYABLE</v>
      </c>
    </row>
    <row r="2277" spans="1:8" x14ac:dyDescent="0.25">
      <c r="E2277" t="str">
        <f>""</f>
        <v/>
      </c>
      <c r="F2277" t="str">
        <f>""</f>
        <v/>
      </c>
      <c r="H2277" t="str">
        <f t="shared" ref="H2277:H2283" si="46">"BCBS PAYABLE"</f>
        <v>BCBS PAYABLE</v>
      </c>
    </row>
    <row r="2278" spans="1:8" x14ac:dyDescent="0.25">
      <c r="E2278" t="str">
        <f>""</f>
        <v/>
      </c>
      <c r="F2278" t="str">
        <f>""</f>
        <v/>
      </c>
      <c r="H2278" t="str">
        <f t="shared" si="46"/>
        <v>BCBS PAYABLE</v>
      </c>
    </row>
    <row r="2279" spans="1:8" x14ac:dyDescent="0.25">
      <c r="E2279" t="str">
        <f>""</f>
        <v/>
      </c>
      <c r="F2279" t="str">
        <f>""</f>
        <v/>
      </c>
      <c r="H2279" t="str">
        <f t="shared" si="46"/>
        <v>BCBS PAYABLE</v>
      </c>
    </row>
    <row r="2280" spans="1:8" x14ac:dyDescent="0.25">
      <c r="E2280" t="str">
        <f>""</f>
        <v/>
      </c>
      <c r="F2280" t="str">
        <f>""</f>
        <v/>
      </c>
      <c r="H2280" t="str">
        <f t="shared" si="46"/>
        <v>BCBS PAYABLE</v>
      </c>
    </row>
    <row r="2281" spans="1:8" x14ac:dyDescent="0.25">
      <c r="E2281" t="str">
        <f>""</f>
        <v/>
      </c>
      <c r="F2281" t="str">
        <f>""</f>
        <v/>
      </c>
      <c r="H2281" t="str">
        <f t="shared" si="46"/>
        <v>BCBS PAYABLE</v>
      </c>
    </row>
    <row r="2282" spans="1:8" x14ac:dyDescent="0.25">
      <c r="E2282" t="str">
        <f>""</f>
        <v/>
      </c>
      <c r="F2282" t="str">
        <f>""</f>
        <v/>
      </c>
      <c r="H2282" t="str">
        <f t="shared" si="46"/>
        <v>BCBS PAYABLE</v>
      </c>
    </row>
    <row r="2283" spans="1:8" x14ac:dyDescent="0.25">
      <c r="E2283" t="str">
        <f>""</f>
        <v/>
      </c>
      <c r="F2283" t="str">
        <f>""</f>
        <v/>
      </c>
      <c r="H2283" t="str">
        <f t="shared" si="46"/>
        <v>BCBS PAYABLE</v>
      </c>
    </row>
    <row r="2284" spans="1:8" x14ac:dyDescent="0.25">
      <c r="A2284" t="s">
        <v>352</v>
      </c>
      <c r="B2284">
        <v>470</v>
      </c>
      <c r="C2284" s="5">
        <v>11416.36</v>
      </c>
      <c r="D2284" s="1">
        <v>43924</v>
      </c>
      <c r="E2284" t="str">
        <f>"FSA202004016131"</f>
        <v>FSA202004016131</v>
      </c>
      <c r="F2284" t="str">
        <f>"TASC FSA"</f>
        <v>TASC FSA</v>
      </c>
      <c r="G2284" s="5">
        <v>7871.31</v>
      </c>
      <c r="H2284" t="str">
        <f>"TASC FSA"</f>
        <v>TASC FSA</v>
      </c>
    </row>
    <row r="2285" spans="1:8" x14ac:dyDescent="0.25">
      <c r="E2285" t="str">
        <f>"FSA202004016132"</f>
        <v>FSA202004016132</v>
      </c>
      <c r="F2285" t="str">
        <f>"TASC FSA"</f>
        <v>TASC FSA</v>
      </c>
      <c r="G2285" s="5">
        <v>445.4</v>
      </c>
      <c r="H2285" t="str">
        <f>"TASC FSA"</f>
        <v>TASC FSA</v>
      </c>
    </row>
    <row r="2286" spans="1:8" x14ac:dyDescent="0.25">
      <c r="E2286" t="str">
        <f>"FSC202004016131"</f>
        <v>FSC202004016131</v>
      </c>
      <c r="F2286" t="str">
        <f>"TASC DEPENDENT CARE"</f>
        <v>TASC DEPENDENT CARE</v>
      </c>
      <c r="G2286" s="5">
        <v>505.13</v>
      </c>
      <c r="H2286" t="str">
        <f>"TASC DEPENDENT CARE"</f>
        <v>TASC DEPENDENT CARE</v>
      </c>
    </row>
    <row r="2287" spans="1:8" x14ac:dyDescent="0.25">
      <c r="E2287" t="str">
        <f>""</f>
        <v/>
      </c>
      <c r="F2287" t="str">
        <f>""</f>
        <v/>
      </c>
      <c r="H2287" t="str">
        <f>"TASC DEPENDENT CARE"</f>
        <v>TASC DEPENDENT CARE</v>
      </c>
    </row>
    <row r="2288" spans="1:8" x14ac:dyDescent="0.25">
      <c r="E2288" t="str">
        <f>"FSF202004016131"</f>
        <v>FSF202004016131</v>
      </c>
      <c r="F2288" t="str">
        <f>"TASC - FSA  FEES"</f>
        <v>TASC - FSA  FEES</v>
      </c>
      <c r="G2288" s="5">
        <v>253.8</v>
      </c>
      <c r="H2288" t="str">
        <f t="shared" ref="H2288:H2328" si="47">"TASC - FSA  FEES"</f>
        <v>TASC - FSA  FEES</v>
      </c>
    </row>
    <row r="2289" spans="5:8" x14ac:dyDescent="0.25">
      <c r="E2289" t="str">
        <f>""</f>
        <v/>
      </c>
      <c r="F2289" t="str">
        <f>""</f>
        <v/>
      </c>
      <c r="H2289" t="str">
        <f t="shared" si="47"/>
        <v>TASC - FSA  FEES</v>
      </c>
    </row>
    <row r="2290" spans="5:8" x14ac:dyDescent="0.25">
      <c r="E2290" t="str">
        <f>""</f>
        <v/>
      </c>
      <c r="F2290" t="str">
        <f>""</f>
        <v/>
      </c>
      <c r="H2290" t="str">
        <f t="shared" si="47"/>
        <v>TASC - FSA  FEES</v>
      </c>
    </row>
    <row r="2291" spans="5:8" x14ac:dyDescent="0.25">
      <c r="E2291" t="str">
        <f>""</f>
        <v/>
      </c>
      <c r="F2291" t="str">
        <f>""</f>
        <v/>
      </c>
      <c r="H2291" t="str">
        <f t="shared" si="47"/>
        <v>TASC - FSA  FEES</v>
      </c>
    </row>
    <row r="2292" spans="5:8" x14ac:dyDescent="0.25">
      <c r="E2292" t="str">
        <f>""</f>
        <v/>
      </c>
      <c r="F2292" t="str">
        <f>""</f>
        <v/>
      </c>
      <c r="H2292" t="str">
        <f t="shared" si="47"/>
        <v>TASC - FSA  FEES</v>
      </c>
    </row>
    <row r="2293" spans="5:8" x14ac:dyDescent="0.25">
      <c r="E2293" t="str">
        <f>""</f>
        <v/>
      </c>
      <c r="F2293" t="str">
        <f>""</f>
        <v/>
      </c>
      <c r="H2293" t="str">
        <f t="shared" si="47"/>
        <v>TASC - FSA  FEES</v>
      </c>
    </row>
    <row r="2294" spans="5:8" x14ac:dyDescent="0.25">
      <c r="E2294" t="str">
        <f>""</f>
        <v/>
      </c>
      <c r="F2294" t="str">
        <f>""</f>
        <v/>
      </c>
      <c r="H2294" t="str">
        <f t="shared" si="47"/>
        <v>TASC - FSA  FEES</v>
      </c>
    </row>
    <row r="2295" spans="5:8" x14ac:dyDescent="0.25">
      <c r="E2295" t="str">
        <f>""</f>
        <v/>
      </c>
      <c r="F2295" t="str">
        <f>""</f>
        <v/>
      </c>
      <c r="H2295" t="str">
        <f t="shared" si="47"/>
        <v>TASC - FSA  FEES</v>
      </c>
    </row>
    <row r="2296" spans="5:8" x14ac:dyDescent="0.25">
      <c r="E2296" t="str">
        <f>""</f>
        <v/>
      </c>
      <c r="F2296" t="str">
        <f>""</f>
        <v/>
      </c>
      <c r="H2296" t="str">
        <f t="shared" si="47"/>
        <v>TASC - FSA  FEES</v>
      </c>
    </row>
    <row r="2297" spans="5:8" x14ac:dyDescent="0.25">
      <c r="E2297" t="str">
        <f>""</f>
        <v/>
      </c>
      <c r="F2297" t="str">
        <f>""</f>
        <v/>
      </c>
      <c r="H2297" t="str">
        <f t="shared" si="47"/>
        <v>TASC - FSA  FEES</v>
      </c>
    </row>
    <row r="2298" spans="5:8" x14ac:dyDescent="0.25">
      <c r="E2298" t="str">
        <f>""</f>
        <v/>
      </c>
      <c r="F2298" t="str">
        <f>""</f>
        <v/>
      </c>
      <c r="H2298" t="str">
        <f t="shared" si="47"/>
        <v>TASC - FSA  FEES</v>
      </c>
    </row>
    <row r="2299" spans="5:8" x14ac:dyDescent="0.25">
      <c r="E2299" t="str">
        <f>""</f>
        <v/>
      </c>
      <c r="F2299" t="str">
        <f>""</f>
        <v/>
      </c>
      <c r="H2299" t="str">
        <f t="shared" si="47"/>
        <v>TASC - FSA  FEES</v>
      </c>
    </row>
    <row r="2300" spans="5:8" x14ac:dyDescent="0.25">
      <c r="E2300" t="str">
        <f>""</f>
        <v/>
      </c>
      <c r="F2300" t="str">
        <f>""</f>
        <v/>
      </c>
      <c r="H2300" t="str">
        <f t="shared" si="47"/>
        <v>TASC - FSA  FEES</v>
      </c>
    </row>
    <row r="2301" spans="5:8" x14ac:dyDescent="0.25">
      <c r="E2301" t="str">
        <f>""</f>
        <v/>
      </c>
      <c r="F2301" t="str">
        <f>""</f>
        <v/>
      </c>
      <c r="H2301" t="str">
        <f t="shared" si="47"/>
        <v>TASC - FSA  FEES</v>
      </c>
    </row>
    <row r="2302" spans="5:8" x14ac:dyDescent="0.25">
      <c r="E2302" t="str">
        <f>""</f>
        <v/>
      </c>
      <c r="F2302" t="str">
        <f>""</f>
        <v/>
      </c>
      <c r="H2302" t="str">
        <f t="shared" si="47"/>
        <v>TASC - FSA  FEES</v>
      </c>
    </row>
    <row r="2303" spans="5:8" x14ac:dyDescent="0.25">
      <c r="E2303" t="str">
        <f>""</f>
        <v/>
      </c>
      <c r="F2303" t="str">
        <f>""</f>
        <v/>
      </c>
      <c r="H2303" t="str">
        <f t="shared" si="47"/>
        <v>TASC - FSA  FEES</v>
      </c>
    </row>
    <row r="2304" spans="5:8" x14ac:dyDescent="0.25">
      <c r="E2304" t="str">
        <f>""</f>
        <v/>
      </c>
      <c r="F2304" t="str">
        <f>""</f>
        <v/>
      </c>
      <c r="H2304" t="str">
        <f t="shared" si="47"/>
        <v>TASC - FSA  FEES</v>
      </c>
    </row>
    <row r="2305" spans="5:8" x14ac:dyDescent="0.25">
      <c r="E2305" t="str">
        <f>""</f>
        <v/>
      </c>
      <c r="F2305" t="str">
        <f>""</f>
        <v/>
      </c>
      <c r="H2305" t="str">
        <f t="shared" si="47"/>
        <v>TASC - FSA  FEES</v>
      </c>
    </row>
    <row r="2306" spans="5:8" x14ac:dyDescent="0.25">
      <c r="E2306" t="str">
        <f>""</f>
        <v/>
      </c>
      <c r="F2306" t="str">
        <f>""</f>
        <v/>
      </c>
      <c r="H2306" t="str">
        <f t="shared" si="47"/>
        <v>TASC - FSA  FEES</v>
      </c>
    </row>
    <row r="2307" spans="5:8" x14ac:dyDescent="0.25">
      <c r="E2307" t="str">
        <f>""</f>
        <v/>
      </c>
      <c r="F2307" t="str">
        <f>""</f>
        <v/>
      </c>
      <c r="H2307" t="str">
        <f t="shared" si="47"/>
        <v>TASC - FSA  FEES</v>
      </c>
    </row>
    <row r="2308" spans="5:8" x14ac:dyDescent="0.25">
      <c r="E2308" t="str">
        <f>""</f>
        <v/>
      </c>
      <c r="F2308" t="str">
        <f>""</f>
        <v/>
      </c>
      <c r="H2308" t="str">
        <f t="shared" si="47"/>
        <v>TASC - FSA  FEES</v>
      </c>
    </row>
    <row r="2309" spans="5:8" x14ac:dyDescent="0.25">
      <c r="E2309" t="str">
        <f>""</f>
        <v/>
      </c>
      <c r="F2309" t="str">
        <f>""</f>
        <v/>
      </c>
      <c r="H2309" t="str">
        <f t="shared" si="47"/>
        <v>TASC - FSA  FEES</v>
      </c>
    </row>
    <row r="2310" spans="5:8" x14ac:dyDescent="0.25">
      <c r="E2310" t="str">
        <f>""</f>
        <v/>
      </c>
      <c r="F2310" t="str">
        <f>""</f>
        <v/>
      </c>
      <c r="H2310" t="str">
        <f t="shared" si="47"/>
        <v>TASC - FSA  FEES</v>
      </c>
    </row>
    <row r="2311" spans="5:8" x14ac:dyDescent="0.25">
      <c r="E2311" t="str">
        <f>""</f>
        <v/>
      </c>
      <c r="F2311" t="str">
        <f>""</f>
        <v/>
      </c>
      <c r="H2311" t="str">
        <f t="shared" si="47"/>
        <v>TASC - FSA  FEES</v>
      </c>
    </row>
    <row r="2312" spans="5:8" x14ac:dyDescent="0.25">
      <c r="E2312" t="str">
        <f>""</f>
        <v/>
      </c>
      <c r="F2312" t="str">
        <f>""</f>
        <v/>
      </c>
      <c r="H2312" t="str">
        <f t="shared" si="47"/>
        <v>TASC - FSA  FEES</v>
      </c>
    </row>
    <row r="2313" spans="5:8" x14ac:dyDescent="0.25">
      <c r="E2313" t="str">
        <f>""</f>
        <v/>
      </c>
      <c r="F2313" t="str">
        <f>""</f>
        <v/>
      </c>
      <c r="H2313" t="str">
        <f t="shared" si="47"/>
        <v>TASC - FSA  FEES</v>
      </c>
    </row>
    <row r="2314" spans="5:8" x14ac:dyDescent="0.25">
      <c r="E2314" t="str">
        <f>""</f>
        <v/>
      </c>
      <c r="F2314" t="str">
        <f>""</f>
        <v/>
      </c>
      <c r="H2314" t="str">
        <f t="shared" si="47"/>
        <v>TASC - FSA  FEES</v>
      </c>
    </row>
    <row r="2315" spans="5:8" x14ac:dyDescent="0.25">
      <c r="E2315" t="str">
        <f>""</f>
        <v/>
      </c>
      <c r="F2315" t="str">
        <f>""</f>
        <v/>
      </c>
      <c r="H2315" t="str">
        <f t="shared" si="47"/>
        <v>TASC - FSA  FEES</v>
      </c>
    </row>
    <row r="2316" spans="5:8" x14ac:dyDescent="0.25">
      <c r="E2316" t="str">
        <f>""</f>
        <v/>
      </c>
      <c r="F2316" t="str">
        <f>""</f>
        <v/>
      </c>
      <c r="H2316" t="str">
        <f t="shared" si="47"/>
        <v>TASC - FSA  FEES</v>
      </c>
    </row>
    <row r="2317" spans="5:8" x14ac:dyDescent="0.25">
      <c r="E2317" t="str">
        <f>""</f>
        <v/>
      </c>
      <c r="F2317" t="str">
        <f>""</f>
        <v/>
      </c>
      <c r="H2317" t="str">
        <f t="shared" si="47"/>
        <v>TASC - FSA  FEES</v>
      </c>
    </row>
    <row r="2318" spans="5:8" x14ac:dyDescent="0.25">
      <c r="E2318" t="str">
        <f>""</f>
        <v/>
      </c>
      <c r="F2318" t="str">
        <f>""</f>
        <v/>
      </c>
      <c r="H2318" t="str">
        <f t="shared" si="47"/>
        <v>TASC - FSA  FEES</v>
      </c>
    </row>
    <row r="2319" spans="5:8" x14ac:dyDescent="0.25">
      <c r="E2319" t="str">
        <f>""</f>
        <v/>
      </c>
      <c r="F2319" t="str">
        <f>""</f>
        <v/>
      </c>
      <c r="H2319" t="str">
        <f t="shared" si="47"/>
        <v>TASC - FSA  FEES</v>
      </c>
    </row>
    <row r="2320" spans="5:8" x14ac:dyDescent="0.25">
      <c r="E2320" t="str">
        <f>""</f>
        <v/>
      </c>
      <c r="F2320" t="str">
        <f>""</f>
        <v/>
      </c>
      <c r="H2320" t="str">
        <f t="shared" si="47"/>
        <v>TASC - FSA  FEES</v>
      </c>
    </row>
    <row r="2321" spans="5:8" x14ac:dyDescent="0.25">
      <c r="E2321" t="str">
        <f>""</f>
        <v/>
      </c>
      <c r="F2321" t="str">
        <f>""</f>
        <v/>
      </c>
      <c r="H2321" t="str">
        <f t="shared" si="47"/>
        <v>TASC - FSA  FEES</v>
      </c>
    </row>
    <row r="2322" spans="5:8" x14ac:dyDescent="0.25">
      <c r="E2322" t="str">
        <f>""</f>
        <v/>
      </c>
      <c r="F2322" t="str">
        <f>""</f>
        <v/>
      </c>
      <c r="H2322" t="str">
        <f t="shared" si="47"/>
        <v>TASC - FSA  FEES</v>
      </c>
    </row>
    <row r="2323" spans="5:8" x14ac:dyDescent="0.25">
      <c r="E2323" t="str">
        <f>""</f>
        <v/>
      </c>
      <c r="F2323" t="str">
        <f>""</f>
        <v/>
      </c>
      <c r="H2323" t="str">
        <f t="shared" si="47"/>
        <v>TASC - FSA  FEES</v>
      </c>
    </row>
    <row r="2324" spans="5:8" x14ac:dyDescent="0.25">
      <c r="E2324" t="str">
        <f>""</f>
        <v/>
      </c>
      <c r="F2324" t="str">
        <f>""</f>
        <v/>
      </c>
      <c r="H2324" t="str">
        <f t="shared" si="47"/>
        <v>TASC - FSA  FEES</v>
      </c>
    </row>
    <row r="2325" spans="5:8" x14ac:dyDescent="0.25">
      <c r="E2325" t="str">
        <f>""</f>
        <v/>
      </c>
      <c r="F2325" t="str">
        <f>""</f>
        <v/>
      </c>
      <c r="H2325" t="str">
        <f t="shared" si="47"/>
        <v>TASC - FSA  FEES</v>
      </c>
    </row>
    <row r="2326" spans="5:8" x14ac:dyDescent="0.25">
      <c r="E2326" t="str">
        <f>""</f>
        <v/>
      </c>
      <c r="F2326" t="str">
        <f>""</f>
        <v/>
      </c>
      <c r="H2326" t="str">
        <f t="shared" si="47"/>
        <v>TASC - FSA  FEES</v>
      </c>
    </row>
    <row r="2327" spans="5:8" x14ac:dyDescent="0.25">
      <c r="E2327" t="str">
        <f>""</f>
        <v/>
      </c>
      <c r="F2327" t="str">
        <f>""</f>
        <v/>
      </c>
      <c r="H2327" t="str">
        <f t="shared" si="47"/>
        <v>TASC - FSA  FEES</v>
      </c>
    </row>
    <row r="2328" spans="5:8" x14ac:dyDescent="0.25">
      <c r="E2328" t="str">
        <f>"FSF202004016132"</f>
        <v>FSF202004016132</v>
      </c>
      <c r="F2328" t="str">
        <f>"TASC - FSA  FEES"</f>
        <v>TASC - FSA  FEES</v>
      </c>
      <c r="G2328" s="5">
        <v>12.6</v>
      </c>
      <c r="H2328" t="str">
        <f t="shared" si="47"/>
        <v>TASC - FSA  FEES</v>
      </c>
    </row>
    <row r="2329" spans="5:8" x14ac:dyDescent="0.25">
      <c r="E2329" t="str">
        <f>"HRA202004016131"</f>
        <v>HRA202004016131</v>
      </c>
      <c r="F2329" t="str">
        <f>"TASC HRA"</f>
        <v>TASC HRA</v>
      </c>
      <c r="G2329" s="5">
        <v>1500.12</v>
      </c>
      <c r="H2329" t="str">
        <f>"TASC HRA"</f>
        <v>TASC HRA</v>
      </c>
    </row>
    <row r="2330" spans="5:8" x14ac:dyDescent="0.25">
      <c r="E2330" t="str">
        <f>""</f>
        <v/>
      </c>
      <c r="F2330" t="str">
        <f>""</f>
        <v/>
      </c>
      <c r="H2330" t="str">
        <f>"TASC HRA"</f>
        <v>TASC HRA</v>
      </c>
    </row>
    <row r="2331" spans="5:8" x14ac:dyDescent="0.25">
      <c r="E2331" t="str">
        <f>""</f>
        <v/>
      </c>
      <c r="F2331" t="str">
        <f>""</f>
        <v/>
      </c>
      <c r="H2331" t="str">
        <f>"TASC HRA"</f>
        <v>TASC HRA</v>
      </c>
    </row>
    <row r="2332" spans="5:8" x14ac:dyDescent="0.25">
      <c r="E2332" t="str">
        <f>""</f>
        <v/>
      </c>
      <c r="F2332" t="str">
        <f>""</f>
        <v/>
      </c>
      <c r="H2332" t="str">
        <f>"TASC HRA"</f>
        <v>TASC HRA</v>
      </c>
    </row>
    <row r="2333" spans="5:8" x14ac:dyDescent="0.25">
      <c r="E2333" t="str">
        <f>""</f>
        <v/>
      </c>
      <c r="F2333" t="str">
        <f>""</f>
        <v/>
      </c>
      <c r="H2333" t="str">
        <f>"TASC HRA"</f>
        <v>TASC HRA</v>
      </c>
    </row>
    <row r="2334" spans="5:8" x14ac:dyDescent="0.25">
      <c r="E2334" t="str">
        <f>"HRF202004016131"</f>
        <v>HRF202004016131</v>
      </c>
      <c r="F2334" t="str">
        <f>"TASC - HRA FEES"</f>
        <v>TASC - HRA FEES</v>
      </c>
      <c r="G2334" s="5">
        <v>797.4</v>
      </c>
      <c r="H2334" t="str">
        <f t="shared" ref="H2334:H2365" si="48">"TASC - HRA FEES"</f>
        <v>TASC - HRA FEES</v>
      </c>
    </row>
    <row r="2335" spans="5:8" x14ac:dyDescent="0.25">
      <c r="E2335" t="str">
        <f>""</f>
        <v/>
      </c>
      <c r="F2335" t="str">
        <f>""</f>
        <v/>
      </c>
      <c r="H2335" t="str">
        <f t="shared" si="48"/>
        <v>TASC - HRA FEES</v>
      </c>
    </row>
    <row r="2336" spans="5:8" x14ac:dyDescent="0.25">
      <c r="E2336" t="str">
        <f>""</f>
        <v/>
      </c>
      <c r="F2336" t="str">
        <f>""</f>
        <v/>
      </c>
      <c r="H2336" t="str">
        <f t="shared" si="48"/>
        <v>TASC - HRA FEES</v>
      </c>
    </row>
    <row r="2337" spans="5:8" x14ac:dyDescent="0.25">
      <c r="E2337" t="str">
        <f>""</f>
        <v/>
      </c>
      <c r="F2337" t="str">
        <f>""</f>
        <v/>
      </c>
      <c r="H2337" t="str">
        <f t="shared" si="48"/>
        <v>TASC - HRA FEES</v>
      </c>
    </row>
    <row r="2338" spans="5:8" x14ac:dyDescent="0.25">
      <c r="E2338" t="str">
        <f>""</f>
        <v/>
      </c>
      <c r="F2338" t="str">
        <f>""</f>
        <v/>
      </c>
      <c r="H2338" t="str">
        <f t="shared" si="48"/>
        <v>TASC - HRA FEES</v>
      </c>
    </row>
    <row r="2339" spans="5:8" x14ac:dyDescent="0.25">
      <c r="E2339" t="str">
        <f>""</f>
        <v/>
      </c>
      <c r="F2339" t="str">
        <f>""</f>
        <v/>
      </c>
      <c r="H2339" t="str">
        <f t="shared" si="48"/>
        <v>TASC - HRA FEES</v>
      </c>
    </row>
    <row r="2340" spans="5:8" x14ac:dyDescent="0.25">
      <c r="E2340" t="str">
        <f>""</f>
        <v/>
      </c>
      <c r="F2340" t="str">
        <f>""</f>
        <v/>
      </c>
      <c r="H2340" t="str">
        <f t="shared" si="48"/>
        <v>TASC - HRA FEES</v>
      </c>
    </row>
    <row r="2341" spans="5:8" x14ac:dyDescent="0.25">
      <c r="E2341" t="str">
        <f>""</f>
        <v/>
      </c>
      <c r="F2341" t="str">
        <f>""</f>
        <v/>
      </c>
      <c r="H2341" t="str">
        <f t="shared" si="48"/>
        <v>TASC - HRA FEES</v>
      </c>
    </row>
    <row r="2342" spans="5:8" x14ac:dyDescent="0.25">
      <c r="E2342" t="str">
        <f>""</f>
        <v/>
      </c>
      <c r="F2342" t="str">
        <f>""</f>
        <v/>
      </c>
      <c r="H2342" t="str">
        <f t="shared" si="48"/>
        <v>TASC - HRA FEES</v>
      </c>
    </row>
    <row r="2343" spans="5:8" x14ac:dyDescent="0.25">
      <c r="E2343" t="str">
        <f>""</f>
        <v/>
      </c>
      <c r="F2343" t="str">
        <f>""</f>
        <v/>
      </c>
      <c r="H2343" t="str">
        <f t="shared" si="48"/>
        <v>TASC - HRA FEES</v>
      </c>
    </row>
    <row r="2344" spans="5:8" x14ac:dyDescent="0.25">
      <c r="E2344" t="str">
        <f>""</f>
        <v/>
      </c>
      <c r="F2344" t="str">
        <f>""</f>
        <v/>
      </c>
      <c r="H2344" t="str">
        <f t="shared" si="48"/>
        <v>TASC - HRA FEES</v>
      </c>
    </row>
    <row r="2345" spans="5:8" x14ac:dyDescent="0.25">
      <c r="E2345" t="str">
        <f>""</f>
        <v/>
      </c>
      <c r="F2345" t="str">
        <f>""</f>
        <v/>
      </c>
      <c r="H2345" t="str">
        <f t="shared" si="48"/>
        <v>TASC - HRA FEES</v>
      </c>
    </row>
    <row r="2346" spans="5:8" x14ac:dyDescent="0.25">
      <c r="E2346" t="str">
        <f>""</f>
        <v/>
      </c>
      <c r="F2346" t="str">
        <f>""</f>
        <v/>
      </c>
      <c r="H2346" t="str">
        <f t="shared" si="48"/>
        <v>TASC - HRA FEES</v>
      </c>
    </row>
    <row r="2347" spans="5:8" x14ac:dyDescent="0.25">
      <c r="E2347" t="str">
        <f>""</f>
        <v/>
      </c>
      <c r="F2347" t="str">
        <f>""</f>
        <v/>
      </c>
      <c r="H2347" t="str">
        <f t="shared" si="48"/>
        <v>TASC - HRA FEES</v>
      </c>
    </row>
    <row r="2348" spans="5:8" x14ac:dyDescent="0.25">
      <c r="E2348" t="str">
        <f>""</f>
        <v/>
      </c>
      <c r="F2348" t="str">
        <f>""</f>
        <v/>
      </c>
      <c r="H2348" t="str">
        <f t="shared" si="48"/>
        <v>TASC - HRA FEES</v>
      </c>
    </row>
    <row r="2349" spans="5:8" x14ac:dyDescent="0.25">
      <c r="E2349" t="str">
        <f>""</f>
        <v/>
      </c>
      <c r="F2349" t="str">
        <f>""</f>
        <v/>
      </c>
      <c r="H2349" t="str">
        <f t="shared" si="48"/>
        <v>TASC - HRA FEES</v>
      </c>
    </row>
    <row r="2350" spans="5:8" x14ac:dyDescent="0.25">
      <c r="E2350" t="str">
        <f>""</f>
        <v/>
      </c>
      <c r="F2350" t="str">
        <f>""</f>
        <v/>
      </c>
      <c r="H2350" t="str">
        <f t="shared" si="48"/>
        <v>TASC - HRA FEES</v>
      </c>
    </row>
    <row r="2351" spans="5:8" x14ac:dyDescent="0.25">
      <c r="E2351" t="str">
        <f>""</f>
        <v/>
      </c>
      <c r="F2351" t="str">
        <f>""</f>
        <v/>
      </c>
      <c r="H2351" t="str">
        <f t="shared" si="48"/>
        <v>TASC - HRA FEES</v>
      </c>
    </row>
    <row r="2352" spans="5:8" x14ac:dyDescent="0.25">
      <c r="E2352" t="str">
        <f>""</f>
        <v/>
      </c>
      <c r="F2352" t="str">
        <f>""</f>
        <v/>
      </c>
      <c r="H2352" t="str">
        <f t="shared" si="48"/>
        <v>TASC - HRA FEES</v>
      </c>
    </row>
    <row r="2353" spans="5:8" x14ac:dyDescent="0.25">
      <c r="E2353" t="str">
        <f>""</f>
        <v/>
      </c>
      <c r="F2353" t="str">
        <f>""</f>
        <v/>
      </c>
      <c r="H2353" t="str">
        <f t="shared" si="48"/>
        <v>TASC - HRA FEES</v>
      </c>
    </row>
    <row r="2354" spans="5:8" x14ac:dyDescent="0.25">
      <c r="E2354" t="str">
        <f>""</f>
        <v/>
      </c>
      <c r="F2354" t="str">
        <f>""</f>
        <v/>
      </c>
      <c r="H2354" t="str">
        <f t="shared" si="48"/>
        <v>TASC - HRA FEES</v>
      </c>
    </row>
    <row r="2355" spans="5:8" x14ac:dyDescent="0.25">
      <c r="E2355" t="str">
        <f>""</f>
        <v/>
      </c>
      <c r="F2355" t="str">
        <f>""</f>
        <v/>
      </c>
      <c r="H2355" t="str">
        <f t="shared" si="48"/>
        <v>TASC - HRA FEES</v>
      </c>
    </row>
    <row r="2356" spans="5:8" x14ac:dyDescent="0.25">
      <c r="E2356" t="str">
        <f>""</f>
        <v/>
      </c>
      <c r="F2356" t="str">
        <f>""</f>
        <v/>
      </c>
      <c r="H2356" t="str">
        <f t="shared" si="48"/>
        <v>TASC - HRA FEES</v>
      </c>
    </row>
    <row r="2357" spans="5:8" x14ac:dyDescent="0.25">
      <c r="E2357" t="str">
        <f>""</f>
        <v/>
      </c>
      <c r="F2357" t="str">
        <f>""</f>
        <v/>
      </c>
      <c r="H2357" t="str">
        <f t="shared" si="48"/>
        <v>TASC - HRA FEES</v>
      </c>
    </row>
    <row r="2358" spans="5:8" x14ac:dyDescent="0.25">
      <c r="E2358" t="str">
        <f>""</f>
        <v/>
      </c>
      <c r="F2358" t="str">
        <f>""</f>
        <v/>
      </c>
      <c r="H2358" t="str">
        <f t="shared" si="48"/>
        <v>TASC - HRA FEES</v>
      </c>
    </row>
    <row r="2359" spans="5:8" x14ac:dyDescent="0.25">
      <c r="E2359" t="str">
        <f>""</f>
        <v/>
      </c>
      <c r="F2359" t="str">
        <f>""</f>
        <v/>
      </c>
      <c r="H2359" t="str">
        <f t="shared" si="48"/>
        <v>TASC - HRA FEES</v>
      </c>
    </row>
    <row r="2360" spans="5:8" x14ac:dyDescent="0.25">
      <c r="E2360" t="str">
        <f>""</f>
        <v/>
      </c>
      <c r="F2360" t="str">
        <f>""</f>
        <v/>
      </c>
      <c r="H2360" t="str">
        <f t="shared" si="48"/>
        <v>TASC - HRA FEES</v>
      </c>
    </row>
    <row r="2361" spans="5:8" x14ac:dyDescent="0.25">
      <c r="E2361" t="str">
        <f>""</f>
        <v/>
      </c>
      <c r="F2361" t="str">
        <f>""</f>
        <v/>
      </c>
      <c r="H2361" t="str">
        <f t="shared" si="48"/>
        <v>TASC - HRA FEES</v>
      </c>
    </row>
    <row r="2362" spans="5:8" x14ac:dyDescent="0.25">
      <c r="E2362" t="str">
        <f>""</f>
        <v/>
      </c>
      <c r="F2362" t="str">
        <f>""</f>
        <v/>
      </c>
      <c r="H2362" t="str">
        <f t="shared" si="48"/>
        <v>TASC - HRA FEES</v>
      </c>
    </row>
    <row r="2363" spans="5:8" x14ac:dyDescent="0.25">
      <c r="E2363" t="str">
        <f>""</f>
        <v/>
      </c>
      <c r="F2363" t="str">
        <f>""</f>
        <v/>
      </c>
      <c r="H2363" t="str">
        <f t="shared" si="48"/>
        <v>TASC - HRA FEES</v>
      </c>
    </row>
    <row r="2364" spans="5:8" x14ac:dyDescent="0.25">
      <c r="E2364" t="str">
        <f>""</f>
        <v/>
      </c>
      <c r="F2364" t="str">
        <f>""</f>
        <v/>
      </c>
      <c r="H2364" t="str">
        <f t="shared" si="48"/>
        <v>TASC - HRA FEES</v>
      </c>
    </row>
    <row r="2365" spans="5:8" x14ac:dyDescent="0.25">
      <c r="E2365" t="str">
        <f>""</f>
        <v/>
      </c>
      <c r="F2365" t="str">
        <f>""</f>
        <v/>
      </c>
      <c r="H2365" t="str">
        <f t="shared" si="48"/>
        <v>TASC - HRA FEES</v>
      </c>
    </row>
    <row r="2366" spans="5:8" x14ac:dyDescent="0.25">
      <c r="E2366" t="str">
        <f>""</f>
        <v/>
      </c>
      <c r="F2366" t="str">
        <f>""</f>
        <v/>
      </c>
      <c r="H2366" t="str">
        <f t="shared" ref="H2366:H2385" si="49">"TASC - HRA FEES"</f>
        <v>TASC - HRA FEES</v>
      </c>
    </row>
    <row r="2367" spans="5:8" x14ac:dyDescent="0.25">
      <c r="E2367" t="str">
        <f>""</f>
        <v/>
      </c>
      <c r="F2367" t="str">
        <f>""</f>
        <v/>
      </c>
      <c r="H2367" t="str">
        <f t="shared" si="49"/>
        <v>TASC - HRA FEES</v>
      </c>
    </row>
    <row r="2368" spans="5:8" x14ac:dyDescent="0.25">
      <c r="E2368" t="str">
        <f>""</f>
        <v/>
      </c>
      <c r="F2368" t="str">
        <f>""</f>
        <v/>
      </c>
      <c r="H2368" t="str">
        <f t="shared" si="49"/>
        <v>TASC - HRA FEES</v>
      </c>
    </row>
    <row r="2369" spans="5:8" x14ac:dyDescent="0.25">
      <c r="E2369" t="str">
        <f>""</f>
        <v/>
      </c>
      <c r="F2369" t="str">
        <f>""</f>
        <v/>
      </c>
      <c r="H2369" t="str">
        <f t="shared" si="49"/>
        <v>TASC - HRA FEES</v>
      </c>
    </row>
    <row r="2370" spans="5:8" x14ac:dyDescent="0.25">
      <c r="E2370" t="str">
        <f>""</f>
        <v/>
      </c>
      <c r="F2370" t="str">
        <f>""</f>
        <v/>
      </c>
      <c r="H2370" t="str">
        <f t="shared" si="49"/>
        <v>TASC - HRA FEES</v>
      </c>
    </row>
    <row r="2371" spans="5:8" x14ac:dyDescent="0.25">
      <c r="E2371" t="str">
        <f>""</f>
        <v/>
      </c>
      <c r="F2371" t="str">
        <f>""</f>
        <v/>
      </c>
      <c r="H2371" t="str">
        <f t="shared" si="49"/>
        <v>TASC - HRA FEES</v>
      </c>
    </row>
    <row r="2372" spans="5:8" x14ac:dyDescent="0.25">
      <c r="E2372" t="str">
        <f>""</f>
        <v/>
      </c>
      <c r="F2372" t="str">
        <f>""</f>
        <v/>
      </c>
      <c r="H2372" t="str">
        <f t="shared" si="49"/>
        <v>TASC - HRA FEES</v>
      </c>
    </row>
    <row r="2373" spans="5:8" x14ac:dyDescent="0.25">
      <c r="E2373" t="str">
        <f>""</f>
        <v/>
      </c>
      <c r="F2373" t="str">
        <f>""</f>
        <v/>
      </c>
      <c r="H2373" t="str">
        <f t="shared" si="49"/>
        <v>TASC - HRA FEES</v>
      </c>
    </row>
    <row r="2374" spans="5:8" x14ac:dyDescent="0.25">
      <c r="E2374" t="str">
        <f>""</f>
        <v/>
      </c>
      <c r="F2374" t="str">
        <f>""</f>
        <v/>
      </c>
      <c r="H2374" t="str">
        <f t="shared" si="49"/>
        <v>TASC - HRA FEES</v>
      </c>
    </row>
    <row r="2375" spans="5:8" x14ac:dyDescent="0.25">
      <c r="E2375" t="str">
        <f>""</f>
        <v/>
      </c>
      <c r="F2375" t="str">
        <f>""</f>
        <v/>
      </c>
      <c r="H2375" t="str">
        <f t="shared" si="49"/>
        <v>TASC - HRA FEES</v>
      </c>
    </row>
    <row r="2376" spans="5:8" x14ac:dyDescent="0.25">
      <c r="E2376" t="str">
        <f>""</f>
        <v/>
      </c>
      <c r="F2376" t="str">
        <f>""</f>
        <v/>
      </c>
      <c r="H2376" t="str">
        <f t="shared" si="49"/>
        <v>TASC - HRA FEES</v>
      </c>
    </row>
    <row r="2377" spans="5:8" x14ac:dyDescent="0.25">
      <c r="E2377" t="str">
        <f>""</f>
        <v/>
      </c>
      <c r="F2377" t="str">
        <f>""</f>
        <v/>
      </c>
      <c r="H2377" t="str">
        <f t="shared" si="49"/>
        <v>TASC - HRA FEES</v>
      </c>
    </row>
    <row r="2378" spans="5:8" x14ac:dyDescent="0.25">
      <c r="E2378" t="str">
        <f>""</f>
        <v/>
      </c>
      <c r="F2378" t="str">
        <f>""</f>
        <v/>
      </c>
      <c r="H2378" t="str">
        <f t="shared" si="49"/>
        <v>TASC - HRA FEES</v>
      </c>
    </row>
    <row r="2379" spans="5:8" x14ac:dyDescent="0.25">
      <c r="E2379" t="str">
        <f>""</f>
        <v/>
      </c>
      <c r="F2379" t="str">
        <f>""</f>
        <v/>
      </c>
      <c r="H2379" t="str">
        <f t="shared" si="49"/>
        <v>TASC - HRA FEES</v>
      </c>
    </row>
    <row r="2380" spans="5:8" x14ac:dyDescent="0.25">
      <c r="E2380" t="str">
        <f>""</f>
        <v/>
      </c>
      <c r="F2380" t="str">
        <f>""</f>
        <v/>
      </c>
      <c r="H2380" t="str">
        <f t="shared" si="49"/>
        <v>TASC - HRA FEES</v>
      </c>
    </row>
    <row r="2381" spans="5:8" x14ac:dyDescent="0.25">
      <c r="E2381" t="str">
        <f>""</f>
        <v/>
      </c>
      <c r="F2381" t="str">
        <f>""</f>
        <v/>
      </c>
      <c r="H2381" t="str">
        <f t="shared" si="49"/>
        <v>TASC - HRA FEES</v>
      </c>
    </row>
    <row r="2382" spans="5:8" x14ac:dyDescent="0.25">
      <c r="E2382" t="str">
        <f>""</f>
        <v/>
      </c>
      <c r="F2382" t="str">
        <f>""</f>
        <v/>
      </c>
      <c r="H2382" t="str">
        <f t="shared" si="49"/>
        <v>TASC - HRA FEES</v>
      </c>
    </row>
    <row r="2383" spans="5:8" x14ac:dyDescent="0.25">
      <c r="E2383" t="str">
        <f>""</f>
        <v/>
      </c>
      <c r="F2383" t="str">
        <f>""</f>
        <v/>
      </c>
      <c r="H2383" t="str">
        <f t="shared" si="49"/>
        <v>TASC - HRA FEES</v>
      </c>
    </row>
    <row r="2384" spans="5:8" x14ac:dyDescent="0.25">
      <c r="E2384" t="str">
        <f>""</f>
        <v/>
      </c>
      <c r="F2384" t="str">
        <f>""</f>
        <v/>
      </c>
      <c r="H2384" t="str">
        <f t="shared" si="49"/>
        <v>TASC - HRA FEES</v>
      </c>
    </row>
    <row r="2385" spans="1:8" x14ac:dyDescent="0.25">
      <c r="E2385" t="str">
        <f>"HRF202004016132"</f>
        <v>HRF202004016132</v>
      </c>
      <c r="F2385" t="str">
        <f>"TASC - HRA FEES"</f>
        <v>TASC - HRA FEES</v>
      </c>
      <c r="G2385" s="5">
        <v>30.6</v>
      </c>
      <c r="H2385" t="str">
        <f t="shared" si="49"/>
        <v>TASC - HRA FEES</v>
      </c>
    </row>
    <row r="2386" spans="1:8" x14ac:dyDescent="0.25">
      <c r="A2386" t="s">
        <v>352</v>
      </c>
      <c r="B2386">
        <v>479</v>
      </c>
      <c r="C2386" s="5">
        <v>9916.24</v>
      </c>
      <c r="D2386" s="1">
        <v>43938</v>
      </c>
      <c r="E2386" t="str">
        <f>"FSA202004156438"</f>
        <v>FSA202004156438</v>
      </c>
      <c r="F2386" t="str">
        <f>"TASC FSA"</f>
        <v>TASC FSA</v>
      </c>
      <c r="G2386" s="5">
        <v>7871.31</v>
      </c>
      <c r="H2386" t="str">
        <f>"TASC FSA"</f>
        <v>TASC FSA</v>
      </c>
    </row>
    <row r="2387" spans="1:8" x14ac:dyDescent="0.25">
      <c r="E2387" t="str">
        <f>"FSA202004156439"</f>
        <v>FSA202004156439</v>
      </c>
      <c r="F2387" t="str">
        <f>"TASC FSA"</f>
        <v>TASC FSA</v>
      </c>
      <c r="G2387" s="5">
        <v>445.4</v>
      </c>
      <c r="H2387" t="str">
        <f>"TASC FSA"</f>
        <v>TASC FSA</v>
      </c>
    </row>
    <row r="2388" spans="1:8" x14ac:dyDescent="0.25">
      <c r="E2388" t="str">
        <f>"FSC202004156438"</f>
        <v>FSC202004156438</v>
      </c>
      <c r="F2388" t="str">
        <f>"TASC DEPENDENT CARE"</f>
        <v>TASC DEPENDENT CARE</v>
      </c>
      <c r="G2388" s="5">
        <v>503.33</v>
      </c>
      <c r="H2388" t="str">
        <f>"TASC DEPENDENT CARE"</f>
        <v>TASC DEPENDENT CARE</v>
      </c>
    </row>
    <row r="2389" spans="1:8" x14ac:dyDescent="0.25">
      <c r="E2389" t="str">
        <f>"FSF202004156438"</f>
        <v>FSF202004156438</v>
      </c>
      <c r="F2389" t="str">
        <f>"TASC - FSA  FEES"</f>
        <v>TASC - FSA  FEES</v>
      </c>
      <c r="G2389" s="5">
        <v>255.6</v>
      </c>
      <c r="H2389" t="str">
        <f t="shared" ref="H2389:H2429" si="50">"TASC - FSA  FEES"</f>
        <v>TASC - FSA  FEES</v>
      </c>
    </row>
    <row r="2390" spans="1:8" x14ac:dyDescent="0.25">
      <c r="E2390" t="str">
        <f>""</f>
        <v/>
      </c>
      <c r="F2390" t="str">
        <f>""</f>
        <v/>
      </c>
      <c r="H2390" t="str">
        <f t="shared" si="50"/>
        <v>TASC - FSA  FEES</v>
      </c>
    </row>
    <row r="2391" spans="1:8" x14ac:dyDescent="0.25">
      <c r="E2391" t="str">
        <f>""</f>
        <v/>
      </c>
      <c r="F2391" t="str">
        <f>""</f>
        <v/>
      </c>
      <c r="H2391" t="str">
        <f t="shared" si="50"/>
        <v>TASC - FSA  FEES</v>
      </c>
    </row>
    <row r="2392" spans="1:8" x14ac:dyDescent="0.25">
      <c r="E2392" t="str">
        <f>""</f>
        <v/>
      </c>
      <c r="F2392" t="str">
        <f>""</f>
        <v/>
      </c>
      <c r="H2392" t="str">
        <f t="shared" si="50"/>
        <v>TASC - FSA  FEES</v>
      </c>
    </row>
    <row r="2393" spans="1:8" x14ac:dyDescent="0.25">
      <c r="E2393" t="str">
        <f>""</f>
        <v/>
      </c>
      <c r="F2393" t="str">
        <f>""</f>
        <v/>
      </c>
      <c r="H2393" t="str">
        <f t="shared" si="50"/>
        <v>TASC - FSA  FEES</v>
      </c>
    </row>
    <row r="2394" spans="1:8" x14ac:dyDescent="0.25">
      <c r="E2394" t="str">
        <f>""</f>
        <v/>
      </c>
      <c r="F2394" t="str">
        <f>""</f>
        <v/>
      </c>
      <c r="H2394" t="str">
        <f t="shared" si="50"/>
        <v>TASC - FSA  FEES</v>
      </c>
    </row>
    <row r="2395" spans="1:8" x14ac:dyDescent="0.25">
      <c r="E2395" t="str">
        <f>""</f>
        <v/>
      </c>
      <c r="F2395" t="str">
        <f>""</f>
        <v/>
      </c>
      <c r="H2395" t="str">
        <f t="shared" si="50"/>
        <v>TASC - FSA  FEES</v>
      </c>
    </row>
    <row r="2396" spans="1:8" x14ac:dyDescent="0.25">
      <c r="E2396" t="str">
        <f>""</f>
        <v/>
      </c>
      <c r="F2396" t="str">
        <f>""</f>
        <v/>
      </c>
      <c r="H2396" t="str">
        <f t="shared" si="50"/>
        <v>TASC - FSA  FEES</v>
      </c>
    </row>
    <row r="2397" spans="1:8" x14ac:dyDescent="0.25">
      <c r="E2397" t="str">
        <f>""</f>
        <v/>
      </c>
      <c r="F2397" t="str">
        <f>""</f>
        <v/>
      </c>
      <c r="H2397" t="str">
        <f t="shared" si="50"/>
        <v>TASC - FSA  FEES</v>
      </c>
    </row>
    <row r="2398" spans="1:8" x14ac:dyDescent="0.25">
      <c r="E2398" t="str">
        <f>""</f>
        <v/>
      </c>
      <c r="F2398" t="str">
        <f>""</f>
        <v/>
      </c>
      <c r="H2398" t="str">
        <f t="shared" si="50"/>
        <v>TASC - FSA  FEES</v>
      </c>
    </row>
    <row r="2399" spans="1:8" x14ac:dyDescent="0.25">
      <c r="E2399" t="str">
        <f>""</f>
        <v/>
      </c>
      <c r="F2399" t="str">
        <f>""</f>
        <v/>
      </c>
      <c r="H2399" t="str">
        <f t="shared" si="50"/>
        <v>TASC - FSA  FEES</v>
      </c>
    </row>
    <row r="2400" spans="1:8" x14ac:dyDescent="0.25">
      <c r="E2400" t="str">
        <f>""</f>
        <v/>
      </c>
      <c r="F2400" t="str">
        <f>""</f>
        <v/>
      </c>
      <c r="H2400" t="str">
        <f t="shared" si="50"/>
        <v>TASC - FSA  FEES</v>
      </c>
    </row>
    <row r="2401" spans="5:8" x14ac:dyDescent="0.25">
      <c r="E2401" t="str">
        <f>""</f>
        <v/>
      </c>
      <c r="F2401" t="str">
        <f>""</f>
        <v/>
      </c>
      <c r="H2401" t="str">
        <f t="shared" si="50"/>
        <v>TASC - FSA  FEES</v>
      </c>
    </row>
    <row r="2402" spans="5:8" x14ac:dyDescent="0.25">
      <c r="E2402" t="str">
        <f>""</f>
        <v/>
      </c>
      <c r="F2402" t="str">
        <f>""</f>
        <v/>
      </c>
      <c r="H2402" t="str">
        <f t="shared" si="50"/>
        <v>TASC - FSA  FEES</v>
      </c>
    </row>
    <row r="2403" spans="5:8" x14ac:dyDescent="0.25">
      <c r="E2403" t="str">
        <f>""</f>
        <v/>
      </c>
      <c r="F2403" t="str">
        <f>""</f>
        <v/>
      </c>
      <c r="H2403" t="str">
        <f t="shared" si="50"/>
        <v>TASC - FSA  FEES</v>
      </c>
    </row>
    <row r="2404" spans="5:8" x14ac:dyDescent="0.25">
      <c r="E2404" t="str">
        <f>""</f>
        <v/>
      </c>
      <c r="F2404" t="str">
        <f>""</f>
        <v/>
      </c>
      <c r="H2404" t="str">
        <f t="shared" si="50"/>
        <v>TASC - FSA  FEES</v>
      </c>
    </row>
    <row r="2405" spans="5:8" x14ac:dyDescent="0.25">
      <c r="E2405" t="str">
        <f>""</f>
        <v/>
      </c>
      <c r="F2405" t="str">
        <f>""</f>
        <v/>
      </c>
      <c r="H2405" t="str">
        <f t="shared" si="50"/>
        <v>TASC - FSA  FEES</v>
      </c>
    </row>
    <row r="2406" spans="5:8" x14ac:dyDescent="0.25">
      <c r="E2406" t="str">
        <f>""</f>
        <v/>
      </c>
      <c r="F2406" t="str">
        <f>""</f>
        <v/>
      </c>
      <c r="H2406" t="str">
        <f t="shared" si="50"/>
        <v>TASC - FSA  FEES</v>
      </c>
    </row>
    <row r="2407" spans="5:8" x14ac:dyDescent="0.25">
      <c r="E2407" t="str">
        <f>""</f>
        <v/>
      </c>
      <c r="F2407" t="str">
        <f>""</f>
        <v/>
      </c>
      <c r="H2407" t="str">
        <f t="shared" si="50"/>
        <v>TASC - FSA  FEES</v>
      </c>
    </row>
    <row r="2408" spans="5:8" x14ac:dyDescent="0.25">
      <c r="E2408" t="str">
        <f>""</f>
        <v/>
      </c>
      <c r="F2408" t="str">
        <f>""</f>
        <v/>
      </c>
      <c r="H2408" t="str">
        <f t="shared" si="50"/>
        <v>TASC - FSA  FEES</v>
      </c>
    </row>
    <row r="2409" spans="5:8" x14ac:dyDescent="0.25">
      <c r="E2409" t="str">
        <f>""</f>
        <v/>
      </c>
      <c r="F2409" t="str">
        <f>""</f>
        <v/>
      </c>
      <c r="H2409" t="str">
        <f t="shared" si="50"/>
        <v>TASC - FSA  FEES</v>
      </c>
    </row>
    <row r="2410" spans="5:8" x14ac:dyDescent="0.25">
      <c r="E2410" t="str">
        <f>""</f>
        <v/>
      </c>
      <c r="F2410" t="str">
        <f>""</f>
        <v/>
      </c>
      <c r="H2410" t="str">
        <f t="shared" si="50"/>
        <v>TASC - FSA  FEES</v>
      </c>
    </row>
    <row r="2411" spans="5:8" x14ac:dyDescent="0.25">
      <c r="E2411" t="str">
        <f>""</f>
        <v/>
      </c>
      <c r="F2411" t="str">
        <f>""</f>
        <v/>
      </c>
      <c r="H2411" t="str">
        <f t="shared" si="50"/>
        <v>TASC - FSA  FEES</v>
      </c>
    </row>
    <row r="2412" spans="5:8" x14ac:dyDescent="0.25">
      <c r="E2412" t="str">
        <f>""</f>
        <v/>
      </c>
      <c r="F2412" t="str">
        <f>""</f>
        <v/>
      </c>
      <c r="H2412" t="str">
        <f t="shared" si="50"/>
        <v>TASC - FSA  FEES</v>
      </c>
    </row>
    <row r="2413" spans="5:8" x14ac:dyDescent="0.25">
      <c r="E2413" t="str">
        <f>""</f>
        <v/>
      </c>
      <c r="F2413" t="str">
        <f>""</f>
        <v/>
      </c>
      <c r="H2413" t="str">
        <f t="shared" si="50"/>
        <v>TASC - FSA  FEES</v>
      </c>
    </row>
    <row r="2414" spans="5:8" x14ac:dyDescent="0.25">
      <c r="E2414" t="str">
        <f>""</f>
        <v/>
      </c>
      <c r="F2414" t="str">
        <f>""</f>
        <v/>
      </c>
      <c r="H2414" t="str">
        <f t="shared" si="50"/>
        <v>TASC - FSA  FEES</v>
      </c>
    </row>
    <row r="2415" spans="5:8" x14ac:dyDescent="0.25">
      <c r="E2415" t="str">
        <f>""</f>
        <v/>
      </c>
      <c r="F2415" t="str">
        <f>""</f>
        <v/>
      </c>
      <c r="H2415" t="str">
        <f t="shared" si="50"/>
        <v>TASC - FSA  FEES</v>
      </c>
    </row>
    <row r="2416" spans="5:8" x14ac:dyDescent="0.25">
      <c r="E2416" t="str">
        <f>""</f>
        <v/>
      </c>
      <c r="F2416" t="str">
        <f>""</f>
        <v/>
      </c>
      <c r="H2416" t="str">
        <f t="shared" si="50"/>
        <v>TASC - FSA 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50"/>
        <v>TASC - FSA 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50"/>
        <v>TASC - FSA 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50"/>
        <v>TASC - FSA 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50"/>
        <v>TASC - FSA 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50"/>
        <v>TASC - FSA 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50"/>
        <v>TASC - FSA 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50"/>
        <v>TASC - FSA 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50"/>
        <v>TASC - FSA 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50"/>
        <v>TASC - FSA 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50"/>
        <v>TASC - FSA 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50"/>
        <v>TASC - FSA 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50"/>
        <v>TASC - FSA  FEES</v>
      </c>
    </row>
    <row r="2429" spans="5:8" x14ac:dyDescent="0.25">
      <c r="E2429" t="str">
        <f>"FSF202004156439"</f>
        <v>FSF202004156439</v>
      </c>
      <c r="F2429" t="str">
        <f>"TASC - FSA  FEES"</f>
        <v>TASC - FSA  FEES</v>
      </c>
      <c r="G2429" s="5">
        <v>12.6</v>
      </c>
      <c r="H2429" t="str">
        <f t="shared" si="50"/>
        <v>TASC - FSA  FEES</v>
      </c>
    </row>
    <row r="2430" spans="5:8" x14ac:dyDescent="0.25">
      <c r="E2430" t="str">
        <f>"HRF202004156438"</f>
        <v>HRF202004156438</v>
      </c>
      <c r="F2430" t="str">
        <f>"TASC - HRA FEES"</f>
        <v>TASC - HRA FEES</v>
      </c>
      <c r="G2430" s="5">
        <v>797.4</v>
      </c>
      <c r="H2430" t="str">
        <f t="shared" ref="H2430:H2461" si="51">"TASC - HRA FEES"</f>
        <v>TASC - HRA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51"/>
        <v>TASC - HRA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51"/>
        <v>TASC - HRA FEES</v>
      </c>
    </row>
    <row r="2433" spans="5:8" x14ac:dyDescent="0.25">
      <c r="E2433" t="str">
        <f>""</f>
        <v/>
      </c>
      <c r="F2433" t="str">
        <f>""</f>
        <v/>
      </c>
      <c r="H2433" t="str">
        <f t="shared" si="51"/>
        <v>TASC - HRA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51"/>
        <v>TASC - HRA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51"/>
        <v>TASC - HRA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51"/>
        <v>TASC - HRA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51"/>
        <v>TASC - HRA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51"/>
        <v>TASC - HRA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51"/>
        <v>TASC - HRA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51"/>
        <v>TASC - HRA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51"/>
        <v>TASC - HRA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51"/>
        <v>TASC - HRA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51"/>
        <v>TASC - HRA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51"/>
        <v>TASC - HRA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51"/>
        <v>TASC - HRA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51"/>
        <v>TASC - HRA FEES</v>
      </c>
    </row>
    <row r="2447" spans="5:8" x14ac:dyDescent="0.25">
      <c r="E2447" t="str">
        <f>""</f>
        <v/>
      </c>
      <c r="F2447" t="str">
        <f>""</f>
        <v/>
      </c>
      <c r="H2447" t="str">
        <f t="shared" si="51"/>
        <v>TASC - HRA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51"/>
        <v>TASC - HRA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51"/>
        <v>TASC - HRA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51"/>
        <v>TASC - HRA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51"/>
        <v>TASC - HRA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51"/>
        <v>TASC - HRA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51"/>
        <v>TASC - HRA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51"/>
        <v>TASC - HRA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51"/>
        <v>TASC - HRA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51"/>
        <v>TASC - HRA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51"/>
        <v>TASC - HRA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51"/>
        <v>TASC - HRA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51"/>
        <v>TASC - HRA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51"/>
        <v>TASC - HRA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51"/>
        <v>TASC - HRA FEES</v>
      </c>
    </row>
    <row r="2462" spans="5:8" x14ac:dyDescent="0.25">
      <c r="E2462" t="str">
        <f>""</f>
        <v/>
      </c>
      <c r="F2462" t="str">
        <f>""</f>
        <v/>
      </c>
      <c r="H2462" t="str">
        <f t="shared" ref="H2462:H2481" si="52">"TASC - HRA FEES"</f>
        <v>TASC - HRA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52"/>
        <v>TASC - HRA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52"/>
        <v>TASC - HRA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52"/>
        <v>TASC - HRA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52"/>
        <v>TASC - HRA FEES</v>
      </c>
    </row>
    <row r="2467" spans="5:8" x14ac:dyDescent="0.25">
      <c r="E2467" t="str">
        <f>""</f>
        <v/>
      </c>
      <c r="F2467" t="str">
        <f>""</f>
        <v/>
      </c>
      <c r="H2467" t="str">
        <f t="shared" si="52"/>
        <v>TASC - HRA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52"/>
        <v>TASC - HRA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52"/>
        <v>TASC - HRA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52"/>
        <v>TASC - HRA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52"/>
        <v>TASC - HRA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52"/>
        <v>TASC - HRA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52"/>
        <v>TASC - HRA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52"/>
        <v>TASC - HRA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52"/>
        <v>TASC - HRA FEES</v>
      </c>
    </row>
    <row r="2476" spans="5:8" x14ac:dyDescent="0.25">
      <c r="E2476" t="str">
        <f>""</f>
        <v/>
      </c>
      <c r="F2476" t="str">
        <f>""</f>
        <v/>
      </c>
      <c r="H2476" t="str">
        <f t="shared" si="52"/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52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52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52"/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52"/>
        <v>TASC - HRA FEES</v>
      </c>
    </row>
    <row r="2481" spans="1:8" x14ac:dyDescent="0.25">
      <c r="E2481" t="str">
        <f>"HRF202004156439"</f>
        <v>HRF202004156439</v>
      </c>
      <c r="F2481" t="str">
        <f>"TASC - HRA FEES"</f>
        <v>TASC - HRA FEES</v>
      </c>
      <c r="G2481" s="5">
        <v>30.6</v>
      </c>
      <c r="H2481" t="str">
        <f t="shared" si="52"/>
        <v>TASC - HRA FEES</v>
      </c>
    </row>
    <row r="2482" spans="1:8" x14ac:dyDescent="0.25">
      <c r="A2482" t="s">
        <v>353</v>
      </c>
      <c r="B2482">
        <v>469</v>
      </c>
      <c r="C2482" s="5">
        <v>5098.47</v>
      </c>
      <c r="D2482" s="1">
        <v>43924</v>
      </c>
      <c r="E2482" t="str">
        <f>"C18202004016132"</f>
        <v>C18202004016132</v>
      </c>
      <c r="F2482" t="str">
        <f>"CAUSE# 0011635329"</f>
        <v>CAUSE# 0011635329</v>
      </c>
      <c r="G2482" s="5">
        <v>603.23</v>
      </c>
      <c r="H2482" t="str">
        <f>"CAUSE# 0011635329"</f>
        <v>CAUSE# 0011635329</v>
      </c>
    </row>
    <row r="2483" spans="1:8" x14ac:dyDescent="0.25">
      <c r="E2483" t="str">
        <f>"C2 202004016132"</f>
        <v>C2 202004016132</v>
      </c>
      <c r="F2483" t="str">
        <f>"0012982132CCL7445"</f>
        <v>0012982132CCL7445</v>
      </c>
      <c r="G2483" s="5">
        <v>692.31</v>
      </c>
      <c r="H2483" t="str">
        <f>"0012982132CCL7445"</f>
        <v>0012982132CCL7445</v>
      </c>
    </row>
    <row r="2484" spans="1:8" x14ac:dyDescent="0.25">
      <c r="E2484" t="str">
        <f>"C20202004016131"</f>
        <v>C20202004016131</v>
      </c>
      <c r="F2484" t="str">
        <f>"001003981107-12252"</f>
        <v>001003981107-12252</v>
      </c>
      <c r="G2484" s="5">
        <v>115.39</v>
      </c>
      <c r="H2484" t="str">
        <f>"001003981107-12252"</f>
        <v>001003981107-12252</v>
      </c>
    </row>
    <row r="2485" spans="1:8" x14ac:dyDescent="0.25">
      <c r="E2485" t="str">
        <f>"C42202004016131"</f>
        <v>C42202004016131</v>
      </c>
      <c r="F2485" t="str">
        <f>"001236769211-14410"</f>
        <v>001236769211-14410</v>
      </c>
      <c r="G2485" s="5">
        <v>230.31</v>
      </c>
      <c r="H2485" t="str">
        <f>"001236769211-14410"</f>
        <v>001236769211-14410</v>
      </c>
    </row>
    <row r="2486" spans="1:8" x14ac:dyDescent="0.25">
      <c r="E2486" t="str">
        <f>"C46202004016131"</f>
        <v>C46202004016131</v>
      </c>
      <c r="F2486" t="str">
        <f>"CAUSE# 11-14911"</f>
        <v>CAUSE# 11-14911</v>
      </c>
      <c r="G2486" s="5">
        <v>238.62</v>
      </c>
      <c r="H2486" t="str">
        <f>"CAUSE# 11-14911"</f>
        <v>CAUSE# 11-14911</v>
      </c>
    </row>
    <row r="2487" spans="1:8" x14ac:dyDescent="0.25">
      <c r="E2487" t="str">
        <f>"C53202004016131"</f>
        <v>C53202004016131</v>
      </c>
      <c r="F2487" t="str">
        <f>"0012453366"</f>
        <v>0012453366</v>
      </c>
      <c r="G2487" s="5">
        <v>138.46</v>
      </c>
      <c r="H2487" t="str">
        <f>"0012453366"</f>
        <v>0012453366</v>
      </c>
    </row>
    <row r="2488" spans="1:8" x14ac:dyDescent="0.25">
      <c r="E2488" t="str">
        <f>"C60202004016131"</f>
        <v>C60202004016131</v>
      </c>
      <c r="F2488" t="str">
        <f>"00130730762012V300"</f>
        <v>00130730762012V300</v>
      </c>
      <c r="G2488" s="5">
        <v>399.32</v>
      </c>
      <c r="H2488" t="str">
        <f>"00130730762012V300"</f>
        <v>00130730762012V300</v>
      </c>
    </row>
    <row r="2489" spans="1:8" x14ac:dyDescent="0.25">
      <c r="E2489" t="str">
        <f>"C62202004016131"</f>
        <v>C62202004016131</v>
      </c>
      <c r="F2489" t="str">
        <f>"# 0012128865"</f>
        <v># 0012128865</v>
      </c>
      <c r="G2489" s="5">
        <v>243.23</v>
      </c>
      <c r="H2489" t="str">
        <f>"# 0012128865"</f>
        <v># 0012128865</v>
      </c>
    </row>
    <row r="2490" spans="1:8" x14ac:dyDescent="0.25">
      <c r="E2490" t="str">
        <f>"C66202004016131"</f>
        <v>C66202004016131</v>
      </c>
      <c r="F2490" t="str">
        <f>"# 0012871801"</f>
        <v># 0012871801</v>
      </c>
      <c r="G2490" s="5">
        <v>90</v>
      </c>
      <c r="H2490" t="str">
        <f>"# 0012871801"</f>
        <v># 0012871801</v>
      </c>
    </row>
    <row r="2491" spans="1:8" x14ac:dyDescent="0.25">
      <c r="E2491" t="str">
        <f>"C67202004016131"</f>
        <v>C67202004016131</v>
      </c>
      <c r="F2491" t="str">
        <f>"13154657"</f>
        <v>13154657</v>
      </c>
      <c r="G2491" s="5">
        <v>101.99</v>
      </c>
      <c r="H2491" t="str">
        <f>"13154657"</f>
        <v>13154657</v>
      </c>
    </row>
    <row r="2492" spans="1:8" x14ac:dyDescent="0.25">
      <c r="E2492" t="str">
        <f>"C69202004016131"</f>
        <v>C69202004016131</v>
      </c>
      <c r="F2492" t="str">
        <f>"0012046911423672"</f>
        <v>0012046911423672</v>
      </c>
      <c r="G2492" s="5">
        <v>187.38</v>
      </c>
      <c r="H2492" t="str">
        <f>"0012046911423672"</f>
        <v>0012046911423672</v>
      </c>
    </row>
    <row r="2493" spans="1:8" x14ac:dyDescent="0.25">
      <c r="E2493" t="str">
        <f>"C70202004016131"</f>
        <v>C70202004016131</v>
      </c>
      <c r="F2493" t="str">
        <f>"00136881334235026"</f>
        <v>00136881334235026</v>
      </c>
      <c r="G2493" s="5">
        <v>195.15</v>
      </c>
      <c r="H2493" t="str">
        <f>"00136881334235026"</f>
        <v>00136881334235026</v>
      </c>
    </row>
    <row r="2494" spans="1:8" x14ac:dyDescent="0.25">
      <c r="E2494" t="str">
        <f>"C71202004016131"</f>
        <v>C71202004016131</v>
      </c>
      <c r="F2494" t="str">
        <f>"00137390532018V215"</f>
        <v>00137390532018V215</v>
      </c>
      <c r="G2494" s="5">
        <v>264</v>
      </c>
      <c r="H2494" t="str">
        <f>"00137390532018V215"</f>
        <v>00137390532018V215</v>
      </c>
    </row>
    <row r="2495" spans="1:8" x14ac:dyDescent="0.25">
      <c r="E2495" t="str">
        <f>"C72202004016131"</f>
        <v>C72202004016131</v>
      </c>
      <c r="F2495" t="str">
        <f>"0012797601C20130529B"</f>
        <v>0012797601C20130529B</v>
      </c>
      <c r="G2495" s="5">
        <v>241.85</v>
      </c>
      <c r="H2495" t="str">
        <f>"0012797601C20130529B"</f>
        <v>0012797601C20130529B</v>
      </c>
    </row>
    <row r="2496" spans="1:8" x14ac:dyDescent="0.25">
      <c r="E2496" t="str">
        <f>"C78202004016131"</f>
        <v>C78202004016131</v>
      </c>
      <c r="F2496" t="str">
        <f>"00105115972005106221"</f>
        <v>00105115972005106221</v>
      </c>
      <c r="G2496" s="5">
        <v>144.68</v>
      </c>
      <c r="H2496" t="str">
        <f>"00105115972005106221"</f>
        <v>00105115972005106221</v>
      </c>
    </row>
    <row r="2497" spans="1:8" x14ac:dyDescent="0.25">
      <c r="E2497" t="str">
        <f>"C82202004016131"</f>
        <v>C82202004016131</v>
      </c>
      <c r="F2497" t="str">
        <f>"0009476377203172B"</f>
        <v>0009476377203172B</v>
      </c>
      <c r="G2497" s="5">
        <v>46.15</v>
      </c>
      <c r="H2497" t="str">
        <f>"0009476377203172B"</f>
        <v>0009476377203172B</v>
      </c>
    </row>
    <row r="2498" spans="1:8" x14ac:dyDescent="0.25">
      <c r="E2498" t="str">
        <f>"C83202004016131"</f>
        <v>C83202004016131</v>
      </c>
      <c r="F2498" t="str">
        <f>"0013096953150533"</f>
        <v>0013096953150533</v>
      </c>
      <c r="G2498" s="5">
        <v>346.15</v>
      </c>
      <c r="H2498" t="str">
        <f>"0013096953150533"</f>
        <v>0013096953150533</v>
      </c>
    </row>
    <row r="2499" spans="1:8" x14ac:dyDescent="0.25">
      <c r="E2499" t="str">
        <f>"C84202004016131"</f>
        <v>C84202004016131</v>
      </c>
      <c r="F2499" t="str">
        <f>"00128499834232566"</f>
        <v>00128499834232566</v>
      </c>
      <c r="G2499" s="5">
        <v>439.94</v>
      </c>
      <c r="H2499" t="str">
        <f>"00128499834232566"</f>
        <v>00128499834232566</v>
      </c>
    </row>
    <row r="2500" spans="1:8" x14ac:dyDescent="0.25">
      <c r="E2500" t="str">
        <f>"C85202004016131"</f>
        <v>C85202004016131</v>
      </c>
      <c r="F2500" t="str">
        <f>"0012469425201770874"</f>
        <v>0012469425201770874</v>
      </c>
      <c r="G2500" s="5">
        <v>138.46</v>
      </c>
      <c r="H2500" t="str">
        <f>"0012469425201770874"</f>
        <v>0012469425201770874</v>
      </c>
    </row>
    <row r="2501" spans="1:8" x14ac:dyDescent="0.25">
      <c r="E2501" t="str">
        <f>"C86202004016131"</f>
        <v>C86202004016131</v>
      </c>
      <c r="F2501" t="str">
        <f>"0013854015101285F"</f>
        <v>0013854015101285F</v>
      </c>
      <c r="G2501" s="5">
        <v>241.85</v>
      </c>
      <c r="H2501" t="str">
        <f>"0013854015101285F"</f>
        <v>0013854015101285F</v>
      </c>
    </row>
    <row r="2502" spans="1:8" x14ac:dyDescent="0.25">
      <c r="A2502" t="s">
        <v>353</v>
      </c>
      <c r="B2502">
        <v>478</v>
      </c>
      <c r="C2502" s="5">
        <v>5416.93</v>
      </c>
      <c r="D2502" s="1">
        <v>43938</v>
      </c>
      <c r="E2502" t="str">
        <f>"C18202004156439"</f>
        <v>C18202004156439</v>
      </c>
      <c r="F2502" t="str">
        <f>"CAUSE# 0011635329"</f>
        <v>CAUSE# 0011635329</v>
      </c>
      <c r="G2502" s="5">
        <v>603.23</v>
      </c>
      <c r="H2502" t="str">
        <f>"CAUSE# 0011635329"</f>
        <v>CAUSE# 0011635329</v>
      </c>
    </row>
    <row r="2503" spans="1:8" x14ac:dyDescent="0.25">
      <c r="E2503" t="str">
        <f>"C2 202004156439"</f>
        <v>C2 202004156439</v>
      </c>
      <c r="F2503" t="str">
        <f>"0012982132CCL7445"</f>
        <v>0012982132CCL7445</v>
      </c>
      <c r="G2503" s="5">
        <v>692.31</v>
      </c>
      <c r="H2503" t="str">
        <f>"0012982132CCL7445"</f>
        <v>0012982132CCL7445</v>
      </c>
    </row>
    <row r="2504" spans="1:8" x14ac:dyDescent="0.25">
      <c r="E2504" t="str">
        <f>"C20202004156438"</f>
        <v>C20202004156438</v>
      </c>
      <c r="F2504" t="str">
        <f>"001003981107-12252"</f>
        <v>001003981107-12252</v>
      </c>
      <c r="G2504" s="5">
        <v>115.39</v>
      </c>
      <c r="H2504" t="str">
        <f>"001003981107-12252"</f>
        <v>001003981107-12252</v>
      </c>
    </row>
    <row r="2505" spans="1:8" x14ac:dyDescent="0.25">
      <c r="E2505" t="str">
        <f>"C42202004156438"</f>
        <v>C42202004156438</v>
      </c>
      <c r="F2505" t="str">
        <f>"001236769211-14410"</f>
        <v>001236769211-14410</v>
      </c>
      <c r="G2505" s="5">
        <v>230.31</v>
      </c>
      <c r="H2505" t="str">
        <f>"001236769211-14410"</f>
        <v>001236769211-14410</v>
      </c>
    </row>
    <row r="2506" spans="1:8" x14ac:dyDescent="0.25">
      <c r="E2506" t="str">
        <f>"C46202004156438"</f>
        <v>C46202004156438</v>
      </c>
      <c r="F2506" t="str">
        <f>"CAUSE# 11-14911"</f>
        <v>CAUSE# 11-14911</v>
      </c>
      <c r="G2506" s="5">
        <v>238.62</v>
      </c>
      <c r="H2506" t="str">
        <f>"CAUSE# 11-14911"</f>
        <v>CAUSE# 11-14911</v>
      </c>
    </row>
    <row r="2507" spans="1:8" x14ac:dyDescent="0.25">
      <c r="E2507" t="str">
        <f>"C53202004156438"</f>
        <v>C53202004156438</v>
      </c>
      <c r="F2507" t="str">
        <f>"0012453366"</f>
        <v>0012453366</v>
      </c>
      <c r="G2507" s="5">
        <v>138.46</v>
      </c>
      <c r="H2507" t="str">
        <f>"0012453366"</f>
        <v>0012453366</v>
      </c>
    </row>
    <row r="2508" spans="1:8" x14ac:dyDescent="0.25">
      <c r="E2508" t="str">
        <f>"C60202004156438"</f>
        <v>C60202004156438</v>
      </c>
      <c r="F2508" t="str">
        <f>"00130730762012V300"</f>
        <v>00130730762012V300</v>
      </c>
      <c r="G2508" s="5">
        <v>399.32</v>
      </c>
      <c r="H2508" t="str">
        <f>"00130730762012V300"</f>
        <v>00130730762012V300</v>
      </c>
    </row>
    <row r="2509" spans="1:8" x14ac:dyDescent="0.25">
      <c r="E2509" t="str">
        <f>"C62202004156438"</f>
        <v>C62202004156438</v>
      </c>
      <c r="F2509" t="str">
        <f>"# 0012128865"</f>
        <v># 0012128865</v>
      </c>
      <c r="G2509" s="5">
        <v>243.23</v>
      </c>
      <c r="H2509" t="str">
        <f>"# 0012128865"</f>
        <v># 0012128865</v>
      </c>
    </row>
    <row r="2510" spans="1:8" x14ac:dyDescent="0.25">
      <c r="E2510" t="str">
        <f>"C66202004156438"</f>
        <v>C66202004156438</v>
      </c>
      <c r="F2510" t="str">
        <f>"# 0012871801"</f>
        <v># 0012871801</v>
      </c>
      <c r="G2510" s="5">
        <v>90</v>
      </c>
      <c r="H2510" t="str">
        <f>"# 0012871801"</f>
        <v># 0012871801</v>
      </c>
    </row>
    <row r="2511" spans="1:8" x14ac:dyDescent="0.25">
      <c r="E2511" t="str">
        <f>"C67202004156438"</f>
        <v>C67202004156438</v>
      </c>
      <c r="F2511" t="str">
        <f>"13154657"</f>
        <v>13154657</v>
      </c>
      <c r="G2511" s="5">
        <v>101.99</v>
      </c>
      <c r="H2511" t="str">
        <f>"13154657"</f>
        <v>13154657</v>
      </c>
    </row>
    <row r="2512" spans="1:8" x14ac:dyDescent="0.25">
      <c r="E2512" t="str">
        <f>"C69202004156438"</f>
        <v>C69202004156438</v>
      </c>
      <c r="F2512" t="str">
        <f>"0012046911423672"</f>
        <v>0012046911423672</v>
      </c>
      <c r="G2512" s="5">
        <v>187.38</v>
      </c>
      <c r="H2512" t="str">
        <f>"0012046911423672"</f>
        <v>0012046911423672</v>
      </c>
    </row>
    <row r="2513" spans="1:8" x14ac:dyDescent="0.25">
      <c r="E2513" t="str">
        <f>"C70202004156438"</f>
        <v>C70202004156438</v>
      </c>
      <c r="F2513" t="str">
        <f>"00136881334235026"</f>
        <v>00136881334235026</v>
      </c>
      <c r="G2513" s="5">
        <v>195.15</v>
      </c>
      <c r="H2513" t="str">
        <f>"00136881334235026"</f>
        <v>00136881334235026</v>
      </c>
    </row>
    <row r="2514" spans="1:8" x14ac:dyDescent="0.25">
      <c r="E2514" t="str">
        <f>"C71202004156438"</f>
        <v>C71202004156438</v>
      </c>
      <c r="F2514" t="str">
        <f>"00137390532018V215"</f>
        <v>00137390532018V215</v>
      </c>
      <c r="G2514" s="5">
        <v>264</v>
      </c>
      <c r="H2514" t="str">
        <f>"00137390532018V215"</f>
        <v>00137390532018V215</v>
      </c>
    </row>
    <row r="2515" spans="1:8" x14ac:dyDescent="0.25">
      <c r="E2515" t="str">
        <f>"C72202004156438"</f>
        <v>C72202004156438</v>
      </c>
      <c r="F2515" t="str">
        <f>"0012797601C20130529B"</f>
        <v>0012797601C20130529B</v>
      </c>
      <c r="G2515" s="5">
        <v>241.85</v>
      </c>
      <c r="H2515" t="str">
        <f>"0012797601C20130529B"</f>
        <v>0012797601C20130529B</v>
      </c>
    </row>
    <row r="2516" spans="1:8" x14ac:dyDescent="0.25">
      <c r="E2516" t="str">
        <f>"C78202004156438"</f>
        <v>C78202004156438</v>
      </c>
      <c r="F2516" t="str">
        <f>"00105115972005106221"</f>
        <v>00105115972005106221</v>
      </c>
      <c r="G2516" s="5">
        <v>144.68</v>
      </c>
      <c r="H2516" t="str">
        <f>"00105115972005106221"</f>
        <v>00105115972005106221</v>
      </c>
    </row>
    <row r="2517" spans="1:8" x14ac:dyDescent="0.25">
      <c r="E2517" t="str">
        <f>"C82202004156438"</f>
        <v>C82202004156438</v>
      </c>
      <c r="F2517" t="str">
        <f>"0009476377203172B"</f>
        <v>0009476377203172B</v>
      </c>
      <c r="G2517" s="5">
        <v>46.15</v>
      </c>
      <c r="H2517" t="str">
        <f>"0009476377203172B"</f>
        <v>0009476377203172B</v>
      </c>
    </row>
    <row r="2518" spans="1:8" x14ac:dyDescent="0.25">
      <c r="E2518" t="str">
        <f>"C83202004156438"</f>
        <v>C83202004156438</v>
      </c>
      <c r="F2518" t="str">
        <f>"0013096953150533"</f>
        <v>0013096953150533</v>
      </c>
      <c r="G2518" s="5">
        <v>346.15</v>
      </c>
      <c r="H2518" t="str">
        <f>"0013096953150533"</f>
        <v>0013096953150533</v>
      </c>
    </row>
    <row r="2519" spans="1:8" x14ac:dyDescent="0.25">
      <c r="E2519" t="str">
        <f>"C84202004156438"</f>
        <v>C84202004156438</v>
      </c>
      <c r="F2519" t="str">
        <f>"00128499834232566"</f>
        <v>00128499834232566</v>
      </c>
      <c r="G2519" s="5">
        <v>439.94</v>
      </c>
      <c r="H2519" t="str">
        <f>"00128499834232566"</f>
        <v>00128499834232566</v>
      </c>
    </row>
    <row r="2520" spans="1:8" x14ac:dyDescent="0.25">
      <c r="E2520" t="str">
        <f>"C85202004156438"</f>
        <v>C85202004156438</v>
      </c>
      <c r="F2520" t="str">
        <f>"0012469425201770874"</f>
        <v>0012469425201770874</v>
      </c>
      <c r="G2520" s="5">
        <v>138.46</v>
      </c>
      <c r="H2520" t="str">
        <f>"0012469425201770874"</f>
        <v>0012469425201770874</v>
      </c>
    </row>
    <row r="2521" spans="1:8" x14ac:dyDescent="0.25">
      <c r="E2521" t="str">
        <f>"C86202004156438"</f>
        <v>C86202004156438</v>
      </c>
      <c r="F2521" t="str">
        <f>"0013854015101285F"</f>
        <v>0013854015101285F</v>
      </c>
      <c r="G2521" s="5">
        <v>241.85</v>
      </c>
      <c r="H2521" t="str">
        <f>"0013854015101285F"</f>
        <v>0013854015101285F</v>
      </c>
    </row>
    <row r="2522" spans="1:8" x14ac:dyDescent="0.25">
      <c r="E2522" t="str">
        <f>"C87202004156438"</f>
        <v>C87202004156438</v>
      </c>
      <c r="F2522" t="str">
        <f>"0012963634L130019CVB"</f>
        <v>0012963634L130019CVB</v>
      </c>
      <c r="G2522" s="5">
        <v>318.45999999999998</v>
      </c>
      <c r="H2522" t="str">
        <f>"0012963634L130019CVB"</f>
        <v>0012963634L130019CVB</v>
      </c>
    </row>
    <row r="2523" spans="1:8" x14ac:dyDescent="0.25">
      <c r="A2523" t="s">
        <v>354</v>
      </c>
      <c r="B2523">
        <v>480</v>
      </c>
      <c r="C2523" s="5">
        <v>379600.37</v>
      </c>
      <c r="D2523" s="1">
        <v>43938</v>
      </c>
      <c r="E2523" t="str">
        <f>"RET202004016131"</f>
        <v>RET202004016131</v>
      </c>
      <c r="F2523" t="str">
        <f>"TEXAS COUNTY &amp; DISTRICT RET"</f>
        <v>TEXAS COUNTY &amp; DISTRICT RET</v>
      </c>
      <c r="G2523" s="5">
        <v>175116.19</v>
      </c>
      <c r="H2523" t="str">
        <f t="shared" ref="H2523:H2554" si="53">"TEXAS COUNTY &amp; DISTRICT RET"</f>
        <v>TEXAS COUNTY &amp; DISTRICT RET</v>
      </c>
    </row>
    <row r="2524" spans="1:8" x14ac:dyDescent="0.25">
      <c r="E2524" t="str">
        <f>""</f>
        <v/>
      </c>
      <c r="F2524" t="str">
        <f>""</f>
        <v/>
      </c>
      <c r="H2524" t="str">
        <f t="shared" si="53"/>
        <v>TEXAS COUNTY &amp; DISTRICT RET</v>
      </c>
    </row>
    <row r="2525" spans="1:8" x14ac:dyDescent="0.25">
      <c r="E2525" t="str">
        <f>""</f>
        <v/>
      </c>
      <c r="F2525" t="str">
        <f>""</f>
        <v/>
      </c>
      <c r="H2525" t="str">
        <f t="shared" si="53"/>
        <v>TEXAS COUNTY &amp; DISTRICT RET</v>
      </c>
    </row>
    <row r="2526" spans="1:8" x14ac:dyDescent="0.25">
      <c r="E2526" t="str">
        <f>""</f>
        <v/>
      </c>
      <c r="F2526" t="str">
        <f>""</f>
        <v/>
      </c>
      <c r="H2526" t="str">
        <f t="shared" si="53"/>
        <v>TEXAS COUNTY &amp; DISTRICT RET</v>
      </c>
    </row>
    <row r="2527" spans="1:8" x14ac:dyDescent="0.25">
      <c r="E2527" t="str">
        <f>""</f>
        <v/>
      </c>
      <c r="F2527" t="str">
        <f>""</f>
        <v/>
      </c>
      <c r="H2527" t="str">
        <f t="shared" si="53"/>
        <v>TEXAS COUNTY &amp; DISTRICT RET</v>
      </c>
    </row>
    <row r="2528" spans="1:8" x14ac:dyDescent="0.25">
      <c r="E2528" t="str">
        <f>""</f>
        <v/>
      </c>
      <c r="F2528" t="str">
        <f>""</f>
        <v/>
      </c>
      <c r="H2528" t="str">
        <f t="shared" si="53"/>
        <v>TEXAS COUNTY &amp; DISTRICT RET</v>
      </c>
    </row>
    <row r="2529" spans="5:8" x14ac:dyDescent="0.25">
      <c r="E2529" t="str">
        <f>""</f>
        <v/>
      </c>
      <c r="F2529" t="str">
        <f>""</f>
        <v/>
      </c>
      <c r="H2529" t="str">
        <f t="shared" si="53"/>
        <v>TEXAS COUNTY &amp; DISTRICT RET</v>
      </c>
    </row>
    <row r="2530" spans="5:8" x14ac:dyDescent="0.25">
      <c r="E2530" t="str">
        <f>""</f>
        <v/>
      </c>
      <c r="F2530" t="str">
        <f>""</f>
        <v/>
      </c>
      <c r="H2530" t="str">
        <f t="shared" si="53"/>
        <v>TEXAS COUNTY &amp; DISTRICT RET</v>
      </c>
    </row>
    <row r="2531" spans="5:8" x14ac:dyDescent="0.25">
      <c r="E2531" t="str">
        <f>""</f>
        <v/>
      </c>
      <c r="F2531" t="str">
        <f>""</f>
        <v/>
      </c>
      <c r="H2531" t="str">
        <f t="shared" si="53"/>
        <v>TEXAS COUNTY &amp; DISTRICT RET</v>
      </c>
    </row>
    <row r="2532" spans="5:8" x14ac:dyDescent="0.25">
      <c r="E2532" t="str">
        <f>""</f>
        <v/>
      </c>
      <c r="F2532" t="str">
        <f>""</f>
        <v/>
      </c>
      <c r="H2532" t="str">
        <f t="shared" si="53"/>
        <v>TEXAS COUNTY &amp; DISTRICT RET</v>
      </c>
    </row>
    <row r="2533" spans="5:8" x14ac:dyDescent="0.25">
      <c r="E2533" t="str">
        <f>""</f>
        <v/>
      </c>
      <c r="F2533" t="str">
        <f>""</f>
        <v/>
      </c>
      <c r="H2533" t="str">
        <f t="shared" si="53"/>
        <v>TEXAS COUNTY &amp; DISTRICT RET</v>
      </c>
    </row>
    <row r="2534" spans="5:8" x14ac:dyDescent="0.25">
      <c r="E2534" t="str">
        <f>""</f>
        <v/>
      </c>
      <c r="F2534" t="str">
        <f>""</f>
        <v/>
      </c>
      <c r="H2534" t="str">
        <f t="shared" si="53"/>
        <v>TEXAS COUNTY &amp; DISTRICT RET</v>
      </c>
    </row>
    <row r="2535" spans="5:8" x14ac:dyDescent="0.25">
      <c r="E2535" t="str">
        <f>""</f>
        <v/>
      </c>
      <c r="F2535" t="str">
        <f>""</f>
        <v/>
      </c>
      <c r="H2535" t="str">
        <f t="shared" si="53"/>
        <v>TEXAS COUNTY &amp; DISTRICT RET</v>
      </c>
    </row>
    <row r="2536" spans="5:8" x14ac:dyDescent="0.25">
      <c r="E2536" t="str">
        <f>""</f>
        <v/>
      </c>
      <c r="F2536" t="str">
        <f>""</f>
        <v/>
      </c>
      <c r="H2536" t="str">
        <f t="shared" si="53"/>
        <v>TEXAS COUNTY &amp; DISTRICT RET</v>
      </c>
    </row>
    <row r="2537" spans="5:8" x14ac:dyDescent="0.25">
      <c r="E2537" t="str">
        <f>""</f>
        <v/>
      </c>
      <c r="F2537" t="str">
        <f>""</f>
        <v/>
      </c>
      <c r="H2537" t="str">
        <f t="shared" si="53"/>
        <v>TEXAS COUNTY &amp; DISTRICT RET</v>
      </c>
    </row>
    <row r="2538" spans="5:8" x14ac:dyDescent="0.25">
      <c r="E2538" t="str">
        <f>""</f>
        <v/>
      </c>
      <c r="F2538" t="str">
        <f>""</f>
        <v/>
      </c>
      <c r="H2538" t="str">
        <f t="shared" si="53"/>
        <v>TEXAS COUNTY &amp; DISTRICT RET</v>
      </c>
    </row>
    <row r="2539" spans="5:8" x14ac:dyDescent="0.25">
      <c r="E2539" t="str">
        <f>""</f>
        <v/>
      </c>
      <c r="F2539" t="str">
        <f>""</f>
        <v/>
      </c>
      <c r="H2539" t="str">
        <f t="shared" si="53"/>
        <v>TEXAS COUNTY &amp; DISTRICT RET</v>
      </c>
    </row>
    <row r="2540" spans="5:8" x14ac:dyDescent="0.25">
      <c r="E2540" t="str">
        <f>""</f>
        <v/>
      </c>
      <c r="F2540" t="str">
        <f>""</f>
        <v/>
      </c>
      <c r="H2540" t="str">
        <f t="shared" si="53"/>
        <v>TEXAS COUNTY &amp; DISTRICT RET</v>
      </c>
    </row>
    <row r="2541" spans="5:8" x14ac:dyDescent="0.25">
      <c r="E2541" t="str">
        <f>""</f>
        <v/>
      </c>
      <c r="F2541" t="str">
        <f>""</f>
        <v/>
      </c>
      <c r="H2541" t="str">
        <f t="shared" si="53"/>
        <v>TEXAS COUNTY &amp; DISTRICT RET</v>
      </c>
    </row>
    <row r="2542" spans="5:8" x14ac:dyDescent="0.25">
      <c r="E2542" t="str">
        <f>""</f>
        <v/>
      </c>
      <c r="F2542" t="str">
        <f>""</f>
        <v/>
      </c>
      <c r="H2542" t="str">
        <f t="shared" si="53"/>
        <v>TEXAS COUNTY &amp; DISTRICT RET</v>
      </c>
    </row>
    <row r="2543" spans="5:8" x14ac:dyDescent="0.25">
      <c r="E2543" t="str">
        <f>""</f>
        <v/>
      </c>
      <c r="F2543" t="str">
        <f>""</f>
        <v/>
      </c>
      <c r="H2543" t="str">
        <f t="shared" si="53"/>
        <v>TEXAS COUNTY &amp; DISTRICT RET</v>
      </c>
    </row>
    <row r="2544" spans="5:8" x14ac:dyDescent="0.25">
      <c r="E2544" t="str">
        <f>""</f>
        <v/>
      </c>
      <c r="F2544" t="str">
        <f>""</f>
        <v/>
      </c>
      <c r="H2544" t="str">
        <f t="shared" si="53"/>
        <v>TEXAS COUNTY &amp; DISTRICT RET</v>
      </c>
    </row>
    <row r="2545" spans="5:8" x14ac:dyDescent="0.25">
      <c r="E2545" t="str">
        <f>""</f>
        <v/>
      </c>
      <c r="F2545" t="str">
        <f>""</f>
        <v/>
      </c>
      <c r="H2545" t="str">
        <f t="shared" si="53"/>
        <v>TEXAS COUNTY &amp; DISTRICT RET</v>
      </c>
    </row>
    <row r="2546" spans="5:8" x14ac:dyDescent="0.25">
      <c r="E2546" t="str">
        <f>""</f>
        <v/>
      </c>
      <c r="F2546" t="str">
        <f>""</f>
        <v/>
      </c>
      <c r="H2546" t="str">
        <f t="shared" si="53"/>
        <v>TEXAS COUNTY &amp; DISTRICT RET</v>
      </c>
    </row>
    <row r="2547" spans="5:8" x14ac:dyDescent="0.25">
      <c r="E2547" t="str">
        <f>""</f>
        <v/>
      </c>
      <c r="F2547" t="str">
        <f>""</f>
        <v/>
      </c>
      <c r="H2547" t="str">
        <f t="shared" si="53"/>
        <v>TEXAS COUNTY &amp; DISTRICT RET</v>
      </c>
    </row>
    <row r="2548" spans="5:8" x14ac:dyDescent="0.25">
      <c r="E2548" t="str">
        <f>""</f>
        <v/>
      </c>
      <c r="F2548" t="str">
        <f>""</f>
        <v/>
      </c>
      <c r="H2548" t="str">
        <f t="shared" si="53"/>
        <v>TEXAS COUNTY &amp; DISTRICT RET</v>
      </c>
    </row>
    <row r="2549" spans="5:8" x14ac:dyDescent="0.25">
      <c r="E2549" t="str">
        <f>""</f>
        <v/>
      </c>
      <c r="F2549" t="str">
        <f>""</f>
        <v/>
      </c>
      <c r="H2549" t="str">
        <f t="shared" si="53"/>
        <v>TEXAS COUNTY &amp; DISTRICT RET</v>
      </c>
    </row>
    <row r="2550" spans="5:8" x14ac:dyDescent="0.25">
      <c r="E2550" t="str">
        <f>""</f>
        <v/>
      </c>
      <c r="F2550" t="str">
        <f>""</f>
        <v/>
      </c>
      <c r="H2550" t="str">
        <f t="shared" si="53"/>
        <v>TEXAS COUNTY &amp; DISTRICT RET</v>
      </c>
    </row>
    <row r="2551" spans="5:8" x14ac:dyDescent="0.25">
      <c r="E2551" t="str">
        <f>""</f>
        <v/>
      </c>
      <c r="F2551" t="str">
        <f>""</f>
        <v/>
      </c>
      <c r="H2551" t="str">
        <f t="shared" si="53"/>
        <v>TEXAS COUNTY &amp; DISTRICT RET</v>
      </c>
    </row>
    <row r="2552" spans="5:8" x14ac:dyDescent="0.25">
      <c r="E2552" t="str">
        <f>""</f>
        <v/>
      </c>
      <c r="F2552" t="str">
        <f>""</f>
        <v/>
      </c>
      <c r="H2552" t="str">
        <f t="shared" si="53"/>
        <v>TEXAS COUNTY &amp; DISTRICT RET</v>
      </c>
    </row>
    <row r="2553" spans="5:8" x14ac:dyDescent="0.25">
      <c r="E2553" t="str">
        <f>""</f>
        <v/>
      </c>
      <c r="F2553" t="str">
        <f>""</f>
        <v/>
      </c>
      <c r="H2553" t="str">
        <f t="shared" si="53"/>
        <v>TEXAS COUNTY &amp; DISTRICT RET</v>
      </c>
    </row>
    <row r="2554" spans="5:8" x14ac:dyDescent="0.25">
      <c r="E2554" t="str">
        <f>""</f>
        <v/>
      </c>
      <c r="F2554" t="str">
        <f>""</f>
        <v/>
      </c>
      <c r="H2554" t="str">
        <f t="shared" si="53"/>
        <v>TEXAS COUNTY &amp; DISTRICT RET</v>
      </c>
    </row>
    <row r="2555" spans="5:8" x14ac:dyDescent="0.25">
      <c r="E2555" t="str">
        <f>""</f>
        <v/>
      </c>
      <c r="F2555" t="str">
        <f>""</f>
        <v/>
      </c>
      <c r="H2555" t="str">
        <f t="shared" ref="H2555:H2574" si="54">"TEXAS COUNTY &amp; DISTRICT RET"</f>
        <v>TEXAS COUNTY &amp; DISTRICT RET</v>
      </c>
    </row>
    <row r="2556" spans="5:8" x14ac:dyDescent="0.25">
      <c r="E2556" t="str">
        <f>""</f>
        <v/>
      </c>
      <c r="F2556" t="str">
        <f>""</f>
        <v/>
      </c>
      <c r="H2556" t="str">
        <f t="shared" si="54"/>
        <v>TEXAS COUNTY &amp; DISTRICT RET</v>
      </c>
    </row>
    <row r="2557" spans="5:8" x14ac:dyDescent="0.25">
      <c r="E2557" t="str">
        <f>""</f>
        <v/>
      </c>
      <c r="F2557" t="str">
        <f>""</f>
        <v/>
      </c>
      <c r="H2557" t="str">
        <f t="shared" si="54"/>
        <v>TEXAS COUNTY &amp; DISTRICT RET</v>
      </c>
    </row>
    <row r="2558" spans="5:8" x14ac:dyDescent="0.25">
      <c r="E2558" t="str">
        <f>""</f>
        <v/>
      </c>
      <c r="F2558" t="str">
        <f>""</f>
        <v/>
      </c>
      <c r="H2558" t="str">
        <f t="shared" si="54"/>
        <v>TEXAS COUNTY &amp; DISTRICT RET</v>
      </c>
    </row>
    <row r="2559" spans="5:8" x14ac:dyDescent="0.25">
      <c r="E2559" t="str">
        <f>""</f>
        <v/>
      </c>
      <c r="F2559" t="str">
        <f>""</f>
        <v/>
      </c>
      <c r="H2559" t="str">
        <f t="shared" si="54"/>
        <v>TEXAS COUNTY &amp; DISTRICT RET</v>
      </c>
    </row>
    <row r="2560" spans="5:8" x14ac:dyDescent="0.25">
      <c r="E2560" t="str">
        <f>""</f>
        <v/>
      </c>
      <c r="F2560" t="str">
        <f>""</f>
        <v/>
      </c>
      <c r="H2560" t="str">
        <f t="shared" si="54"/>
        <v>TEXAS COUNTY &amp; DISTRICT RET</v>
      </c>
    </row>
    <row r="2561" spans="5:8" x14ac:dyDescent="0.25">
      <c r="E2561" t="str">
        <f>""</f>
        <v/>
      </c>
      <c r="F2561" t="str">
        <f>""</f>
        <v/>
      </c>
      <c r="H2561" t="str">
        <f t="shared" si="54"/>
        <v>TEXAS COUNTY &amp; DISTRICT RET</v>
      </c>
    </row>
    <row r="2562" spans="5:8" x14ac:dyDescent="0.25">
      <c r="E2562" t="str">
        <f>""</f>
        <v/>
      </c>
      <c r="F2562" t="str">
        <f>""</f>
        <v/>
      </c>
      <c r="H2562" t="str">
        <f t="shared" si="54"/>
        <v>TEXAS COUNTY &amp; DISTRICT RET</v>
      </c>
    </row>
    <row r="2563" spans="5:8" x14ac:dyDescent="0.25">
      <c r="E2563" t="str">
        <f>""</f>
        <v/>
      </c>
      <c r="F2563" t="str">
        <f>""</f>
        <v/>
      </c>
      <c r="H2563" t="str">
        <f t="shared" si="54"/>
        <v>TEXAS COUNTY &amp; DISTRICT RET</v>
      </c>
    </row>
    <row r="2564" spans="5:8" x14ac:dyDescent="0.25">
      <c r="E2564" t="str">
        <f>""</f>
        <v/>
      </c>
      <c r="F2564" t="str">
        <f>""</f>
        <v/>
      </c>
      <c r="H2564" t="str">
        <f t="shared" si="54"/>
        <v>TEXAS COUNTY &amp; DISTRICT RET</v>
      </c>
    </row>
    <row r="2565" spans="5:8" x14ac:dyDescent="0.25">
      <c r="E2565" t="str">
        <f>""</f>
        <v/>
      </c>
      <c r="F2565" t="str">
        <f>""</f>
        <v/>
      </c>
      <c r="H2565" t="str">
        <f t="shared" si="54"/>
        <v>TEXAS COUNTY &amp; DISTRICT RET</v>
      </c>
    </row>
    <row r="2566" spans="5:8" x14ac:dyDescent="0.25">
      <c r="E2566" t="str">
        <f>""</f>
        <v/>
      </c>
      <c r="F2566" t="str">
        <f>""</f>
        <v/>
      </c>
      <c r="H2566" t="str">
        <f t="shared" si="54"/>
        <v>TEXAS COUNTY &amp; DISTRICT RET</v>
      </c>
    </row>
    <row r="2567" spans="5:8" x14ac:dyDescent="0.25">
      <c r="E2567" t="str">
        <f>""</f>
        <v/>
      </c>
      <c r="F2567" t="str">
        <f>""</f>
        <v/>
      </c>
      <c r="H2567" t="str">
        <f t="shared" si="54"/>
        <v>TEXAS COUNTY &amp; DISTRICT RET</v>
      </c>
    </row>
    <row r="2568" spans="5:8" x14ac:dyDescent="0.25">
      <c r="E2568" t="str">
        <f>""</f>
        <v/>
      </c>
      <c r="F2568" t="str">
        <f>""</f>
        <v/>
      </c>
      <c r="H2568" t="str">
        <f t="shared" si="54"/>
        <v>TEXAS COUNTY &amp; DISTRICT RET</v>
      </c>
    </row>
    <row r="2569" spans="5:8" x14ac:dyDescent="0.25">
      <c r="E2569" t="str">
        <f>""</f>
        <v/>
      </c>
      <c r="F2569" t="str">
        <f>""</f>
        <v/>
      </c>
      <c r="H2569" t="str">
        <f t="shared" si="54"/>
        <v>TEXAS COUNTY &amp; DISTRICT RET</v>
      </c>
    </row>
    <row r="2570" spans="5:8" x14ac:dyDescent="0.25">
      <c r="E2570" t="str">
        <f>""</f>
        <v/>
      </c>
      <c r="F2570" t="str">
        <f>""</f>
        <v/>
      </c>
      <c r="H2570" t="str">
        <f t="shared" si="54"/>
        <v>TEXAS COUNTY &amp; DISTRICT RET</v>
      </c>
    </row>
    <row r="2571" spans="5:8" x14ac:dyDescent="0.25">
      <c r="E2571" t="str">
        <f>""</f>
        <v/>
      </c>
      <c r="F2571" t="str">
        <f>""</f>
        <v/>
      </c>
      <c r="H2571" t="str">
        <f t="shared" si="54"/>
        <v>TEXAS COUNTY &amp; DISTRICT RET</v>
      </c>
    </row>
    <row r="2572" spans="5:8" x14ac:dyDescent="0.25">
      <c r="E2572" t="str">
        <f>""</f>
        <v/>
      </c>
      <c r="F2572" t="str">
        <f>""</f>
        <v/>
      </c>
      <c r="H2572" t="str">
        <f t="shared" si="54"/>
        <v>TEXAS COUNTY &amp; DISTRICT RET</v>
      </c>
    </row>
    <row r="2573" spans="5:8" x14ac:dyDescent="0.25">
      <c r="E2573" t="str">
        <f>""</f>
        <v/>
      </c>
      <c r="F2573" t="str">
        <f>""</f>
        <v/>
      </c>
      <c r="H2573" t="str">
        <f t="shared" si="54"/>
        <v>TEXAS COUNTY &amp; DISTRICT RET</v>
      </c>
    </row>
    <row r="2574" spans="5:8" x14ac:dyDescent="0.25">
      <c r="E2574" t="str">
        <f>""</f>
        <v/>
      </c>
      <c r="F2574" t="str">
        <f>""</f>
        <v/>
      </c>
      <c r="H2574" t="str">
        <f t="shared" si="54"/>
        <v>TEXAS COUNTY &amp; DISTRICT RET</v>
      </c>
    </row>
    <row r="2575" spans="5:8" x14ac:dyDescent="0.25">
      <c r="E2575" t="str">
        <f>"RET202004016132"</f>
        <v>RET202004016132</v>
      </c>
      <c r="F2575" t="str">
        <f>"TEXAS COUNTY  DISTRICT RET"</f>
        <v>TEXAS COUNTY  DISTRICT RET</v>
      </c>
      <c r="G2575" s="5">
        <v>6647.08</v>
      </c>
      <c r="H2575" t="str">
        <f>"TEXAS COUNTY  DISTRICT RET"</f>
        <v>TEXAS COUNTY  DISTRICT RET</v>
      </c>
    </row>
    <row r="2576" spans="5:8" x14ac:dyDescent="0.25">
      <c r="E2576" t="str">
        <f>""</f>
        <v/>
      </c>
      <c r="F2576" t="str">
        <f>""</f>
        <v/>
      </c>
      <c r="H2576" t="str">
        <f>"TEXAS COUNTY  DISTRICT RET"</f>
        <v>TEXAS COUNTY  DISTRICT RET</v>
      </c>
    </row>
    <row r="2577" spans="5:8" x14ac:dyDescent="0.25">
      <c r="E2577" t="str">
        <f>"RET202004016133"</f>
        <v>RET202004016133</v>
      </c>
      <c r="F2577" t="str">
        <f>"TEXAS COUNTY &amp; DISTRICT RET"</f>
        <v>TEXAS COUNTY &amp; DISTRICT RET</v>
      </c>
      <c r="G2577" s="5">
        <v>7592.85</v>
      </c>
      <c r="H2577" t="str">
        <f t="shared" ref="H2577:H2608" si="55">"TEXAS COUNTY &amp; DISTRICT RET"</f>
        <v>TEXAS COUNTY &amp; DISTRICT RET</v>
      </c>
    </row>
    <row r="2578" spans="5:8" x14ac:dyDescent="0.25">
      <c r="E2578" t="str">
        <f>""</f>
        <v/>
      </c>
      <c r="F2578" t="str">
        <f>""</f>
        <v/>
      </c>
      <c r="H2578" t="str">
        <f t="shared" si="55"/>
        <v>TEXAS COUNTY &amp; DISTRICT RET</v>
      </c>
    </row>
    <row r="2579" spans="5:8" x14ac:dyDescent="0.25">
      <c r="E2579" t="str">
        <f>"RET202004156438"</f>
        <v>RET202004156438</v>
      </c>
      <c r="F2579" t="str">
        <f>"TEXAS COUNTY &amp; DISTRICT RET"</f>
        <v>TEXAS COUNTY &amp; DISTRICT RET</v>
      </c>
      <c r="G2579" s="5">
        <v>176028.6</v>
      </c>
      <c r="H2579" t="str">
        <f t="shared" si="55"/>
        <v>TEXAS COUNTY &amp; DISTRICT RET</v>
      </c>
    </row>
    <row r="2580" spans="5:8" x14ac:dyDescent="0.25">
      <c r="E2580" t="str">
        <f>""</f>
        <v/>
      </c>
      <c r="F2580" t="str">
        <f>""</f>
        <v/>
      </c>
      <c r="H2580" t="str">
        <f t="shared" si="55"/>
        <v>TEXAS COUNTY &amp; DISTRICT RET</v>
      </c>
    </row>
    <row r="2581" spans="5:8" x14ac:dyDescent="0.25">
      <c r="E2581" t="str">
        <f>""</f>
        <v/>
      </c>
      <c r="F2581" t="str">
        <f>""</f>
        <v/>
      </c>
      <c r="H2581" t="str">
        <f t="shared" si="55"/>
        <v>TEXAS COUNTY &amp; DISTRICT RET</v>
      </c>
    </row>
    <row r="2582" spans="5:8" x14ac:dyDescent="0.25">
      <c r="E2582" t="str">
        <f>""</f>
        <v/>
      </c>
      <c r="F2582" t="str">
        <f>""</f>
        <v/>
      </c>
      <c r="H2582" t="str">
        <f t="shared" si="55"/>
        <v>TEXAS COUNTY &amp; DISTRICT RET</v>
      </c>
    </row>
    <row r="2583" spans="5:8" x14ac:dyDescent="0.25">
      <c r="E2583" t="str">
        <f>""</f>
        <v/>
      </c>
      <c r="F2583" t="str">
        <f>""</f>
        <v/>
      </c>
      <c r="H2583" t="str">
        <f t="shared" si="55"/>
        <v>TEXAS COUNTY &amp; DISTRICT RET</v>
      </c>
    </row>
    <row r="2584" spans="5:8" x14ac:dyDescent="0.25">
      <c r="E2584" t="str">
        <f>""</f>
        <v/>
      </c>
      <c r="F2584" t="str">
        <f>""</f>
        <v/>
      </c>
      <c r="H2584" t="str">
        <f t="shared" si="55"/>
        <v>TEXAS COUNTY &amp; DISTRICT RET</v>
      </c>
    </row>
    <row r="2585" spans="5:8" x14ac:dyDescent="0.25">
      <c r="E2585" t="str">
        <f>""</f>
        <v/>
      </c>
      <c r="F2585" t="str">
        <f>""</f>
        <v/>
      </c>
      <c r="H2585" t="str">
        <f t="shared" si="55"/>
        <v>TEXAS COUNTY &amp; DISTRICT RET</v>
      </c>
    </row>
    <row r="2586" spans="5:8" x14ac:dyDescent="0.25">
      <c r="E2586" t="str">
        <f>""</f>
        <v/>
      </c>
      <c r="F2586" t="str">
        <f>""</f>
        <v/>
      </c>
      <c r="H2586" t="str">
        <f t="shared" si="55"/>
        <v>TEXAS COUNTY &amp; DISTRICT RET</v>
      </c>
    </row>
    <row r="2587" spans="5:8" x14ac:dyDescent="0.25">
      <c r="E2587" t="str">
        <f>""</f>
        <v/>
      </c>
      <c r="F2587" t="str">
        <f>""</f>
        <v/>
      </c>
      <c r="H2587" t="str">
        <f t="shared" si="55"/>
        <v>TEXAS COUNTY &amp; DISTRICT RET</v>
      </c>
    </row>
    <row r="2588" spans="5:8" x14ac:dyDescent="0.25">
      <c r="E2588" t="str">
        <f>""</f>
        <v/>
      </c>
      <c r="F2588" t="str">
        <f>""</f>
        <v/>
      </c>
      <c r="H2588" t="str">
        <f t="shared" si="55"/>
        <v>TEXAS COUNTY &amp; DISTRICT RET</v>
      </c>
    </row>
    <row r="2589" spans="5:8" x14ac:dyDescent="0.25">
      <c r="E2589" t="str">
        <f>""</f>
        <v/>
      </c>
      <c r="F2589" t="str">
        <f>""</f>
        <v/>
      </c>
      <c r="H2589" t="str">
        <f t="shared" si="55"/>
        <v>TEXAS COUNTY &amp; DISTRICT RET</v>
      </c>
    </row>
    <row r="2590" spans="5:8" x14ac:dyDescent="0.25">
      <c r="E2590" t="str">
        <f>""</f>
        <v/>
      </c>
      <c r="F2590" t="str">
        <f>""</f>
        <v/>
      </c>
      <c r="H2590" t="str">
        <f t="shared" si="55"/>
        <v>TEXAS COUNTY &amp; DISTRICT RET</v>
      </c>
    </row>
    <row r="2591" spans="5:8" x14ac:dyDescent="0.25">
      <c r="E2591" t="str">
        <f>""</f>
        <v/>
      </c>
      <c r="F2591" t="str">
        <f>""</f>
        <v/>
      </c>
      <c r="H2591" t="str">
        <f t="shared" si="55"/>
        <v>TEXAS COUNTY &amp; DISTRICT RET</v>
      </c>
    </row>
    <row r="2592" spans="5:8" x14ac:dyDescent="0.25">
      <c r="E2592" t="str">
        <f>""</f>
        <v/>
      </c>
      <c r="F2592" t="str">
        <f>""</f>
        <v/>
      </c>
      <c r="H2592" t="str">
        <f t="shared" si="55"/>
        <v>TEXAS COUNTY &amp; DISTRICT RET</v>
      </c>
    </row>
    <row r="2593" spans="5:8" x14ac:dyDescent="0.25">
      <c r="E2593" t="str">
        <f>""</f>
        <v/>
      </c>
      <c r="F2593" t="str">
        <f>""</f>
        <v/>
      </c>
      <c r="H2593" t="str">
        <f t="shared" si="55"/>
        <v>TEXAS COUNTY &amp; DISTRICT RET</v>
      </c>
    </row>
    <row r="2594" spans="5:8" x14ac:dyDescent="0.25">
      <c r="E2594" t="str">
        <f>""</f>
        <v/>
      </c>
      <c r="F2594" t="str">
        <f>""</f>
        <v/>
      </c>
      <c r="H2594" t="str">
        <f t="shared" si="55"/>
        <v>TEXAS COUNTY &amp; DISTRICT RET</v>
      </c>
    </row>
    <row r="2595" spans="5:8" x14ac:dyDescent="0.25">
      <c r="E2595" t="str">
        <f>""</f>
        <v/>
      </c>
      <c r="F2595" t="str">
        <f>""</f>
        <v/>
      </c>
      <c r="H2595" t="str">
        <f t="shared" si="55"/>
        <v>TEXAS COUNTY &amp; DISTRICT RET</v>
      </c>
    </row>
    <row r="2596" spans="5:8" x14ac:dyDescent="0.25">
      <c r="E2596" t="str">
        <f>""</f>
        <v/>
      </c>
      <c r="F2596" t="str">
        <f>""</f>
        <v/>
      </c>
      <c r="H2596" t="str">
        <f t="shared" si="55"/>
        <v>TEXAS COUNTY &amp; DISTRICT RET</v>
      </c>
    </row>
    <row r="2597" spans="5:8" x14ac:dyDescent="0.25">
      <c r="E2597" t="str">
        <f>""</f>
        <v/>
      </c>
      <c r="F2597" t="str">
        <f>""</f>
        <v/>
      </c>
      <c r="H2597" t="str">
        <f t="shared" si="55"/>
        <v>TEXAS COUNTY &amp; DISTRICT RET</v>
      </c>
    </row>
    <row r="2598" spans="5:8" x14ac:dyDescent="0.25">
      <c r="E2598" t="str">
        <f>""</f>
        <v/>
      </c>
      <c r="F2598" t="str">
        <f>""</f>
        <v/>
      </c>
      <c r="H2598" t="str">
        <f t="shared" si="55"/>
        <v>TEXAS COUNTY &amp; DISTRICT RET</v>
      </c>
    </row>
    <row r="2599" spans="5:8" x14ac:dyDescent="0.25">
      <c r="E2599" t="str">
        <f>""</f>
        <v/>
      </c>
      <c r="F2599" t="str">
        <f>""</f>
        <v/>
      </c>
      <c r="H2599" t="str">
        <f t="shared" si="55"/>
        <v>TEXAS COUNTY &amp; DISTRICT RET</v>
      </c>
    </row>
    <row r="2600" spans="5:8" x14ac:dyDescent="0.25">
      <c r="E2600" t="str">
        <f>""</f>
        <v/>
      </c>
      <c r="F2600" t="str">
        <f>""</f>
        <v/>
      </c>
      <c r="H2600" t="str">
        <f t="shared" si="55"/>
        <v>TEXAS COUNTY &amp; DISTRICT RET</v>
      </c>
    </row>
    <row r="2601" spans="5:8" x14ac:dyDescent="0.25">
      <c r="E2601" t="str">
        <f>""</f>
        <v/>
      </c>
      <c r="F2601" t="str">
        <f>""</f>
        <v/>
      </c>
      <c r="H2601" t="str">
        <f t="shared" si="55"/>
        <v>TEXAS COUNTY &amp; DISTRICT RET</v>
      </c>
    </row>
    <row r="2602" spans="5:8" x14ac:dyDescent="0.25">
      <c r="E2602" t="str">
        <f>""</f>
        <v/>
      </c>
      <c r="F2602" t="str">
        <f>""</f>
        <v/>
      </c>
      <c r="H2602" t="str">
        <f t="shared" si="55"/>
        <v>TEXAS COUNTY &amp; DISTRICT RET</v>
      </c>
    </row>
    <row r="2603" spans="5:8" x14ac:dyDescent="0.25">
      <c r="E2603" t="str">
        <f>""</f>
        <v/>
      </c>
      <c r="F2603" t="str">
        <f>""</f>
        <v/>
      </c>
      <c r="H2603" t="str">
        <f t="shared" si="55"/>
        <v>TEXAS COUNTY &amp; DISTRICT RET</v>
      </c>
    </row>
    <row r="2604" spans="5:8" x14ac:dyDescent="0.25">
      <c r="E2604" t="str">
        <f>""</f>
        <v/>
      </c>
      <c r="F2604" t="str">
        <f>""</f>
        <v/>
      </c>
      <c r="H2604" t="str">
        <f t="shared" si="55"/>
        <v>TEXAS COUNTY &amp; DISTRICT RET</v>
      </c>
    </row>
    <row r="2605" spans="5:8" x14ac:dyDescent="0.25">
      <c r="E2605" t="str">
        <f>""</f>
        <v/>
      </c>
      <c r="F2605" t="str">
        <f>""</f>
        <v/>
      </c>
      <c r="H2605" t="str">
        <f t="shared" si="55"/>
        <v>TEXAS COUNTY &amp; DISTRICT RET</v>
      </c>
    </row>
    <row r="2606" spans="5:8" x14ac:dyDescent="0.25">
      <c r="E2606" t="str">
        <f>""</f>
        <v/>
      </c>
      <c r="F2606" t="str">
        <f>""</f>
        <v/>
      </c>
      <c r="H2606" t="str">
        <f t="shared" si="55"/>
        <v>TEXAS COUNTY &amp; DISTRICT RET</v>
      </c>
    </row>
    <row r="2607" spans="5:8" x14ac:dyDescent="0.25">
      <c r="E2607" t="str">
        <f>""</f>
        <v/>
      </c>
      <c r="F2607" t="str">
        <f>""</f>
        <v/>
      </c>
      <c r="H2607" t="str">
        <f t="shared" si="55"/>
        <v>TEXAS COUNTY &amp; DISTRICT RET</v>
      </c>
    </row>
    <row r="2608" spans="5:8" x14ac:dyDescent="0.25">
      <c r="E2608" t="str">
        <f>""</f>
        <v/>
      </c>
      <c r="F2608" t="str">
        <f>""</f>
        <v/>
      </c>
      <c r="H2608" t="str">
        <f t="shared" si="55"/>
        <v>TEXAS COUNTY &amp; DISTRICT RET</v>
      </c>
    </row>
    <row r="2609" spans="5:8" x14ac:dyDescent="0.25">
      <c r="E2609" t="str">
        <f>""</f>
        <v/>
      </c>
      <c r="F2609" t="str">
        <f>""</f>
        <v/>
      </c>
      <c r="H2609" t="str">
        <f t="shared" ref="H2609:H2630" si="56">"TEXAS COUNTY &amp; DISTRICT RET"</f>
        <v>TEXAS COUNTY &amp; DISTRICT RET</v>
      </c>
    </row>
    <row r="2610" spans="5:8" x14ac:dyDescent="0.25">
      <c r="E2610" t="str">
        <f>""</f>
        <v/>
      </c>
      <c r="F2610" t="str">
        <f>""</f>
        <v/>
      </c>
      <c r="H2610" t="str">
        <f t="shared" si="56"/>
        <v>TEXAS COUNTY &amp; DISTRICT RET</v>
      </c>
    </row>
    <row r="2611" spans="5:8" x14ac:dyDescent="0.25">
      <c r="E2611" t="str">
        <f>""</f>
        <v/>
      </c>
      <c r="F2611" t="str">
        <f>""</f>
        <v/>
      </c>
      <c r="H2611" t="str">
        <f t="shared" si="56"/>
        <v>TEXAS COUNTY &amp; DISTRICT RET</v>
      </c>
    </row>
    <row r="2612" spans="5:8" x14ac:dyDescent="0.25">
      <c r="E2612" t="str">
        <f>""</f>
        <v/>
      </c>
      <c r="F2612" t="str">
        <f>""</f>
        <v/>
      </c>
      <c r="H2612" t="str">
        <f t="shared" si="56"/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 t="shared" si="56"/>
        <v>TEXAS COUNTY &amp; DISTRICT RET</v>
      </c>
    </row>
    <row r="2614" spans="5:8" x14ac:dyDescent="0.25">
      <c r="E2614" t="str">
        <f>""</f>
        <v/>
      </c>
      <c r="F2614" t="str">
        <f>""</f>
        <v/>
      </c>
      <c r="H2614" t="str">
        <f t="shared" si="56"/>
        <v>TEXAS COUNTY &amp; DISTRICT RET</v>
      </c>
    </row>
    <row r="2615" spans="5:8" x14ac:dyDescent="0.25">
      <c r="E2615" t="str">
        <f>""</f>
        <v/>
      </c>
      <c r="F2615" t="str">
        <f>""</f>
        <v/>
      </c>
      <c r="H2615" t="str">
        <f t="shared" si="56"/>
        <v>TEXAS COUNTY &amp; DISTRICT RET</v>
      </c>
    </row>
    <row r="2616" spans="5:8" x14ac:dyDescent="0.25">
      <c r="E2616" t="str">
        <f>""</f>
        <v/>
      </c>
      <c r="F2616" t="str">
        <f>""</f>
        <v/>
      </c>
      <c r="H2616" t="str">
        <f t="shared" si="56"/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 t="shared" si="56"/>
        <v>TEXAS COUNTY &amp; DISTRICT RET</v>
      </c>
    </row>
    <row r="2618" spans="5:8" x14ac:dyDescent="0.25">
      <c r="E2618" t="str">
        <f>""</f>
        <v/>
      </c>
      <c r="F2618" t="str">
        <f>""</f>
        <v/>
      </c>
      <c r="H2618" t="str">
        <f t="shared" si="56"/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 t="shared" si="56"/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 t="shared" si="56"/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 t="shared" si="56"/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 t="shared" si="56"/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 t="shared" si="56"/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 t="shared" si="56"/>
        <v>TEXAS COUNTY &amp; DISTRICT RET</v>
      </c>
    </row>
    <row r="2625" spans="1:8" x14ac:dyDescent="0.25">
      <c r="E2625" t="str">
        <f>""</f>
        <v/>
      </c>
      <c r="F2625" t="str">
        <f>""</f>
        <v/>
      </c>
      <c r="H2625" t="str">
        <f t="shared" si="56"/>
        <v>TEXAS COUNTY &amp; DISTRICT RET</v>
      </c>
    </row>
    <row r="2626" spans="1:8" x14ac:dyDescent="0.25">
      <c r="E2626" t="str">
        <f>""</f>
        <v/>
      </c>
      <c r="F2626" t="str">
        <f>""</f>
        <v/>
      </c>
      <c r="H2626" t="str">
        <f t="shared" si="56"/>
        <v>TEXAS COUNTY &amp; DISTRICT RET</v>
      </c>
    </row>
    <row r="2627" spans="1:8" x14ac:dyDescent="0.25">
      <c r="E2627" t="str">
        <f>""</f>
        <v/>
      </c>
      <c r="F2627" t="str">
        <f>""</f>
        <v/>
      </c>
      <c r="H2627" t="str">
        <f t="shared" si="56"/>
        <v>TEXAS COUNTY &amp; DISTRICT RET</v>
      </c>
    </row>
    <row r="2628" spans="1:8" x14ac:dyDescent="0.25">
      <c r="E2628" t="str">
        <f>""</f>
        <v/>
      </c>
      <c r="F2628" t="str">
        <f>""</f>
        <v/>
      </c>
      <c r="H2628" t="str">
        <f t="shared" si="56"/>
        <v>TEXAS COUNTY &amp; DISTRICT RET</v>
      </c>
    </row>
    <row r="2629" spans="1:8" x14ac:dyDescent="0.25">
      <c r="E2629" t="str">
        <f>""</f>
        <v/>
      </c>
      <c r="F2629" t="str">
        <f>""</f>
        <v/>
      </c>
      <c r="H2629" t="str">
        <f t="shared" si="56"/>
        <v>TEXAS COUNTY &amp; DISTRICT RET</v>
      </c>
    </row>
    <row r="2630" spans="1:8" x14ac:dyDescent="0.25">
      <c r="E2630" t="str">
        <f>""</f>
        <v/>
      </c>
      <c r="F2630" t="str">
        <f>""</f>
        <v/>
      </c>
      <c r="H2630" t="str">
        <f t="shared" si="56"/>
        <v>TEXAS COUNTY &amp; DISTRICT RET</v>
      </c>
    </row>
    <row r="2631" spans="1:8" x14ac:dyDescent="0.25">
      <c r="E2631" t="str">
        <f>"RET202004156439"</f>
        <v>RET202004156439</v>
      </c>
      <c r="F2631" t="str">
        <f>"TEXAS COUNTY  DISTRICT RET"</f>
        <v>TEXAS COUNTY  DISTRICT RET</v>
      </c>
      <c r="G2631" s="5">
        <v>6636.05</v>
      </c>
      <c r="H2631" t="str">
        <f>"TEXAS COUNTY  DISTRICT RET"</f>
        <v>TEXAS COUNTY  DISTRICT RET</v>
      </c>
    </row>
    <row r="2632" spans="1:8" x14ac:dyDescent="0.25">
      <c r="E2632" t="str">
        <f>""</f>
        <v/>
      </c>
      <c r="F2632" t="str">
        <f>""</f>
        <v/>
      </c>
      <c r="H2632" t="str">
        <f>"TEXAS COUNTY  DISTRICT RET"</f>
        <v>TEXAS COUNTY  DISTRICT RET</v>
      </c>
    </row>
    <row r="2633" spans="1:8" x14ac:dyDescent="0.25">
      <c r="E2633" t="str">
        <f>"RET202004156440"</f>
        <v>RET202004156440</v>
      </c>
      <c r="F2633" t="str">
        <f>"TEXAS COUNTY &amp; DISTRICT RET"</f>
        <v>TEXAS COUNTY &amp; DISTRICT RET</v>
      </c>
      <c r="G2633" s="5">
        <v>7579.6</v>
      </c>
      <c r="H2633" t="str">
        <f>"TEXAS COUNTY &amp; DISTRICT RET"</f>
        <v>TEXAS COUNTY &amp; DISTRICT RET</v>
      </c>
    </row>
    <row r="2634" spans="1:8" x14ac:dyDescent="0.25">
      <c r="E2634" t="str">
        <f>""</f>
        <v/>
      </c>
      <c r="F2634" t="str">
        <f>""</f>
        <v/>
      </c>
      <c r="H2634" t="str">
        <f>"TEXAS COUNTY &amp; DISTRICT RET"</f>
        <v>TEXAS COUNTY &amp; DISTRICT RET</v>
      </c>
    </row>
    <row r="2635" spans="1:8" x14ac:dyDescent="0.25">
      <c r="A2635" t="s">
        <v>355</v>
      </c>
      <c r="B2635">
        <v>47908</v>
      </c>
      <c r="C2635" s="5">
        <v>1452</v>
      </c>
      <c r="D2635" s="1">
        <v>43949</v>
      </c>
      <c r="E2635" t="str">
        <f>"LEG202004016131"</f>
        <v>LEG202004016131</v>
      </c>
      <c r="F2635" t="str">
        <f>"TEXAS LEGAL PROTECTION PLAN"</f>
        <v>TEXAS LEGAL PROTECTION PLAN</v>
      </c>
      <c r="G2635" s="5">
        <v>246</v>
      </c>
      <c r="H2635" t="str">
        <f>"TEXAS LEGAL PROTECTION PLAN"</f>
        <v>TEXAS LEGAL PROTECTION PLAN</v>
      </c>
    </row>
    <row r="2636" spans="1:8" x14ac:dyDescent="0.25">
      <c r="E2636" t="str">
        <f>"LEG202004156438"</f>
        <v>LEG202004156438</v>
      </c>
      <c r="F2636" t="str">
        <f>"TEXAS LEGAL PROTECTION PLAN"</f>
        <v>TEXAS LEGAL PROTECTION PLAN</v>
      </c>
      <c r="G2636" s="5">
        <v>246</v>
      </c>
      <c r="H2636" t="str">
        <f>"TEXAS LEGAL PROTECTION PLAN"</f>
        <v>TEXAS LEGAL PROTECTION PLAN</v>
      </c>
    </row>
    <row r="2637" spans="1:8" x14ac:dyDescent="0.25">
      <c r="E2637" t="str">
        <f>"LGF202004016131"</f>
        <v>LGF202004016131</v>
      </c>
      <c r="F2637" t="str">
        <f>"TEXAS LEGAL PROTECTION PLAN"</f>
        <v>TEXAS LEGAL PROTECTION PLAN</v>
      </c>
      <c r="G2637" s="5">
        <v>480</v>
      </c>
      <c r="H2637" t="str">
        <f>"TEXAS LEGAL PROTECTION PLAN"</f>
        <v>TEXAS LEGAL PROTECTION PLAN</v>
      </c>
    </row>
    <row r="2638" spans="1:8" x14ac:dyDescent="0.25">
      <c r="E2638" t="str">
        <f>"LGF202004156438"</f>
        <v>LGF202004156438</v>
      </c>
      <c r="F2638" t="str">
        <f>"TEXAS LEGAL PROTECTION PLAN"</f>
        <v>TEXAS LEGAL PROTECTION PLAN</v>
      </c>
      <c r="G2638" s="5">
        <v>480</v>
      </c>
      <c r="H2638" t="str">
        <f>"TEXAS LEGAL PROTECTION PLAN"</f>
        <v>TEXAS LEGAL PROTECTION PLAN</v>
      </c>
    </row>
    <row r="2639" spans="1:8" x14ac:dyDescent="0.25">
      <c r="A2639" t="s">
        <v>356</v>
      </c>
      <c r="B2639">
        <v>47891</v>
      </c>
      <c r="C2639" s="5">
        <v>219.67</v>
      </c>
      <c r="D2639" s="1">
        <v>43924</v>
      </c>
      <c r="E2639" t="str">
        <f>"S12202004016131"</f>
        <v>S12202004016131</v>
      </c>
      <c r="F2639" t="str">
        <f>"STUDENT LOAN"</f>
        <v>STUDENT LOAN</v>
      </c>
      <c r="G2639" s="5">
        <v>219.67</v>
      </c>
      <c r="H2639" t="str">
        <f>"STUDENT LOAN"</f>
        <v>STUDENT LOAN</v>
      </c>
    </row>
    <row r="2640" spans="1:8" x14ac:dyDescent="0.25">
      <c r="A2640" t="s">
        <v>357</v>
      </c>
      <c r="B2640">
        <v>47893</v>
      </c>
      <c r="C2640" s="5">
        <v>212.65</v>
      </c>
      <c r="D2640" s="1">
        <v>43924</v>
      </c>
      <c r="E2640" t="str">
        <f>"SL9202004016131"</f>
        <v>SL9202004016131</v>
      </c>
      <c r="F2640" t="str">
        <f>"STUDENT LOAN"</f>
        <v>STUDENT LOAN</v>
      </c>
      <c r="G2640" s="5">
        <v>212.65</v>
      </c>
      <c r="H2640" t="str">
        <f>"STUDENT LOAN"</f>
        <v>STUDENT LOAN</v>
      </c>
    </row>
    <row r="2641" spans="1:8" x14ac:dyDescent="0.25">
      <c r="A2641" t="s">
        <v>356</v>
      </c>
      <c r="B2641">
        <v>47905</v>
      </c>
      <c r="C2641" s="5">
        <v>219.67</v>
      </c>
      <c r="D2641" s="1">
        <v>43938</v>
      </c>
      <c r="E2641" t="str">
        <f>"S12202004156438"</f>
        <v>S12202004156438</v>
      </c>
      <c r="F2641" t="str">
        <f>"STUDENT LOAN"</f>
        <v>STUDENT LOAN</v>
      </c>
      <c r="G2641" s="5">
        <v>219.67</v>
      </c>
      <c r="H2641" t="str">
        <f>"STUDENT LOAN"</f>
        <v>STUDENT LOAN</v>
      </c>
    </row>
    <row r="2642" spans="1:8" x14ac:dyDescent="0.25">
      <c r="A2642" t="s">
        <v>357</v>
      </c>
      <c r="B2642">
        <v>47907</v>
      </c>
      <c r="C2642" s="5">
        <v>212.65</v>
      </c>
      <c r="D2642" s="1">
        <v>43938</v>
      </c>
      <c r="E2642" t="str">
        <f>"SL9202004156438"</f>
        <v>SL9202004156438</v>
      </c>
      <c r="F2642" t="str">
        <f>"STUDENT LOAN"</f>
        <v>STUDENT LOAN</v>
      </c>
      <c r="G2642" s="5">
        <v>212.65</v>
      </c>
      <c r="H2642" t="str">
        <f>"STUDENT LOAN"</f>
        <v>STUDENT LOAN</v>
      </c>
    </row>
    <row r="2643" spans="1:8" x14ac:dyDescent="0.25">
      <c r="A2643" t="s">
        <v>40</v>
      </c>
      <c r="B2643">
        <v>483</v>
      </c>
      <c r="C2643" s="5">
        <v>156.37</v>
      </c>
      <c r="D2643" s="1">
        <v>43936</v>
      </c>
      <c r="E2643" t="str">
        <f>"202004156422"</f>
        <v>202004156422</v>
      </c>
      <c r="F2643" t="str">
        <f>"ACCT#72-5613 / 04032020"</f>
        <v>ACCT#72-5613 / 04032020</v>
      </c>
      <c r="G2643" s="5">
        <v>156.37</v>
      </c>
      <c r="H2643" t="str">
        <f t="shared" ref="H2643:H2659" si="57">"ACCT#72-5613 / 04032020"</f>
        <v>ACCT#72-5613 / 04032020</v>
      </c>
    </row>
    <row r="2644" spans="1:8" x14ac:dyDescent="0.25">
      <c r="A2644" t="s">
        <v>111</v>
      </c>
      <c r="B2644">
        <v>485</v>
      </c>
      <c r="C2644" s="5">
        <v>22.5</v>
      </c>
      <c r="D2644" s="1">
        <v>43936</v>
      </c>
      <c r="E2644" t="str">
        <f>"202004156423"</f>
        <v>202004156423</v>
      </c>
      <c r="F2644" t="str">
        <f>"ACCT#72-5613 / 04032020"</f>
        <v>ACCT#72-5613 / 04032020</v>
      </c>
      <c r="G2644" s="5">
        <v>22.5</v>
      </c>
      <c r="H2644" t="str">
        <f t="shared" si="57"/>
        <v>ACCT#72-5613 / 04032020</v>
      </c>
    </row>
    <row r="2645" spans="1:8" x14ac:dyDescent="0.25">
      <c r="A2645" t="s">
        <v>157</v>
      </c>
      <c r="B2645">
        <v>481</v>
      </c>
      <c r="C2645" s="5">
        <v>913.51</v>
      </c>
      <c r="D2645" s="1">
        <v>43936</v>
      </c>
      <c r="E2645" t="str">
        <f>"202004156421"</f>
        <v>202004156421</v>
      </c>
      <c r="F2645" t="str">
        <f>"ACCT#72-5613 / 04032020"</f>
        <v>ACCT#72-5613 / 04032020</v>
      </c>
      <c r="G2645" s="5">
        <v>913.51</v>
      </c>
      <c r="H2645" t="str">
        <f t="shared" si="57"/>
        <v>ACCT#72-5613 / 04032020</v>
      </c>
    </row>
    <row r="2646" spans="1:8" x14ac:dyDescent="0.25">
      <c r="E2646" t="str">
        <f>""</f>
        <v/>
      </c>
      <c r="F2646" t="str">
        <f>""</f>
        <v/>
      </c>
      <c r="H2646" t="str">
        <f t="shared" si="57"/>
        <v>ACCT#72-5613 / 04032020</v>
      </c>
    </row>
    <row r="2647" spans="1:8" x14ac:dyDescent="0.25">
      <c r="E2647" t="str">
        <f>""</f>
        <v/>
      </c>
      <c r="F2647" t="str">
        <f>""</f>
        <v/>
      </c>
      <c r="H2647" t="str">
        <f t="shared" si="57"/>
        <v>ACCT#72-5613 / 04032020</v>
      </c>
    </row>
    <row r="2648" spans="1:8" x14ac:dyDescent="0.25">
      <c r="A2648" t="s">
        <v>358</v>
      </c>
      <c r="B2648">
        <v>484</v>
      </c>
      <c r="C2648" s="5">
        <v>105.64</v>
      </c>
      <c r="D2648" s="1">
        <v>43936</v>
      </c>
      <c r="E2648" t="str">
        <f>"202004156424"</f>
        <v>202004156424</v>
      </c>
      <c r="F2648" t="str">
        <f t="shared" ref="F2648:F2659" si="58">"ACCT#72-5613 / 04032020"</f>
        <v>ACCT#72-5613 / 04032020</v>
      </c>
      <c r="G2648" s="5">
        <v>105.64</v>
      </c>
      <c r="H2648" t="str">
        <f t="shared" si="57"/>
        <v>ACCT#72-5613 / 04032020</v>
      </c>
    </row>
    <row r="2649" spans="1:8" x14ac:dyDescent="0.25">
      <c r="A2649" t="s">
        <v>359</v>
      </c>
      <c r="B2649">
        <v>482</v>
      </c>
      <c r="C2649" s="5">
        <v>118</v>
      </c>
      <c r="D2649" s="1">
        <v>43936</v>
      </c>
      <c r="E2649" t="str">
        <f>"202004156425"</f>
        <v>202004156425</v>
      </c>
      <c r="F2649" t="str">
        <f t="shared" si="58"/>
        <v>ACCT#72-5613 / 04032020</v>
      </c>
      <c r="G2649" s="5">
        <v>118</v>
      </c>
      <c r="H2649" t="str">
        <f t="shared" si="57"/>
        <v>ACCT#72-5613 / 04032020</v>
      </c>
    </row>
    <row r="2650" spans="1:8" x14ac:dyDescent="0.25">
      <c r="A2650" t="s">
        <v>360</v>
      </c>
      <c r="B2650">
        <v>491</v>
      </c>
      <c r="C2650" s="5">
        <v>2.14</v>
      </c>
      <c r="D2650" s="1">
        <v>43936</v>
      </c>
      <c r="E2650" t="str">
        <f>"202004156434"</f>
        <v>202004156434</v>
      </c>
      <c r="F2650" t="str">
        <f t="shared" si="58"/>
        <v>ACCT#72-5613 / 04032020</v>
      </c>
      <c r="G2650" s="5">
        <v>2.14</v>
      </c>
      <c r="H2650" t="str">
        <f t="shared" si="57"/>
        <v>ACCT#72-5613 / 04032020</v>
      </c>
    </row>
    <row r="2651" spans="1:8" x14ac:dyDescent="0.25">
      <c r="A2651" t="s">
        <v>361</v>
      </c>
      <c r="B2651">
        <v>486</v>
      </c>
      <c r="C2651" s="5">
        <v>231</v>
      </c>
      <c r="D2651" s="1">
        <v>43936</v>
      </c>
      <c r="E2651" t="str">
        <f>"202004156426"</f>
        <v>202004156426</v>
      </c>
      <c r="F2651" t="str">
        <f t="shared" si="58"/>
        <v>ACCT#72-5613 / 04032020</v>
      </c>
      <c r="G2651" s="5">
        <v>231</v>
      </c>
      <c r="H2651" t="str">
        <f t="shared" si="57"/>
        <v>ACCT#72-5613 / 04032020</v>
      </c>
    </row>
    <row r="2652" spans="1:8" x14ac:dyDescent="0.25">
      <c r="A2652" t="s">
        <v>362</v>
      </c>
      <c r="B2652">
        <v>490</v>
      </c>
      <c r="C2652" s="5">
        <v>52.94</v>
      </c>
      <c r="D2652" s="1">
        <v>43936</v>
      </c>
      <c r="E2652" t="str">
        <f>"202004156435"</f>
        <v>202004156435</v>
      </c>
      <c r="F2652" t="str">
        <f t="shared" si="58"/>
        <v>ACCT#72-5613 / 04032020</v>
      </c>
      <c r="G2652" s="5">
        <v>52.94</v>
      </c>
      <c r="H2652" t="str">
        <f t="shared" si="57"/>
        <v>ACCT#72-5613 / 04032020</v>
      </c>
    </row>
    <row r="2653" spans="1:8" x14ac:dyDescent="0.25">
      <c r="A2653" t="s">
        <v>157</v>
      </c>
      <c r="B2653">
        <v>488</v>
      </c>
      <c r="C2653" s="5">
        <v>175</v>
      </c>
      <c r="D2653" s="1">
        <v>43936</v>
      </c>
      <c r="E2653" t="str">
        <f>"202004156428"</f>
        <v>202004156428</v>
      </c>
      <c r="F2653" t="str">
        <f t="shared" si="58"/>
        <v>ACCT#72-5613 / 04032020</v>
      </c>
      <c r="G2653" s="5">
        <v>175</v>
      </c>
      <c r="H2653" t="str">
        <f t="shared" si="57"/>
        <v>ACCT#72-5613 / 04032020</v>
      </c>
    </row>
    <row r="2654" spans="1:8" x14ac:dyDescent="0.25">
      <c r="A2654" t="s">
        <v>363</v>
      </c>
      <c r="B2654">
        <v>493</v>
      </c>
      <c r="C2654" s="5">
        <v>150</v>
      </c>
      <c r="D2654" s="1">
        <v>43936</v>
      </c>
      <c r="E2654" t="str">
        <f>"202004156431"</f>
        <v>202004156431</v>
      </c>
      <c r="F2654" t="str">
        <f t="shared" si="58"/>
        <v>ACCT#72-5613 / 04032020</v>
      </c>
      <c r="G2654" s="5">
        <v>150</v>
      </c>
      <c r="H2654" t="str">
        <f t="shared" si="57"/>
        <v>ACCT#72-5613 / 04032020</v>
      </c>
    </row>
    <row r="2655" spans="1:8" x14ac:dyDescent="0.25">
      <c r="A2655" t="s">
        <v>196</v>
      </c>
      <c r="B2655">
        <v>487</v>
      </c>
      <c r="C2655" s="5">
        <v>246.94</v>
      </c>
      <c r="D2655" s="1">
        <v>43936</v>
      </c>
      <c r="E2655" t="str">
        <f>"202004156427"</f>
        <v>202004156427</v>
      </c>
      <c r="F2655" t="str">
        <f t="shared" si="58"/>
        <v>ACCT#72-5613 / 04032020</v>
      </c>
      <c r="G2655" s="5">
        <v>246.94</v>
      </c>
      <c r="H2655" t="str">
        <f t="shared" si="57"/>
        <v>ACCT#72-5613 / 04032020</v>
      </c>
    </row>
    <row r="2656" spans="1:8" x14ac:dyDescent="0.25">
      <c r="A2656" t="s">
        <v>245</v>
      </c>
      <c r="B2656">
        <v>492</v>
      </c>
      <c r="C2656" s="5">
        <v>570.59</v>
      </c>
      <c r="D2656" s="1">
        <v>43936</v>
      </c>
      <c r="E2656" t="str">
        <f>"202004156430"</f>
        <v>202004156430</v>
      </c>
      <c r="F2656" t="str">
        <f t="shared" si="58"/>
        <v>ACCT#72-5613 / 04032020</v>
      </c>
      <c r="G2656" s="5">
        <v>570.59</v>
      </c>
      <c r="H2656" t="str">
        <f t="shared" si="57"/>
        <v>ACCT#72-5613 / 04032020</v>
      </c>
    </row>
    <row r="2657" spans="1:8" x14ac:dyDescent="0.25">
      <c r="A2657" t="s">
        <v>267</v>
      </c>
      <c r="B2657">
        <v>489</v>
      </c>
      <c r="C2657" s="5">
        <v>1537.6</v>
      </c>
      <c r="D2657" s="1">
        <v>43936</v>
      </c>
      <c r="E2657" t="str">
        <f>"202004156429"</f>
        <v>202004156429</v>
      </c>
      <c r="F2657" t="str">
        <f t="shared" si="58"/>
        <v>ACCT#72-5613 / 04032020</v>
      </c>
      <c r="G2657" s="5">
        <v>1537.6</v>
      </c>
      <c r="H2657" t="str">
        <f t="shared" si="57"/>
        <v>ACCT#72-5613 / 04032020</v>
      </c>
    </row>
    <row r="2658" spans="1:8" x14ac:dyDescent="0.25">
      <c r="A2658" t="s">
        <v>301</v>
      </c>
      <c r="B2658">
        <v>494</v>
      </c>
      <c r="C2658" s="5">
        <v>48.96</v>
      </c>
      <c r="D2658" s="1">
        <v>43936</v>
      </c>
      <c r="E2658" t="str">
        <f>"202004156432"</f>
        <v>202004156432</v>
      </c>
      <c r="F2658" t="str">
        <f t="shared" si="58"/>
        <v>ACCT#72-5613 / 04032020</v>
      </c>
      <c r="G2658" s="5">
        <v>48.96</v>
      </c>
      <c r="H2658" t="str">
        <f t="shared" si="57"/>
        <v>ACCT#72-5613 / 04032020</v>
      </c>
    </row>
    <row r="2659" spans="1:8" x14ac:dyDescent="0.25">
      <c r="A2659" t="s">
        <v>364</v>
      </c>
      <c r="B2659">
        <v>495</v>
      </c>
      <c r="C2659" s="5">
        <v>946.01</v>
      </c>
      <c r="D2659" s="1">
        <v>43936</v>
      </c>
      <c r="E2659" t="str">
        <f>"202004156433"</f>
        <v>202004156433</v>
      </c>
      <c r="F2659" t="str">
        <f t="shared" si="58"/>
        <v>ACCT#72-5613 / 04032020</v>
      </c>
      <c r="G2659" s="5">
        <v>946.01</v>
      </c>
      <c r="H2659" t="str">
        <f t="shared" si="57"/>
        <v>ACCT#72-5613 / 04032020</v>
      </c>
    </row>
    <row r="2660" spans="1:8" ht="15.75" thickBot="1" x14ac:dyDescent="0.3">
      <c r="C2660" s="6">
        <f>SUM(C2:C2659)</f>
        <v>4379756.53</v>
      </c>
      <c r="D2660" s="2" t="s">
        <v>365</v>
      </c>
    </row>
    <row r="2661" spans="1:8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2020-07-15T13:40:19Z</dcterms:created>
  <dcterms:modified xsi:type="dcterms:W3CDTF">2020-07-15T13:55:03Z</dcterms:modified>
</cp:coreProperties>
</file>