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435"/>
  </bookViews>
  <sheets>
    <sheet name="August 2020" sheetId="1" r:id="rId1"/>
  </sheets>
  <definedNames>
    <definedName name="_xlnm._FilterDatabase" localSheetId="0" hidden="1">'August 2020'!$A$1:$H$2579</definedName>
  </definedNames>
  <calcPr calcId="0"/>
</workbook>
</file>

<file path=xl/calcChain.xml><?xml version="1.0" encoding="utf-8"?>
<calcChain xmlns="http://schemas.openxmlformats.org/spreadsheetml/2006/main">
  <c r="G2580" i="1" l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F539" i="1"/>
  <c r="H539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F964" i="1"/>
  <c r="H964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F1054" i="1"/>
  <c r="H1054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F1191" i="1"/>
  <c r="H1191" i="1"/>
  <c r="E1192" i="1"/>
  <c r="F1192" i="1"/>
  <c r="H1192" i="1"/>
  <c r="E1193" i="1"/>
  <c r="F1193" i="1"/>
  <c r="H1193" i="1"/>
  <c r="E1194" i="1"/>
  <c r="F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F1204" i="1"/>
  <c r="H1204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</calcChain>
</file>

<file path=xl/sharedStrings.xml><?xml version="1.0" encoding="utf-8"?>
<sst xmlns="http://schemas.openxmlformats.org/spreadsheetml/2006/main" count="512" uniqueCount="393">
  <si>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</si>
  <si>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</si>
  <si>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</si>
  <si>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</si>
  <si>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</si>
  <si>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</si>
  <si>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</si>
  <si>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</si>
  <si>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</si>
  <si>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3-B EXCAVATION &amp; CONSTRUCTION SERVICES  LLS</t>
  </si>
  <si>
    <t>973 MATERIALS  LLC</t>
  </si>
  <si>
    <t>A PLUS BAIL BONDS</t>
  </si>
  <si>
    <t>ARNOLD OIL COMPANY OF AUSTIN LP</t>
  </si>
  <si>
    <t>ACES A/C SUPPLY INC</t>
  </si>
  <si>
    <t>ADAM DAKOTA ROWINS</t>
  </si>
  <si>
    <t>ADENA LEWIS</t>
  </si>
  <si>
    <t>ADVANCED GRAPHIX INC</t>
  </si>
  <si>
    <t>ALAMO  GROUP (TX)  INC</t>
  </si>
  <si>
    <t>ALBERT NEAL PFEIFFER</t>
  </si>
  <si>
    <t>ALEJANDRO RODRIGUEZ</t>
  </si>
  <si>
    <t>ALLEN YOAST</t>
  </si>
  <si>
    <t>322  06/15/2020"</t>
  </si>
  <si>
    <t>AMAZON CAPITAL SERVICES INC</t>
  </si>
  <si>
    <t>AMERICAN ASSN OF NOTARIES</t>
  </si>
  <si>
    <t>AMERICAN FASTENERS  INC.</t>
  </si>
  <si>
    <t>ANDERSON &amp; ANDERSON LAW FIRM PC</t>
  </si>
  <si>
    <t>ANDY TUERCK</t>
  </si>
  <si>
    <t>C APPLEMAN ENT INC</t>
  </si>
  <si>
    <t>AQUA BEVERAGE COMPANY/OZARKA</t>
  </si>
  <si>
    <t>AQUA WATER SUPPLY CORPORATION</t>
  </si>
  <si>
    <t>ASHLEY HERMANS</t>
  </si>
  <si>
    <t>ASPHALT PATCH ENTERPRISES  INC.</t>
  </si>
  <si>
    <t>AT&amp;T</t>
  </si>
  <si>
    <t>AT&amp;T MOBILITY</t>
  </si>
  <si>
    <t>THE AUBAINE SUPPLY COMPANY  INC</t>
  </si>
  <si>
    <t>GATEHOUSE MEDIA TEXAS HOLDINGS II  INC.</t>
  </si>
  <si>
    <t>BUTLER &amp; BURNS EAR NOSE &amp; THROAT ASSO</t>
  </si>
  <si>
    <t>AUSTIN RADIOLOGICAL ASSOC</t>
  </si>
  <si>
    <t>AUTUMN J SMITH</t>
  </si>
  <si>
    <t>BARBARA GOMEZ</t>
  </si>
  <si>
    <t>MICHAEL OLDHAM TIRE INC</t>
  </si>
  <si>
    <t>EDUARDO BARRIENTOS</t>
  </si>
  <si>
    <t>BASTROP BAIL BONDS</t>
  </si>
  <si>
    <t>BASTROP CENTRAL APPRAISAL DIST.</t>
  </si>
  <si>
    <t>BASTROP COUNTY SHERIFF'S DEPT</t>
  </si>
  <si>
    <t>652"</t>
  </si>
  <si>
    <t>DANIEL L HEPKER</t>
  </si>
  <si>
    <t>BASTROP COUNTY CARES</t>
  </si>
  <si>
    <t>BASTROP COUNTY PROBATION DEPT</t>
  </si>
  <si>
    <t>BASTROP MEDICAL CLINIC</t>
  </si>
  <si>
    <t>BASTROP PROVIDENCE  LLC</t>
  </si>
  <si>
    <t>BAYER CORPORATION</t>
  </si>
  <si>
    <t>DAVID H OUTON</t>
  </si>
  <si>
    <t>BELL COUNTY CONSTABLE  PRECINT 1</t>
  </si>
  <si>
    <t>BELL COUNTY SHERIFF</t>
  </si>
  <si>
    <t>BEN E KEITH CO.</t>
  </si>
  <si>
    <t>B C FOOD GROUP  LLC</t>
  </si>
  <si>
    <t>BIG WRENCH ROAD SERVICE INC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</si>
  <si>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</si>
  <si>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</si>
  <si>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</si>
  <si>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</si>
  <si>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</si>
  <si>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BRAUNTEX MATERIALS INC</t>
  </si>
  <si>
    <t>BRYAN GOERTZ</t>
  </si>
  <si>
    <t>LAW OFFICE OF BRYAN W. MCDANIEL  P.C.</t>
  </si>
  <si>
    <t>BUDGET NOTARY BONDING AGENCY</t>
  </si>
  <si>
    <t>BUREAU OF VITAL STATISTICS</t>
  </si>
  <si>
    <t>CAPITOL BEARING SERVICE OF AUSTIN  INC.</t>
  </si>
  <si>
    <t>TIB-THE INDEPENDENT BANKERS BANK</t>
  </si>
  <si>
    <t>CAROLYN DILL</t>
  </si>
  <si>
    <t>CASSANDRA ANN HAWKINS</t>
  </si>
  <si>
    <t>383"</t>
  </si>
  <si>
    <t>CDW GOVERNMENT INC</t>
  </si>
  <si>
    <t>CENTERPOINT ENERGY</t>
  </si>
  <si>
    <t>NCH CORPORATION</t>
  </si>
  <si>
    <t>CHARLES W CARVER</t>
  </si>
  <si>
    <t>CHICAGO TITLE OF TEXAS  LLC</t>
  </si>
  <si>
    <t>CHRIS MATT DILLON</t>
  </si>
  <si>
    <t>CHRISTINE FILES</t>
  </si>
  <si>
    <t>CINTAS</t>
  </si>
  <si>
    <t>CINTAS CORPORATION</t>
  </si>
  <si>
    <t>CINTAS CORPORATION #86</t>
  </si>
  <si>
    <t>CITIBANK</t>
  </si>
  <si>
    <t>CITY OF BASTROP</t>
  </si>
  <si>
    <t>CITY OF SMITHVILLE</t>
  </si>
  <si>
    <t>CLEANINT  LLC</t>
  </si>
  <si>
    <t>CLIFFORD POWER SYSTEMS INC</t>
  </si>
  <si>
    <t>CLINICAL PATHOLOGY LABORATORIES INC</t>
  </si>
  <si>
    <t>CNA SURETY</t>
  </si>
  <si>
    <t>COLORADO RIVER BANKS ESTATE</t>
  </si>
  <si>
    <t>COMMUNITY COFFEE COMPANY LLC</t>
  </si>
  <si>
    <t>CONOR BROWN</t>
  </si>
  <si>
    <t>COOPER EQUIPMENT CO.</t>
  </si>
  <si>
    <t>COUNTY OF BEXAR - SHERIFF</t>
  </si>
  <si>
    <t>BUTLER ANIMAL HEALTH HOLDING COMPANY  LLC</t>
  </si>
  <si>
    <t>CRESSIDA EVELYN KWOLEK  Ph.D.</t>
  </si>
  <si>
    <t>DALLAS COUNTY CONSTABLE PCT 1</t>
  </si>
  <si>
    <t>DARLON J. SOJAK</t>
  </si>
  <si>
    <t>DASH MEDICAL GLOVES INC.</t>
  </si>
  <si>
    <t>DAVID B BROOKS</t>
  </si>
  <si>
    <t>DAVID M COLLINS</t>
  </si>
  <si>
    <t>DEAN DAIRY CORPORATE  LLC</t>
  </si>
  <si>
    <t>DELL</t>
  </si>
  <si>
    <t>DENTRUST DENTAL TX PC</t>
  </si>
  <si>
    <t>DICKENS LOCKSMITH INC</t>
  </si>
  <si>
    <t>DONNIE STARK</t>
  </si>
  <si>
    <t>DOOR CONTROL SERVICES INC</t>
  </si>
  <si>
    <t>DOUBLE D INTERNATIONAL FOOD CO.  INC.</t>
  </si>
  <si>
    <t>KRISTI ARRINGTON KALLINA</t>
  </si>
  <si>
    <t>DUNNE &amp; JUAREZ L.L.C.</t>
  </si>
  <si>
    <t>DAVID MCMULLEN</t>
  </si>
  <si>
    <t>ECOLAB INC</t>
  </si>
  <si>
    <t>ECTOR COUNTY SHERIFF</t>
  </si>
  <si>
    <t>BLACKLANDS PUBLICATIONS INC</t>
  </si>
  <si>
    <t>CITY OF ELGIN UTILITIES</t>
  </si>
  <si>
    <t>ELISEO SANCHEZ</t>
  </si>
  <si>
    <t>ELLIOTT ELECTRIC SUPPLY INC</t>
  </si>
  <si>
    <t>ERGON ASPHALT &amp; EMULSIONS INC</t>
  </si>
  <si>
    <t>EVERYTHING BUT STROMBOLI LLC</t>
  </si>
  <si>
    <t>EWALD KUBOTA  INC.</t>
  </si>
  <si>
    <t>EWEAC</t>
  </si>
  <si>
    <t>BASTROP COUNTY WOMEN'S SHELTER</t>
  </si>
  <si>
    <t>FAYETTE MEDICAL SUPPLY</t>
  </si>
  <si>
    <t>FLEETPRIDE</t>
  </si>
  <si>
    <t>FLORENCE BEHAVIN</t>
  </si>
  <si>
    <t>FORREST L. SANDERSON</t>
  </si>
  <si>
    <t>FORT BEND COUNTY CONSTABLE PCT 1</t>
  </si>
  <si>
    <t>FRANCES HUNTER</t>
  </si>
  <si>
    <t>CREA PARSON</t>
  </si>
  <si>
    <t>AUSTIN TRUCK AND EQUIPMENT  LTD</t>
  </si>
  <si>
    <t>EUGENE W BRIGGS JR</t>
  </si>
  <si>
    <t>GALLS PARENT HOLDINGS LLC</t>
  </si>
  <si>
    <t>GIPSON PENDERGRASS PEOPLE'S MORTUARY LLC</t>
  </si>
  <si>
    <t>GOVERNMENT FORMS AND SUPPLIES LLC</t>
  </si>
  <si>
    <t>GRAINGER INC</t>
  </si>
  <si>
    <t>GREG GILLELAND</t>
  </si>
  <si>
    <t>GABRIEL  ROEDER  SMITH &amp; COMPANY</t>
  </si>
  <si>
    <t>GULF COAST PAPER CO. INC.</t>
  </si>
  <si>
    <t>H&amp;H OIL  L.P.</t>
  </si>
  <si>
    <t>DOUGLAS D. SPILLMAN</t>
  </si>
  <si>
    <t>HARRIS COUNTY CONSTABLE PCT 1</t>
  </si>
  <si>
    <t>HAYLEY STITELER</t>
  </si>
  <si>
    <t>HEADSETS.COM INC.</t>
  </si>
  <si>
    <t>HEART OF THE PINES VFD</t>
  </si>
  <si>
    <t>ITR AMERICA LLC</t>
  </si>
  <si>
    <t>HENDERSON COUNTY SHERIFF</t>
  </si>
  <si>
    <t>HERSHCAP BACKHOE &amp; DITCHING  INC.</t>
  </si>
  <si>
    <t>658  06/09/2020"</t>
  </si>
  <si>
    <t>658  07/07/2020"</t>
  </si>
  <si>
    <t>HI-LINE</t>
  </si>
  <si>
    <t>FERTITTA HOSPITALITY LLC</t>
  </si>
  <si>
    <t>BASCOM L HODGES JR</t>
  </si>
  <si>
    <t>HODGSON G ECKEL</t>
  </si>
  <si>
    <t>BD HOLT CO</t>
  </si>
  <si>
    <t>CITIBANK (SOUTH DAKOTA)N.A./THE HOME DEPOT</t>
  </si>
  <si>
    <t>NORTHWEST CASCADE INC</t>
  </si>
  <si>
    <t>MARK DUBE</t>
  </si>
  <si>
    <t>AMERICAS EQUINE WAREHOUSE  INC.</t>
  </si>
  <si>
    <t>RS EQUIPMENT CO</t>
  </si>
  <si>
    <t>GREGORY LUCAS</t>
  </si>
  <si>
    <t>HULL SUPPLY COMPANY INC</t>
  </si>
  <si>
    <t>HYDRAULIC HOUSE INC</t>
  </si>
  <si>
    <t>INDIGENT HEALTHCARE SOLUTIONS</t>
  </si>
  <si>
    <t>IRON MOUNTAIN RECORDS MGMT INC</t>
  </si>
  <si>
    <t>J D LANGLEY</t>
  </si>
  <si>
    <t>JAMES O. BURKE</t>
  </si>
  <si>
    <t>JAVARIO SAVANNAH</t>
  </si>
  <si>
    <t>JEFFREY GOGOLEWSKI</t>
  </si>
  <si>
    <t>JENKINS &amp; JENKINS LLP</t>
  </si>
  <si>
    <t>JAMES MORGAN</t>
  </si>
  <si>
    <t>DEERE CREDIT SERVICES INC</t>
  </si>
  <si>
    <t>JONATHAN ASTON</t>
  </si>
  <si>
    <t>JORDAN BATTERSBY  MCDONALD</t>
  </si>
  <si>
    <t>BILLY JOSHUA GILL</t>
  </si>
  <si>
    <t>JUSTIN LOSOYA</t>
  </si>
  <si>
    <t>KAREN ELIZABETH PHILLIPS</t>
  </si>
  <si>
    <t>KAREN STARKS</t>
  </si>
  <si>
    <t>898  06/29/2020"</t>
  </si>
  <si>
    <t>KAYCI SCHULTZ WATSON</t>
  </si>
  <si>
    <t>KELLI BRIZENDINE</t>
  </si>
  <si>
    <t>KENNETH E. LIMUEL JR</t>
  </si>
  <si>
    <t>KENT BROUSSARD TOWER RENTAL INC</t>
  </si>
  <si>
    <t>KEVIN UNGER</t>
  </si>
  <si>
    <t>KING'S PORTABLE THRONES</t>
  </si>
  <si>
    <t>KLEIBER FORD TRACTOR  INC.</t>
  </si>
  <si>
    <t>KOETTER FIRE PROTECTION OF AUSTIN  LLC</t>
  </si>
  <si>
    <t>KRAFTSMAN COMMERCIAL PLAYGROUNDS &amp; WATER PARKS</t>
  </si>
  <si>
    <t>THE LA GRANGE PARTS HOUSE INC</t>
  </si>
  <si>
    <t>LABATT INSTITUTIONAL SUPPLY CO</t>
  </si>
  <si>
    <t>LANGFORD COMMUNITY MGMT INC</t>
  </si>
  <si>
    <t>LATONIA GRUBBS</t>
  </si>
  <si>
    <t>LAURA ROBERTSON</t>
  </si>
  <si>
    <t>LAURENCE DUNNE  II</t>
  </si>
  <si>
    <t>LUCIO LEAL</t>
  </si>
  <si>
    <t>LEE COUNTY WATER SUPPLY CORP</t>
  </si>
  <si>
    <t>LEXISNEXIS RISK DATA MGMT INC</t>
  </si>
  <si>
    <t>LINDA HARMON-TAX ASSESSOR</t>
  </si>
  <si>
    <t>LISA JACKSON</t>
  </si>
  <si>
    <t>LISA MILLER</t>
  </si>
  <si>
    <t>LONE STAR CIRCLE OF CARE</t>
  </si>
  <si>
    <t>UNITED KWB COLLABORATIONS LLC</t>
  </si>
  <si>
    <t>LONNIE LAWRENCE DAVIS JR</t>
  </si>
  <si>
    <t>SCOTT BRYANT</t>
  </si>
  <si>
    <t>LOUIS THEODORE DUBUQUE</t>
  </si>
  <si>
    <t>LOWE'S</t>
  </si>
  <si>
    <t>LOYA'S SEPTIC  LLC</t>
  </si>
  <si>
    <t>MAGIC TOUCH CLEANING SYSTEMS LLC</t>
  </si>
  <si>
    <t>MARK DAUBE</t>
  </si>
  <si>
    <t>MARK MEUTH</t>
  </si>
  <si>
    <t>MARK T. MALONE  M.D. P.A</t>
  </si>
  <si>
    <t>MARY BETH SCOTT</t>
  </si>
  <si>
    <t>MATHESON TRI-GAS INC</t>
  </si>
  <si>
    <t>McCOY'S BUILDING SUPPLY CENTER</t>
  </si>
  <si>
    <t>McCREARY  VESELKA  BRAGG &amp; ALLEN P</t>
  </si>
  <si>
    <t>383  07/06/2020"</t>
  </si>
  <si>
    <t>328"</t>
  </si>
  <si>
    <t>McKESSON MEDICAL-SURGIVAL GOVERNMENT SOLUTIONS LLC</t>
  </si>
  <si>
    <t>MEDIMPACT HEALTHCARE SYSTEMS INC</t>
  </si>
  <si>
    <t>MELLANIE MICKELSON</t>
  </si>
  <si>
    <t>MICHELE FRITSCHE C.S.R.</t>
  </si>
  <si>
    <t>MIDLAND COUNTY SHERIFF</t>
  </si>
  <si>
    <t>MIDTEX MATERIALS</t>
  </si>
  <si>
    <t>SOUTHWEST TEXAS EQUIPMENT DIST INC</t>
  </si>
  <si>
    <t>MONARCH COIN &amp; SECURITY INC</t>
  </si>
  <si>
    <t>MONTGOMERY COUNTY CONSTABLE PCT 1</t>
  </si>
  <si>
    <t>MOTOROLA SOLUTIONS  IN.C</t>
  </si>
  <si>
    <t>MOUNTAIN WEST DERM-AUSTIN PLLC</t>
  </si>
  <si>
    <t>EK&amp;R ENTERPRISES  INC</t>
  </si>
  <si>
    <t>MUSTANG MACHINERY COMPANY LTD</t>
  </si>
  <si>
    <t>NALCO COMPANY LLC</t>
  </si>
  <si>
    <t>NALLEY HVAC MECHANICAL LLC</t>
  </si>
  <si>
    <t>NATIONAL ANIMAL CARE &amp; CONTROL ASSOCIATION</t>
  </si>
  <si>
    <t>NATIONAL FOOD GROUP INC</t>
  </si>
  <si>
    <t>NEMO-Q INC</t>
  </si>
  <si>
    <t>O'REILLY AUTOMOTIVE  INC.</t>
  </si>
  <si>
    <t>OFFICE DEPOT</t>
  </si>
  <si>
    <t>UCG INFORMATION SERVICES LLC</t>
  </si>
  <si>
    <t>ON SITE SERVICES</t>
  </si>
  <si>
    <t>ROGER C. OSBORN</t>
  </si>
  <si>
    <t>OSBURN ASSOCIATES INC.</t>
  </si>
  <si>
    <t>P SQUARED EMULSION PLANTS  LLC</t>
  </si>
  <si>
    <t>PAIGE TRACTORS INC</t>
  </si>
  <si>
    <t>PAPER RETRIEVER OF TEXAS</t>
  </si>
  <si>
    <t>PATTERSON  VETERINARY SUPPLY INC</t>
  </si>
  <si>
    <t>CLEVELAND MACK SALES INC</t>
  </si>
  <si>
    <t>PHILIP R DUCLOUX</t>
  </si>
  <si>
    <t>POST OAK HARDWARE  INC.</t>
  </si>
  <si>
    <t>JOHN DEERE FINANCIAL f.s.b.</t>
  </si>
  <si>
    <t>PROGRESSIVE - RESTITUTION ACCT</t>
  </si>
  <si>
    <t>181  07/01/2020"</t>
  </si>
  <si>
    <t>ELGIN PROVIDENCE LLC</t>
  </si>
  <si>
    <t>QUEST DIAGNOSTICS CLINICAL LABORATORIES</t>
  </si>
  <si>
    <t>NESTLE WATERS N AMERICA INC</t>
  </si>
  <si>
    <t>REBECCA STRNAD</t>
  </si>
  <si>
    <t>RED WING BUSINESS ADVANTAGE ACCOUNT</t>
  </si>
  <si>
    <t>NRG ENERGY INC</t>
  </si>
  <si>
    <t>PAULINE SPURLOCK</t>
  </si>
  <si>
    <t>RESERVE ACCOUNT</t>
  </si>
  <si>
    <t>REYNOLDS &amp; KEINARTH</t>
  </si>
  <si>
    <t>RIATA FORD</t>
  </si>
  <si>
    <t>RICOH USA INC</t>
  </si>
  <si>
    <t>CIT TECHNOLOGY FINANCE</t>
  </si>
  <si>
    <t>ROBERT MADDEN INDUSTRIES LTD</t>
  </si>
  <si>
    <t>ROCKY ROAD PRINTING</t>
  </si>
  <si>
    <t>ROSE PIETSCH COUNTY CLERK</t>
  </si>
  <si>
    <t>RUSH CHEVROLET LLC</t>
  </si>
  <si>
    <t>SAM HOUSTON STATE UNIVERSITY</t>
  </si>
  <si>
    <t>SAMMY LERMA III MD</t>
  </si>
  <si>
    <t>SCOTT &amp; WHITE CLINIC</t>
  </si>
  <si>
    <t>SCOTT &amp; WHITE HOSPITAL - TAYLOR</t>
  </si>
  <si>
    <t>TREASURE ELECTRONICS</t>
  </si>
  <si>
    <t>SENOVIA ALEWINE</t>
  </si>
  <si>
    <t>SETON HEALTHCARE SPONSORED PROJECTS</t>
  </si>
  <si>
    <t>SHARON HANCOCK</t>
  </si>
  <si>
    <t>962  06/18/2020"</t>
  </si>
  <si>
    <t>962  07/13/2020"</t>
  </si>
  <si>
    <t>FERRELLGAS  LP</t>
  </si>
  <si>
    <t>SHI GOVERNMENT SOLUTIONS INC.</t>
  </si>
  <si>
    <t>SHRED-IT US HOLDCO  INC</t>
  </si>
  <si>
    <t>SKYLINE EQUIPMENT INC.</t>
  </si>
  <si>
    <t>SMITH STORES  INC.</t>
  </si>
  <si>
    <t>SMITHVILLE AUTO PARTS  INC</t>
  </si>
  <si>
    <t>SMITHVILLE VOLUNTEER FIRE DEPT</t>
  </si>
  <si>
    <t>SOUTHERN TIRE MART LLC</t>
  </si>
  <si>
    <t>DS WATERS OF AMERICA INC</t>
  </si>
  <si>
    <t>ST. DAVIDS HEART &amp; VASCULAR  PLLC</t>
  </si>
  <si>
    <t>STAPLES  INC.</t>
  </si>
  <si>
    <t>STATE OF TEXAS</t>
  </si>
  <si>
    <t>STEVE GRANADO</t>
  </si>
  <si>
    <t>MATTHEW LEE SULLINS</t>
  </si>
  <si>
    <t>SUN COAST RESOURCES</t>
  </si>
  <si>
    <t>TEXAS ASSOCIATION OF GOVERNMENTAL IT MANAGERS</t>
  </si>
  <si>
    <t>TARRANT COUNTY CONSTABLE PCT 7</t>
  </si>
  <si>
    <t>TOTAL ADMINISTRATIVE SERVICES CORPORATION</t>
  </si>
  <si>
    <t>TAYLOR SECURITY SYSTEMS  LLC</t>
  </si>
  <si>
    <t>TEXAS A&amp;M ENGINEERING EXTENSION SERVICE</t>
  </si>
  <si>
    <t>TEJAS ELEVATOR COMPANY</t>
  </si>
  <si>
    <t>TERRACON CONSULTANTS INC</t>
  </si>
  <si>
    <t>TERRILL L FLENNIKEN</t>
  </si>
  <si>
    <t>AIR RELIEF TECHNOLOGIES  INC</t>
  </si>
  <si>
    <t>JOHN J FIETSAM INC</t>
  </si>
  <si>
    <t>TEX-CON OIL CO</t>
  </si>
  <si>
    <t>TEXAS ASSOCIATES INSURORS AGENCY</t>
  </si>
  <si>
    <t>TEXAS ASSOCIATION OF COUNTIES</t>
  </si>
  <si>
    <t>TEXAS DECON LLC</t>
  </si>
  <si>
    <t>TEXAS DEPT OF PUBLIC SAFETY</t>
  </si>
  <si>
    <t>722  07/07/2020"</t>
  </si>
  <si>
    <t>928"</t>
  </si>
  <si>
    <t>TEXAS DISPOSAL SYSTEMS  INC.</t>
  </si>
  <si>
    <t>TEXAS ECONOMIC DEVELOPMENT COUNCIL</t>
  </si>
  <si>
    <t>TEXAS ELECTROINIC SYSTEMS SPECIALIST  INC.</t>
  </si>
  <si>
    <t>TXFACT  LLC</t>
  </si>
  <si>
    <t>TEXAS PARKS &amp; WILDLIFE DEPARTMENT</t>
  </si>
  <si>
    <t>JOHN THOMAS GARRETT</t>
  </si>
  <si>
    <t>TEXAS STATE UNIVERSITY</t>
  </si>
  <si>
    <t>TEXAS VISION CLINIC  PLLC</t>
  </si>
  <si>
    <t>BUG MASTER EXTERMINATING SERVICES  LTD</t>
  </si>
  <si>
    <t>RICHARD NELSON MOORE</t>
  </si>
  <si>
    <t>THE PRODUCT CENTER</t>
  </si>
  <si>
    <t>WEST PUBLISHING CORPORATION</t>
  </si>
  <si>
    <t>TIM MAHONEY  ATTORNEY AT LAW  PC</t>
  </si>
  <si>
    <t>TRACTOR SUPPLY CREDIT PLAN</t>
  </si>
  <si>
    <t>TRAVIS COUNTY CLERK</t>
  </si>
  <si>
    <t>TRAVIS COUNTY CONSTABLE PCT 5</t>
  </si>
  <si>
    <t>TRAVIS COUNTY EMERGENCY PHYSICIANS PA</t>
  </si>
  <si>
    <t>TRAVIS COUNTY MEDICAL EXAMINER</t>
  </si>
  <si>
    <t>KAUFFMAN TIRE</t>
  </si>
  <si>
    <t>SETON FAMILY OF DOCTORS</t>
  </si>
  <si>
    <t>KENNETH D LYNCH</t>
  </si>
  <si>
    <t>TRP CONSTRUTION GROUP  LLC</t>
  </si>
  <si>
    <t>TUCK LAW GROUP  PLLC</t>
  </si>
  <si>
    <t>TULL FARLEY</t>
  </si>
  <si>
    <t>ULINE  INC.</t>
  </si>
  <si>
    <t>UNITED REFRIGERATION INC</t>
  </si>
  <si>
    <t>SETON FAMILY OF HOSPITALS</t>
  </si>
  <si>
    <t>VICTORY SUPPLY LLC</t>
  </si>
  <si>
    <t>VIKING FENCE CO INC</t>
  </si>
  <si>
    <t>TEXAS DEPARTMENT OF STATE HEALTH SERVICES</t>
  </si>
  <si>
    <t>VIVIAN PAN</t>
  </si>
  <si>
    <t>US BANK NA</t>
  </si>
  <si>
    <t>VTX COMMUNICATIONS  LLC</t>
  </si>
  <si>
    <t>VULCAN  INC.</t>
  </si>
  <si>
    <t>WAGEWORKS INC  FSA/HSA</t>
  </si>
  <si>
    <t>WAL-MART  BASTROP</t>
  </si>
  <si>
    <t>645  06/12/2020"</t>
  </si>
  <si>
    <t>WALLER COUNTY ASPHALT INC</t>
  </si>
  <si>
    <t>WASTE CONNECTIONS LONE STAR. INC.</t>
  </si>
  <si>
    <t>WASTE MANAGEMENT OF TEXAS  INC</t>
  </si>
  <si>
    <t>WIND KNOT INCORPORATED</t>
  </si>
  <si>
    <t>WEI-ANN LIN (REIMBURSEMENTS ONLY)</t>
  </si>
  <si>
    <t>LEYLA YATIM-ALIN</t>
  </si>
  <si>
    <t>WILLIAMSON COUNTY CONSTABLE PCT 1</t>
  </si>
  <si>
    <t>WILLIAMSON COUNTY CONSTABLE PCT 3</t>
  </si>
  <si>
    <t>WILLIAMSON COUNTY CONSTABLE PCT 4</t>
  </si>
  <si>
    <t>WILLIAMSON COUNTY EQUIP CO INC</t>
  </si>
  <si>
    <t>XMEDIUS SOLUTIONS INC.</t>
  </si>
  <si>
    <t>ZACHARY CARTER</t>
  </si>
  <si>
    <t>ZOETIS US LLC</t>
  </si>
  <si>
    <t>ZURICH DIRECT UNDERWRITERS</t>
  </si>
  <si>
    <t>573  06/29/2020"</t>
  </si>
  <si>
    <t>573  07/20/2020"</t>
  </si>
  <si>
    <t>BASTROP INDEPENDENT SCHOOL DISTRICT</t>
  </si>
  <si>
    <t>BASTROPCOUNTY MUD 1</t>
  </si>
  <si>
    <t>BUTLER BROTHERS ODD JOBS LLC</t>
  </si>
  <si>
    <t>CHASCO CONSTRUCTORS LTD LLP</t>
  </si>
  <si>
    <t>COPPERAS CREEK HOUSTON TOAD PRESERVE</t>
  </si>
  <si>
    <t>DANIELA VLAD</t>
  </si>
  <si>
    <t>SHEVIS MOORE</t>
  </si>
  <si>
    <t>HEAT TRANSFER SOLUTIONS  INC.</t>
  </si>
  <si>
    <t>ACADIAN AMBULANCE SERVICE  INC</t>
  </si>
  <si>
    <t>SMITHVILLE INDEPENDENT SCHOOL DISTRICT</t>
  </si>
  <si>
    <t>U.S. BANK NATIONAL ASSOCIATION</t>
  </si>
  <si>
    <t>VIZOCOM ICT LLC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</si>
  <si>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</si>
  <si>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</si>
  <si>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</si>
  <si>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</si>
  <si>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</si>
  <si>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</si>
  <si>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IRS-PAYROLL TAXES</t>
  </si>
  <si>
    <t>GERALD FLORES OLIVO</t>
  </si>
  <si>
    <t>TAC HEALTH BENEFITS POOL</t>
  </si>
  <si>
    <t>TEXAS ATTY.GENERAL'S OFFICE</t>
  </si>
  <si>
    <t>TEXAS CNTY &amp; DIST RETIREMENT SYS</t>
  </si>
  <si>
    <t>TEXAS LEGAL PROTECTION PLAN INC</t>
  </si>
  <si>
    <t>JIM ATTRA INC</t>
  </si>
  <si>
    <t>FERGUSON ENTERPRISES  INC.</t>
  </si>
  <si>
    <t>HARBOR FREIGHT TOOLS USA  INC</t>
  </si>
  <si>
    <t>SHERWIN WILLIAMS CO</t>
  </si>
  <si>
    <t>WALMART COMMUNITY BRC</t>
  </si>
  <si>
    <t>BASTROP SIGNS &amp; BANNERS</t>
  </si>
  <si>
    <t>GATEHOUSE MSI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</si>
</sst>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18" fillId="0" borderId="0" xfId="0" applyFont="1"/>
    <xf numFmtId="44" fontId="18" fillId="0" borderId="0" xfId="1" applyFont="1"/>
    <xf numFmtId="44" fontId="0" fillId="0" borderId="0" xfId="1" applyFont="1"/>
    <xf numFmtId="44" fontId="0" fillId="0" borderId="10" xfId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81"/>
  <sheetViews>
    <sheetView tabSelected="1" workbookViewId="0"/>
  </sheetViews>
  <sheetFormatPr defaultRowHeight="15" x14ac:dyDescent="0.25"/>
  <cols>
    <col min="1" max="1" width="56.7109375" bestFit="1" customWidth="1"/>
    <col min="2" max="2" width="7.7109375" bestFit="1" customWidth="1"/>
    <col min="3" max="3" width="14" bestFit="1" customWidth="1"/>
    <col min="4" max="4" width="10.85546875" bestFit="1" customWidth="1"/>
    <col min="5" max="5" width="19.7109375" bestFit="1" customWidth="1"/>
    <col min="6" max="6" width="35.85546875" bestFit="1" customWidth="1"/>
    <col min="7" max="7" width="18.140625" style="4" bestFit="1" customWidth="1"/>
    <col min="8" max="8" width="35.85546875" bestFit="1" customWidth="1"/>
  </cols>
  <sheetData>
    <row r="1" spans="1:8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</row>
    <row r="2" spans="1:8" x14ac:dyDescent="0.25">
      <c r="A2" t="s">
        <v>8</v>
      </c>
      <c r="B2">
        <v>132721</v>
      </c>
      <c r="C2">
        <v>135</v>
      </c>
      <c r="D2" s="1">
        <v>44067</v>
      </c>
      <c r="E2" t="str">
        <f>"202008128301"</f>
        <v>202008128301</v>
      </c>
      <c r="F2" t="str">
        <f>"REIMBURSE BAIL BOND COUPONS"</f>
        <v>REIMBURSE BAIL BOND COUPONS</v>
      </c>
      <c r="G2" s="4">
        <v>135</v>
      </c>
      <c r="H2" t="str">
        <f>"REIMBURSE BAIL BOND COUPONS"</f>
        <v>REIMBURSE BAIL BOND COUPONS</v>
      </c>
    </row>
    <row r="3" spans="1:8" x14ac:dyDescent="0.25">
      <c r="A3" t="s">
        <v>9</v>
      </c>
      <c r="B3">
        <v>132722</v>
      </c>
      <c r="C3">
        <v>19495</v>
      </c>
      <c r="D3" s="1">
        <v>44067</v>
      </c>
      <c r="E3" t="str">
        <f>"202008188435"</f>
        <v>202008188435</v>
      </c>
      <c r="F3" t="str">
        <f>"Ott Road Project"</f>
        <v>Ott Road Project</v>
      </c>
      <c r="G3" s="4">
        <v>19495</v>
      </c>
      <c r="H3" t="str">
        <f>"5Strand Barbwire Fen"</f>
        <v>5Strand Barbwire Fen</v>
      </c>
    </row>
    <row r="4" spans="1:8" x14ac:dyDescent="0.25">
      <c r="E4" t="str">
        <f>""</f>
        <v/>
      </c>
      <c r="F4" t="str">
        <f>""</f>
        <v/>
      </c>
      <c r="H4" t="str">
        <f>"80ft offSet w/ 14ft"</f>
        <v>80ft offSet w/ 14ft</v>
      </c>
    </row>
    <row r="5" spans="1:8" x14ac:dyDescent="0.25">
      <c r="E5" t="str">
        <f>""</f>
        <v/>
      </c>
      <c r="F5" t="str">
        <f>""</f>
        <v/>
      </c>
      <c r="H5" t="str">
        <f>"Remove Old Fence"</f>
        <v>Remove Old Fence</v>
      </c>
    </row>
    <row r="6" spans="1:8" x14ac:dyDescent="0.25">
      <c r="E6" t="str">
        <f>""</f>
        <v/>
      </c>
      <c r="F6" t="str">
        <f>""</f>
        <v/>
      </c>
      <c r="H6" t="str">
        <f>"Temp Cattle Fence"</f>
        <v>Temp Cattle Fence</v>
      </c>
    </row>
    <row r="7" spans="1:8" x14ac:dyDescent="0.25">
      <c r="E7" t="str">
        <f>""</f>
        <v/>
      </c>
      <c r="F7" t="str">
        <f>""</f>
        <v/>
      </c>
      <c r="H7" t="str">
        <f>"change"</f>
        <v>change</v>
      </c>
    </row>
    <row r="8" spans="1:8" x14ac:dyDescent="0.25">
      <c r="A8" t="s">
        <v>10</v>
      </c>
      <c r="B8">
        <v>2933</v>
      </c>
      <c r="C8">
        <v>3843.29</v>
      </c>
      <c r="D8" s="1">
        <v>44054</v>
      </c>
      <c r="E8" t="str">
        <f>"9725-001-117158"</f>
        <v>9725-001-117158</v>
      </c>
      <c r="F8" t="str">
        <f t="shared" ref="F8:F23" si="0">"ACCT#9725-001/REC BASE/PCT#2"</f>
        <v>ACCT#9725-001/REC BASE/PCT#2</v>
      </c>
      <c r="G8" s="4">
        <v>1443.23</v>
      </c>
      <c r="H8" t="str">
        <f t="shared" ref="H8:H23" si="1">"ACCT#9725-001/REC BASE/PCT#2"</f>
        <v>ACCT#9725-001/REC BASE/PCT#2</v>
      </c>
    </row>
    <row r="9" spans="1:8" x14ac:dyDescent="0.25">
      <c r="E9" t="str">
        <f>"9725-001-117184"</f>
        <v>9725-001-117184</v>
      </c>
      <c r="F9" t="str">
        <f t="shared" si="0"/>
        <v>ACCT#9725-001/REC BASE/PCT#2</v>
      </c>
      <c r="G9" s="4">
        <v>221.64</v>
      </c>
      <c r="H9" t="str">
        <f t="shared" si="1"/>
        <v>ACCT#9725-001/REC BASE/PCT#2</v>
      </c>
    </row>
    <row r="10" spans="1:8" x14ac:dyDescent="0.25">
      <c r="E10" t="str">
        <f>"9725-001-117203"</f>
        <v>9725-001-117203</v>
      </c>
      <c r="F10" t="str">
        <f t="shared" si="0"/>
        <v>ACCT#9725-001/REC BASE/PCT#2</v>
      </c>
      <c r="G10" s="4">
        <v>201.34</v>
      </c>
      <c r="H10" t="str">
        <f t="shared" si="1"/>
        <v>ACCT#9725-001/REC BASE/PCT#2</v>
      </c>
    </row>
    <row r="11" spans="1:8" x14ac:dyDescent="0.25">
      <c r="E11" t="str">
        <f>"9725-001-117282"</f>
        <v>9725-001-117282</v>
      </c>
      <c r="F11" t="str">
        <f t="shared" si="0"/>
        <v>ACCT#9725-001/REC BASE/PCT#2</v>
      </c>
      <c r="G11" s="4">
        <v>198.45</v>
      </c>
      <c r="H11" t="str">
        <f t="shared" si="1"/>
        <v>ACCT#9725-001/REC BASE/PCT#2</v>
      </c>
    </row>
    <row r="12" spans="1:8" x14ac:dyDescent="0.25">
      <c r="E12" t="str">
        <f>"9725-001-117302"</f>
        <v>9725-001-117302</v>
      </c>
      <c r="F12" t="str">
        <f t="shared" si="0"/>
        <v>ACCT#9725-001/REC BASE/PCT#2</v>
      </c>
      <c r="G12" s="4">
        <v>911.41</v>
      </c>
      <c r="H12" t="str">
        <f t="shared" si="1"/>
        <v>ACCT#9725-001/REC BASE/PCT#2</v>
      </c>
    </row>
    <row r="13" spans="1:8" x14ac:dyDescent="0.25">
      <c r="E13" t="str">
        <f>"9725-001-117348"</f>
        <v>9725-001-117348</v>
      </c>
      <c r="F13" t="str">
        <f t="shared" si="0"/>
        <v>ACCT#9725-001/REC BASE/PCT#2</v>
      </c>
      <c r="G13" s="4">
        <v>867.22</v>
      </c>
      <c r="H13" t="str">
        <f t="shared" si="1"/>
        <v>ACCT#9725-001/REC BASE/PCT#2</v>
      </c>
    </row>
    <row r="14" spans="1:8" x14ac:dyDescent="0.25">
      <c r="A14" t="s">
        <v>10</v>
      </c>
      <c r="B14">
        <v>3000</v>
      </c>
      <c r="C14">
        <v>7945.65</v>
      </c>
      <c r="D14" s="1">
        <v>44068</v>
      </c>
      <c r="E14" t="str">
        <f>"9725-001-117388"</f>
        <v>9725-001-117388</v>
      </c>
      <c r="F14" t="str">
        <f t="shared" si="0"/>
        <v>ACCT#9725-001/REC BASE/PCT#2</v>
      </c>
      <c r="G14" s="4">
        <v>411.78</v>
      </c>
      <c r="H14" t="str">
        <f t="shared" si="1"/>
        <v>ACCT#9725-001/REC BASE/PCT#2</v>
      </c>
    </row>
    <row r="15" spans="1:8" x14ac:dyDescent="0.25">
      <c r="E15" t="str">
        <f>"9725-001-117409"</f>
        <v>9725-001-117409</v>
      </c>
      <c r="F15" t="str">
        <f t="shared" si="0"/>
        <v>ACCT#9725-001/REC BASE/PCT#2</v>
      </c>
      <c r="G15" s="4">
        <v>634.72</v>
      </c>
      <c r="H15" t="str">
        <f t="shared" si="1"/>
        <v>ACCT#9725-001/REC BASE/PCT#2</v>
      </c>
    </row>
    <row r="16" spans="1:8" x14ac:dyDescent="0.25">
      <c r="E16" t="str">
        <f>"9725-001-117438"</f>
        <v>9725-001-117438</v>
      </c>
      <c r="F16" t="str">
        <f t="shared" si="0"/>
        <v>ACCT#9725-001/REC BASE/PCT#2</v>
      </c>
      <c r="G16" s="4">
        <v>649.95000000000005</v>
      </c>
      <c r="H16" t="str">
        <f t="shared" si="1"/>
        <v>ACCT#9725-001/REC BASE/PCT#2</v>
      </c>
    </row>
    <row r="17" spans="1:8" x14ac:dyDescent="0.25">
      <c r="E17" t="str">
        <f>"9725-001-117463"</f>
        <v>9725-001-117463</v>
      </c>
      <c r="F17" t="str">
        <f t="shared" si="0"/>
        <v>ACCT#9725-001/REC BASE/PCT#2</v>
      </c>
      <c r="G17" s="4">
        <v>185.85</v>
      </c>
      <c r="H17" t="str">
        <f t="shared" si="1"/>
        <v>ACCT#9725-001/REC BASE/PCT#2</v>
      </c>
    </row>
    <row r="18" spans="1:8" x14ac:dyDescent="0.25">
      <c r="E18" t="str">
        <f>"9725-001-117483"</f>
        <v>9725-001-117483</v>
      </c>
      <c r="F18" t="str">
        <f t="shared" si="0"/>
        <v>ACCT#9725-001/REC BASE/PCT#2</v>
      </c>
      <c r="G18" s="4">
        <v>203.09</v>
      </c>
      <c r="H18" t="str">
        <f t="shared" si="1"/>
        <v>ACCT#9725-001/REC BASE/PCT#2</v>
      </c>
    </row>
    <row r="19" spans="1:8" x14ac:dyDescent="0.25">
      <c r="E19" t="str">
        <f>"9725-001-117507"</f>
        <v>9725-001-117507</v>
      </c>
      <c r="F19" t="str">
        <f t="shared" si="0"/>
        <v>ACCT#9725-001/REC BASE/PCT#2</v>
      </c>
      <c r="G19" s="4">
        <v>1239.43</v>
      </c>
      <c r="H19" t="str">
        <f t="shared" si="1"/>
        <v>ACCT#9725-001/REC BASE/PCT#2</v>
      </c>
    </row>
    <row r="20" spans="1:8" x14ac:dyDescent="0.25">
      <c r="E20" t="str">
        <f>"9725-001-117533"</f>
        <v>9725-001-117533</v>
      </c>
      <c r="F20" t="str">
        <f t="shared" si="0"/>
        <v>ACCT#9725-001/REC BASE/PCT#2</v>
      </c>
      <c r="G20" s="4">
        <v>436.45</v>
      </c>
      <c r="H20" t="str">
        <f t="shared" si="1"/>
        <v>ACCT#9725-001/REC BASE/PCT#2</v>
      </c>
    </row>
    <row r="21" spans="1:8" x14ac:dyDescent="0.25">
      <c r="E21" t="str">
        <f>"9725-001-117558"</f>
        <v>9725-001-117558</v>
      </c>
      <c r="F21" t="str">
        <f t="shared" si="0"/>
        <v>ACCT#9725-001/REC BASE/PCT#2</v>
      </c>
      <c r="G21" s="4">
        <v>1060.24</v>
      </c>
      <c r="H21" t="str">
        <f t="shared" si="1"/>
        <v>ACCT#9725-001/REC BASE/PCT#2</v>
      </c>
    </row>
    <row r="22" spans="1:8" x14ac:dyDescent="0.25">
      <c r="E22" t="str">
        <f>"9725-001-117583"</f>
        <v>9725-001-117583</v>
      </c>
      <c r="F22" t="str">
        <f t="shared" si="0"/>
        <v>ACCT#9725-001/REC BASE/PCT#2</v>
      </c>
      <c r="G22" s="4">
        <v>1012.92</v>
      </c>
      <c r="H22" t="str">
        <f t="shared" si="1"/>
        <v>ACCT#9725-001/REC BASE/PCT#2</v>
      </c>
    </row>
    <row r="23" spans="1:8" x14ac:dyDescent="0.25">
      <c r="E23" t="str">
        <f>"9725-001-117607"</f>
        <v>9725-001-117607</v>
      </c>
      <c r="F23" t="str">
        <f t="shared" si="0"/>
        <v>ACCT#9725-001/REC BASE/PCT#2</v>
      </c>
      <c r="G23" s="4">
        <v>602.27</v>
      </c>
      <c r="H23" t="str">
        <f t="shared" si="1"/>
        <v>ACCT#9725-001/REC BASE/PCT#2</v>
      </c>
    </row>
    <row r="24" spans="1:8" x14ac:dyDescent="0.25">
      <c r="E24" t="str">
        <f>"9725-004-117594"</f>
        <v>9725-004-117594</v>
      </c>
      <c r="F24" t="str">
        <f>"ACCT#9725-004/REC BASE/PCT#1"</f>
        <v>ACCT#9725-004/REC BASE/PCT#1</v>
      </c>
      <c r="G24" s="4">
        <v>639.44000000000005</v>
      </c>
      <c r="H24" t="str">
        <f>"ACCT#9725-004/REC BASE/PCT#1"</f>
        <v>ACCT#9725-004/REC BASE/PCT#1</v>
      </c>
    </row>
    <row r="25" spans="1:8" x14ac:dyDescent="0.25">
      <c r="E25" t="str">
        <f>"9725-004-117648"</f>
        <v>9725-004-117648</v>
      </c>
      <c r="F25" t="str">
        <f>"ACCT#9725-004/REC BASE/PCT#1"</f>
        <v>ACCT#9725-004/REC BASE/PCT#1</v>
      </c>
      <c r="G25" s="4">
        <v>869.51</v>
      </c>
      <c r="H25" t="str">
        <f>"ACCT#9725-004/REC BASE/PCT#1"</f>
        <v>ACCT#9725-004/REC BASE/PCT#1</v>
      </c>
    </row>
    <row r="26" spans="1:8" x14ac:dyDescent="0.25">
      <c r="A26" t="s">
        <v>11</v>
      </c>
      <c r="B26">
        <v>132723</v>
      </c>
      <c r="C26">
        <v>120</v>
      </c>
      <c r="D26" s="1">
        <v>44067</v>
      </c>
      <c r="E26" t="str">
        <f>"202008128302"</f>
        <v>202008128302</v>
      </c>
      <c r="F26" t="str">
        <f>"REIMBURSE BAIL BOND COUPONS"</f>
        <v>REIMBURSE BAIL BOND COUPONS</v>
      </c>
      <c r="G26" s="4">
        <v>120</v>
      </c>
      <c r="H26" t="str">
        <f>"REIMBURSE BAIL BOND COUPONS"</f>
        <v>REIMBURSE BAIL BOND COUPONS</v>
      </c>
    </row>
    <row r="27" spans="1:8" x14ac:dyDescent="0.25">
      <c r="A27" t="s">
        <v>12</v>
      </c>
      <c r="B27">
        <v>132587</v>
      </c>
      <c r="C27">
        <v>770.58</v>
      </c>
      <c r="D27" s="1">
        <v>44053</v>
      </c>
      <c r="E27" t="str">
        <f>"STATEMENT#398733"</f>
        <v>STATEMENT#398733</v>
      </c>
      <c r="F27" t="str">
        <f>"CUST ID:16500/PCT#4"</f>
        <v>CUST ID:16500/PCT#4</v>
      </c>
      <c r="G27" s="4">
        <v>770.58</v>
      </c>
      <c r="H27" t="str">
        <f>"CUST ID:16500/PCT#4"</f>
        <v>CUST ID:16500/PCT#4</v>
      </c>
    </row>
    <row r="28" spans="1:8" x14ac:dyDescent="0.25">
      <c r="A28" t="s">
        <v>13</v>
      </c>
      <c r="B28">
        <v>132724</v>
      </c>
      <c r="C28">
        <v>165</v>
      </c>
      <c r="D28" s="1">
        <v>44067</v>
      </c>
      <c r="E28" t="str">
        <f>"6095224"</f>
        <v>6095224</v>
      </c>
      <c r="F28" t="str">
        <f>"CUST#AB00500/ORD#6095224"</f>
        <v>CUST#AB00500/ORD#6095224</v>
      </c>
      <c r="G28" s="4">
        <v>165</v>
      </c>
      <c r="H28" t="str">
        <f>"CUST#AB00500/ORD#6095224"</f>
        <v>CUST#AB00500/ORD#6095224</v>
      </c>
    </row>
    <row r="29" spans="1:8" x14ac:dyDescent="0.25">
      <c r="A29" t="s">
        <v>14</v>
      </c>
      <c r="B29">
        <v>132588</v>
      </c>
      <c r="C29">
        <v>787.5</v>
      </c>
      <c r="D29" s="1">
        <v>44053</v>
      </c>
      <c r="E29" t="str">
        <f>"202008058161"</f>
        <v>202008058161</v>
      </c>
      <c r="F29" t="str">
        <f>"19-19768"</f>
        <v>19-19768</v>
      </c>
      <c r="G29" s="4">
        <v>172.5</v>
      </c>
      <c r="H29" t="str">
        <f>"19-19768"</f>
        <v>19-19768</v>
      </c>
    </row>
    <row r="30" spans="1:8" x14ac:dyDescent="0.25">
      <c r="E30" t="str">
        <f>"202008058162"</f>
        <v>202008058162</v>
      </c>
      <c r="F30" t="str">
        <f>"20-20261"</f>
        <v>20-20261</v>
      </c>
      <c r="G30" s="4">
        <v>197.5</v>
      </c>
      <c r="H30" t="str">
        <f>"20-20261"</f>
        <v>20-20261</v>
      </c>
    </row>
    <row r="31" spans="1:8" x14ac:dyDescent="0.25">
      <c r="E31" t="str">
        <f>"202008058163"</f>
        <v>202008058163</v>
      </c>
      <c r="F31" t="str">
        <f>"20-20077"</f>
        <v>20-20077</v>
      </c>
      <c r="G31" s="4">
        <v>115</v>
      </c>
      <c r="H31" t="str">
        <f>"20-20077"</f>
        <v>20-20077</v>
      </c>
    </row>
    <row r="32" spans="1:8" x14ac:dyDescent="0.25">
      <c r="E32" t="str">
        <f>"202008058164"</f>
        <v>202008058164</v>
      </c>
      <c r="F32" t="str">
        <f>"20-20085"</f>
        <v>20-20085</v>
      </c>
      <c r="G32" s="4">
        <v>152.5</v>
      </c>
      <c r="H32" t="str">
        <f>"20-20085"</f>
        <v>20-20085</v>
      </c>
    </row>
    <row r="33" spans="1:8" x14ac:dyDescent="0.25">
      <c r="E33" t="str">
        <f>"202008058165"</f>
        <v>202008058165</v>
      </c>
      <c r="F33" t="str">
        <f>"19-19857"</f>
        <v>19-19857</v>
      </c>
      <c r="G33" s="4">
        <v>150</v>
      </c>
      <c r="H33" t="str">
        <f>"19-19857"</f>
        <v>19-19857</v>
      </c>
    </row>
    <row r="34" spans="1:8" x14ac:dyDescent="0.25">
      <c r="A34" t="s">
        <v>15</v>
      </c>
      <c r="B34">
        <v>3014</v>
      </c>
      <c r="C34">
        <v>169.98</v>
      </c>
      <c r="D34" s="1">
        <v>44068</v>
      </c>
      <c r="E34" t="str">
        <f>"202008138338"</f>
        <v>202008138338</v>
      </c>
      <c r="F34" t="str">
        <f>"REIMBURSE MAIL CHIMP"</f>
        <v>REIMBURSE MAIL CHIMP</v>
      </c>
      <c r="G34" s="4">
        <v>84.99</v>
      </c>
      <c r="H34" t="str">
        <f>"REIMBURSE MAIL CHIMP"</f>
        <v>REIMBURSE MAIL CHIMP</v>
      </c>
    </row>
    <row r="35" spans="1:8" x14ac:dyDescent="0.25">
      <c r="E35" t="str">
        <f>"202008188403"</f>
        <v>202008188403</v>
      </c>
      <c r="F35" t="str">
        <f>"REIMBURSE MAIL CHIMP-AUGUST"</f>
        <v>REIMBURSE MAIL CHIMP-AUGUST</v>
      </c>
      <c r="G35" s="4">
        <v>84.99</v>
      </c>
      <c r="H35" t="str">
        <f>"REIMBURSE MAIL CHIMP-AUGUST"</f>
        <v>REIMBURSE MAIL CHIMP-AUGUST</v>
      </c>
    </row>
    <row r="36" spans="1:8" x14ac:dyDescent="0.25">
      <c r="A36" t="s">
        <v>16</v>
      </c>
      <c r="B36">
        <v>132589</v>
      </c>
      <c r="C36">
        <v>185.65</v>
      </c>
      <c r="D36" s="1">
        <v>44053</v>
      </c>
      <c r="E36" t="str">
        <f>"204743"</f>
        <v>204743</v>
      </c>
      <c r="F36" t="str">
        <f>"INV 204743"</f>
        <v>INV 204743</v>
      </c>
      <c r="G36" s="4">
        <v>185.65</v>
      </c>
      <c r="H36" t="str">
        <f>"INV 204743"</f>
        <v>INV 204743</v>
      </c>
    </row>
    <row r="37" spans="1:8" x14ac:dyDescent="0.25">
      <c r="A37" t="s">
        <v>17</v>
      </c>
      <c r="B37">
        <v>132725</v>
      </c>
      <c r="C37">
        <v>974.77</v>
      </c>
      <c r="D37" s="1">
        <v>44067</v>
      </c>
      <c r="E37" t="str">
        <f>"7150171"</f>
        <v>7150171</v>
      </c>
      <c r="F37" t="str">
        <f>"CUST#17295/PCT#3"</f>
        <v>CUST#17295/PCT#3</v>
      </c>
      <c r="G37" s="4">
        <v>152.79</v>
      </c>
      <c r="H37" t="str">
        <f>"CUST#17295/PCT#3"</f>
        <v>CUST#17295/PCT#3</v>
      </c>
    </row>
    <row r="38" spans="1:8" x14ac:dyDescent="0.25">
      <c r="E38" t="str">
        <f>"7154670"</f>
        <v>7154670</v>
      </c>
      <c r="F38" t="str">
        <f>"CUST#17295/PCT#3"</f>
        <v>CUST#17295/PCT#3</v>
      </c>
      <c r="G38" s="4">
        <v>821.98</v>
      </c>
      <c r="H38" t="str">
        <f>"CUST#17295/PCT#3"</f>
        <v>CUST#17295/PCT#3</v>
      </c>
    </row>
    <row r="39" spans="1:8" x14ac:dyDescent="0.25">
      <c r="A39" t="s">
        <v>18</v>
      </c>
      <c r="B39">
        <v>2972</v>
      </c>
      <c r="C39">
        <v>600</v>
      </c>
      <c r="D39" s="1">
        <v>44054</v>
      </c>
      <c r="E39" t="str">
        <f>"202007298029"</f>
        <v>202007298029</v>
      </c>
      <c r="F39" t="str">
        <f>"1569-335"</f>
        <v>1569-335</v>
      </c>
      <c r="G39" s="4">
        <v>100</v>
      </c>
      <c r="H39" t="str">
        <f>"1569-335"</f>
        <v>1569-335</v>
      </c>
    </row>
    <row r="40" spans="1:8" x14ac:dyDescent="0.25">
      <c r="E40" t="str">
        <f>"202007298030"</f>
        <v>202007298030</v>
      </c>
      <c r="F40" t="str">
        <f>"1551-335"</f>
        <v>1551-335</v>
      </c>
      <c r="G40" s="4">
        <v>100</v>
      </c>
      <c r="H40" t="str">
        <f>"1551-335"</f>
        <v>1551-335</v>
      </c>
    </row>
    <row r="41" spans="1:8" x14ac:dyDescent="0.25">
      <c r="E41" t="str">
        <f>"202007298031"</f>
        <v>202007298031</v>
      </c>
      <c r="F41" t="str">
        <f>"1546-21"</f>
        <v>1546-21</v>
      </c>
      <c r="G41" s="4">
        <v>100</v>
      </c>
      <c r="H41" t="str">
        <f>"1546-21"</f>
        <v>1546-21</v>
      </c>
    </row>
    <row r="42" spans="1:8" x14ac:dyDescent="0.25">
      <c r="E42" t="str">
        <f>"202007298032"</f>
        <v>202007298032</v>
      </c>
      <c r="F42" t="str">
        <f>"1545-21"</f>
        <v>1545-21</v>
      </c>
      <c r="G42" s="4">
        <v>100</v>
      </c>
      <c r="H42" t="str">
        <f>"1545-21"</f>
        <v>1545-21</v>
      </c>
    </row>
    <row r="43" spans="1:8" x14ac:dyDescent="0.25">
      <c r="E43" t="str">
        <f>"202007298033"</f>
        <v>202007298033</v>
      </c>
      <c r="F43" t="str">
        <f>"1551-21"</f>
        <v>1551-21</v>
      </c>
      <c r="G43" s="4">
        <v>100</v>
      </c>
      <c r="H43" t="str">
        <f>"1551-21"</f>
        <v>1551-21</v>
      </c>
    </row>
    <row r="44" spans="1:8" x14ac:dyDescent="0.25">
      <c r="E44" t="str">
        <f>"202007298034"</f>
        <v>202007298034</v>
      </c>
      <c r="F44" t="str">
        <f>"423-7318"</f>
        <v>423-7318</v>
      </c>
      <c r="G44" s="4">
        <v>100</v>
      </c>
      <c r="H44" t="str">
        <f>"423-7318"</f>
        <v>423-7318</v>
      </c>
    </row>
    <row r="45" spans="1:8" x14ac:dyDescent="0.25">
      <c r="A45" t="s">
        <v>19</v>
      </c>
      <c r="B45">
        <v>2945</v>
      </c>
      <c r="C45">
        <v>1351.8</v>
      </c>
      <c r="D45" s="1">
        <v>44054</v>
      </c>
      <c r="E45" t="str">
        <f>"202008058119"</f>
        <v>202008058119</v>
      </c>
      <c r="F45" t="str">
        <f>"57 112"</f>
        <v>57 112</v>
      </c>
      <c r="G45" s="4">
        <v>337.95</v>
      </c>
      <c r="H45" t="str">
        <f>"57 112"</f>
        <v>57 112</v>
      </c>
    </row>
    <row r="46" spans="1:8" x14ac:dyDescent="0.25">
      <c r="E46" t="str">
        <f>"202008058120"</f>
        <v>202008058120</v>
      </c>
      <c r="F46" t="str">
        <f>"7-9-2020 CRIMINAL DOCKETS"</f>
        <v>7-9-2020 CRIMINAL DOCKETS</v>
      </c>
      <c r="G46" s="4">
        <v>337.95</v>
      </c>
      <c r="H46" t="str">
        <f>"7-9-2020 CRIMINAL DOCKETS"</f>
        <v>7-9-2020 CRIMINAL DOCKETS</v>
      </c>
    </row>
    <row r="47" spans="1:8" x14ac:dyDescent="0.25">
      <c r="E47" t="str">
        <f>"202008058121"</f>
        <v>202008058121</v>
      </c>
      <c r="F47" t="str">
        <f>"7-30-2020 CRIMINAL DOCKET"</f>
        <v>7-30-2020 CRIMINAL DOCKET</v>
      </c>
      <c r="G47" s="4">
        <v>337.95</v>
      </c>
      <c r="H47" t="str">
        <f>"7-30-2020 CRIMINAL DOCKET"</f>
        <v>7-30-2020 CRIMINAL DOCKET</v>
      </c>
    </row>
    <row r="48" spans="1:8" x14ac:dyDescent="0.25">
      <c r="E48" t="str">
        <f>"202008058169"</f>
        <v>202008058169</v>
      </c>
      <c r="F48" t="str">
        <f>"7/16/20 CRIMINAL DOCKET"</f>
        <v>7/16/20 CRIMINAL DOCKET</v>
      </c>
      <c r="G48" s="4">
        <v>337.95</v>
      </c>
      <c r="H48" t="str">
        <f>"7/16/20 CRIMINAL DOCKET"</f>
        <v>7/16/20 CRIMINAL DOCKET</v>
      </c>
    </row>
    <row r="49" spans="1:8" x14ac:dyDescent="0.25">
      <c r="A49" t="s">
        <v>20</v>
      </c>
      <c r="B49">
        <v>132726</v>
      </c>
      <c r="C49">
        <v>18</v>
      </c>
      <c r="D49" s="1">
        <v>44067</v>
      </c>
      <c r="E49" t="s">
        <v>21</v>
      </c>
      <c r="F49" t="str">
        <f>"RESTITUTION - J. RICHARDSON"</f>
        <v>RESTITUTION - J. RICHARDSON</v>
      </c>
      <c r="G49" s="4">
        <v>18</v>
      </c>
      <c r="H49" t="str">
        <f>"RESTITUTION - J. RICHARDSON"</f>
        <v>RESTITUTION - J. RICHARDSON</v>
      </c>
    </row>
    <row r="50" spans="1:8" x14ac:dyDescent="0.25">
      <c r="A50" t="s">
        <v>22</v>
      </c>
      <c r="B50">
        <v>2954</v>
      </c>
      <c r="C50">
        <v>1405.52</v>
      </c>
      <c r="D50" s="1">
        <v>44054</v>
      </c>
      <c r="E50" t="str">
        <f>"11CR-7C LK-WNMX"</f>
        <v>11CR-7C LK-WNMX</v>
      </c>
      <c r="F50" t="str">
        <f>"INV# 11CR-7C;LK-WNMX"</f>
        <v>INV# 11CR-7C;LK-WNMX</v>
      </c>
      <c r="G50" s="4">
        <v>125.98</v>
      </c>
      <c r="H50" t="str">
        <f>"COLUMBIA"</f>
        <v>COLUMBIA</v>
      </c>
    </row>
    <row r="51" spans="1:8" x14ac:dyDescent="0.25">
      <c r="E51" t="str">
        <f>""</f>
        <v/>
      </c>
      <c r="F51" t="str">
        <f>""</f>
        <v/>
      </c>
      <c r="H51" t="str">
        <f>"COFFEE POT"</f>
        <v>COFFEE POT</v>
      </c>
    </row>
    <row r="52" spans="1:8" x14ac:dyDescent="0.25">
      <c r="E52" t="str">
        <f>""</f>
        <v/>
      </c>
      <c r="F52" t="str">
        <f>""</f>
        <v/>
      </c>
      <c r="H52" t="str">
        <f>"GATORADE"</f>
        <v>GATORADE</v>
      </c>
    </row>
    <row r="53" spans="1:8" x14ac:dyDescent="0.25">
      <c r="E53" t="str">
        <f>""</f>
        <v/>
      </c>
      <c r="F53" t="str">
        <f>""</f>
        <v/>
      </c>
      <c r="H53" t="str">
        <f>"GATORADE. CREDIT"</f>
        <v>GATORADE. CREDIT</v>
      </c>
    </row>
    <row r="54" spans="1:8" x14ac:dyDescent="0.25">
      <c r="E54" t="str">
        <f>""</f>
        <v/>
      </c>
      <c r="F54" t="str">
        <f>""</f>
        <v/>
      </c>
      <c r="H54" t="str">
        <f>"THERMOMETER"</f>
        <v>THERMOMETER</v>
      </c>
    </row>
    <row r="55" spans="1:8" x14ac:dyDescent="0.25">
      <c r="E55" t="str">
        <f>"1G3M-JYH6-7F3G"</f>
        <v>1G3M-JYH6-7F3G</v>
      </c>
      <c r="F55" t="str">
        <f>"Amazon Order"</f>
        <v>Amazon Order</v>
      </c>
      <c r="G55" s="4">
        <v>66.69</v>
      </c>
      <c r="H55" t="str">
        <f>"Swiffer Refills"</f>
        <v>Swiffer Refills</v>
      </c>
    </row>
    <row r="56" spans="1:8" x14ac:dyDescent="0.25">
      <c r="E56" t="str">
        <f>""</f>
        <v/>
      </c>
      <c r="F56" t="str">
        <f>""</f>
        <v/>
      </c>
      <c r="H56" t="str">
        <f>"Syringe"</f>
        <v>Syringe</v>
      </c>
    </row>
    <row r="57" spans="1:8" x14ac:dyDescent="0.25">
      <c r="E57" t="str">
        <f>""</f>
        <v/>
      </c>
      <c r="F57" t="str">
        <f>""</f>
        <v/>
      </c>
      <c r="H57" t="str">
        <f>"Rust-Oleum"</f>
        <v>Rust-Oleum</v>
      </c>
    </row>
    <row r="58" spans="1:8" x14ac:dyDescent="0.25">
      <c r="E58" t="str">
        <f>""</f>
        <v/>
      </c>
      <c r="F58" t="str">
        <f>""</f>
        <v/>
      </c>
      <c r="H58" t="str">
        <f>"Swiffer Solution"</f>
        <v>Swiffer Solution</v>
      </c>
    </row>
    <row r="59" spans="1:8" x14ac:dyDescent="0.25">
      <c r="E59" t="str">
        <f>"1J4F-NHTH-D6WT"</f>
        <v>1J4F-NHTH-D6WT</v>
      </c>
      <c r="F59" t="str">
        <f>"trash can bands  posion i"</f>
        <v>trash can bands  posion i</v>
      </c>
      <c r="G59" s="4">
        <v>97.3</v>
      </c>
      <c r="H59" t="str">
        <f>"ivy wipes"</f>
        <v>ivy wipes</v>
      </c>
    </row>
    <row r="60" spans="1:8" x14ac:dyDescent="0.25">
      <c r="E60" t="str">
        <f>""</f>
        <v/>
      </c>
      <c r="F60" t="str">
        <f>""</f>
        <v/>
      </c>
      <c r="H60" t="str">
        <f>"trash can bands"</f>
        <v>trash can bands</v>
      </c>
    </row>
    <row r="61" spans="1:8" x14ac:dyDescent="0.25">
      <c r="E61" t="str">
        <f>"1MTF-WV97-9KDR"</f>
        <v>1MTF-WV97-9KDR</v>
      </c>
      <c r="F61" t="str">
        <f>"BCAS Cat Boxes"</f>
        <v>BCAS Cat Boxes</v>
      </c>
      <c r="G61" s="4">
        <v>480</v>
      </c>
      <c r="H61" t="str">
        <f>"Disposable Carrier"</f>
        <v>Disposable Carrier</v>
      </c>
    </row>
    <row r="62" spans="1:8" x14ac:dyDescent="0.25">
      <c r="E62" t="str">
        <f>"1PFJ-Q9FX-LKVN"</f>
        <v>1PFJ-Q9FX-LKVN</v>
      </c>
      <c r="F62" t="str">
        <f>"Amazon Order"</f>
        <v>Amazon Order</v>
      </c>
      <c r="G62" s="4">
        <v>89.85</v>
      </c>
      <c r="H62" t="str">
        <f>"Thirst Quencher"</f>
        <v>Thirst Quencher</v>
      </c>
    </row>
    <row r="63" spans="1:8" x14ac:dyDescent="0.25">
      <c r="E63" t="str">
        <f>"1PFJ-Q9FX-M9FW"</f>
        <v>1PFJ-Q9FX-M9FW</v>
      </c>
      <c r="F63" t="str">
        <f>"SHIRT INVOICES"</f>
        <v>SHIRT INVOICES</v>
      </c>
      <c r="G63" s="4">
        <v>545.70000000000005</v>
      </c>
      <c r="H63" t="str">
        <f>"INV# 1PFJ-Q9FX-M9FW"</f>
        <v>INV# 1PFJ-Q9FX-M9FW</v>
      </c>
    </row>
    <row r="64" spans="1:8" x14ac:dyDescent="0.25">
      <c r="E64" t="str">
        <f>""</f>
        <v/>
      </c>
      <c r="F64" t="str">
        <f>""</f>
        <v/>
      </c>
      <c r="H64" t="str">
        <f>"CM#  1JL4-GLP4-1693"</f>
        <v>CM#  1JL4-GLP4-1693</v>
      </c>
    </row>
    <row r="65" spans="1:8" x14ac:dyDescent="0.25">
      <c r="E65" t="str">
        <f>""</f>
        <v/>
      </c>
      <c r="F65" t="str">
        <f>""</f>
        <v/>
      </c>
      <c r="H65" t="str">
        <f>"INV# 1VM6-D9VL-6HXC"</f>
        <v>INV# 1VM6-D9VL-6HXC</v>
      </c>
    </row>
    <row r="66" spans="1:8" x14ac:dyDescent="0.25">
      <c r="A66" t="s">
        <v>22</v>
      </c>
      <c r="B66">
        <v>3026</v>
      </c>
      <c r="C66">
        <v>1354.51</v>
      </c>
      <c r="D66" s="1">
        <v>44068</v>
      </c>
      <c r="E66" t="str">
        <f>"17FY-WFNQ-3VTL"</f>
        <v>17FY-WFNQ-3VTL</v>
      </c>
      <c r="F66" t="str">
        <f>"Spot Light for unit"</f>
        <v>Spot Light for unit</v>
      </c>
      <c r="G66" s="4">
        <v>329.58</v>
      </c>
      <c r="H66" t="str">
        <f>"Spot Light"</f>
        <v>Spot Light</v>
      </c>
    </row>
    <row r="67" spans="1:8" x14ac:dyDescent="0.25">
      <c r="E67" t="str">
        <f>"17JK-V6PM-4LTD"</f>
        <v>17JK-V6PM-4LTD</v>
      </c>
      <c r="F67" t="str">
        <f>"Stylus and Labels"</f>
        <v>Stylus and Labels</v>
      </c>
      <c r="G67" s="4">
        <v>43.89</v>
      </c>
      <c r="H67" t="str">
        <f>"Labels"</f>
        <v>Labels</v>
      </c>
    </row>
    <row r="68" spans="1:8" x14ac:dyDescent="0.25">
      <c r="E68" t="str">
        <f>""</f>
        <v/>
      </c>
      <c r="F68" t="str">
        <f>""</f>
        <v/>
      </c>
      <c r="H68" t="str">
        <f>"Stylus"</f>
        <v>Stylus</v>
      </c>
    </row>
    <row r="69" spans="1:8" x14ac:dyDescent="0.25">
      <c r="E69" t="str">
        <f>"1H1F-4JMF-JVCV"</f>
        <v>1H1F-4JMF-JVCV</v>
      </c>
      <c r="F69" t="str">
        <f>"shirts and Clip Boards"</f>
        <v>shirts and Clip Boards</v>
      </c>
      <c r="G69" s="4">
        <v>447.95</v>
      </c>
      <c r="H69" t="str">
        <f>"Men's Sherpa Fleece"</f>
        <v>Men's Sherpa Fleece</v>
      </c>
    </row>
    <row r="70" spans="1:8" x14ac:dyDescent="0.25">
      <c r="E70" t="str">
        <f>""</f>
        <v/>
      </c>
      <c r="F70" t="str">
        <f>""</f>
        <v/>
      </c>
      <c r="H70" t="str">
        <f>"Polar Fleece Jacket"</f>
        <v>Polar Fleece Jacket</v>
      </c>
    </row>
    <row r="71" spans="1:8" x14ac:dyDescent="0.25">
      <c r="E71" t="str">
        <f>""</f>
        <v/>
      </c>
      <c r="F71" t="str">
        <f>""</f>
        <v/>
      </c>
      <c r="H71" t="str">
        <f>"Navy L"</f>
        <v>Navy L</v>
      </c>
    </row>
    <row r="72" spans="1:8" x14ac:dyDescent="0.25">
      <c r="E72" t="str">
        <f>""</f>
        <v/>
      </c>
      <c r="F72" t="str">
        <f>""</f>
        <v/>
      </c>
      <c r="H72" t="str">
        <f>"Anthracite  Large"</f>
        <v>Anthracite  Large</v>
      </c>
    </row>
    <row r="73" spans="1:8" x14ac:dyDescent="0.25">
      <c r="E73" t="str">
        <f>""</f>
        <v/>
      </c>
      <c r="F73" t="str">
        <f>""</f>
        <v/>
      </c>
      <c r="H73" t="str">
        <f>"Team Red"</f>
        <v>Team Red</v>
      </c>
    </row>
    <row r="74" spans="1:8" x14ac:dyDescent="0.25">
      <c r="E74" t="str">
        <f>""</f>
        <v/>
      </c>
      <c r="F74" t="str">
        <f>""</f>
        <v/>
      </c>
      <c r="H74" t="str">
        <f>"Microfleece Jacke"</f>
        <v>Microfleece Jacke</v>
      </c>
    </row>
    <row r="75" spans="1:8" x14ac:dyDescent="0.25">
      <c r="E75" t="str">
        <f>""</f>
        <v/>
      </c>
      <c r="F75" t="str">
        <f>""</f>
        <v/>
      </c>
      <c r="H75" t="str">
        <f>"Aluminum clip board"</f>
        <v>Aluminum clip board</v>
      </c>
    </row>
    <row r="76" spans="1:8" x14ac:dyDescent="0.25">
      <c r="E76" t="str">
        <f>"1J6P-XYCT-DY1Y"</f>
        <v>1J6P-XYCT-DY1Y</v>
      </c>
      <c r="F76" t="str">
        <f>"Multiple Tickets"</f>
        <v>Multiple Tickets</v>
      </c>
      <c r="G76" s="4">
        <v>70.83</v>
      </c>
      <c r="H76" t="str">
        <f>"Folders"</f>
        <v>Folders</v>
      </c>
    </row>
    <row r="77" spans="1:8" x14ac:dyDescent="0.25">
      <c r="E77" t="str">
        <f>""</f>
        <v/>
      </c>
      <c r="F77" t="str">
        <f>""</f>
        <v/>
      </c>
      <c r="H77" t="str">
        <f>"Containers"</f>
        <v>Containers</v>
      </c>
    </row>
    <row r="78" spans="1:8" x14ac:dyDescent="0.25">
      <c r="E78" t="str">
        <f>"1QHK-KPTC-LKD7"</f>
        <v>1QHK-KPTC-LKD7</v>
      </c>
      <c r="F78" t="str">
        <f>"Cardigans"</f>
        <v>Cardigans</v>
      </c>
      <c r="G78" s="4">
        <v>154.94</v>
      </c>
      <c r="H78" t="str">
        <f>"Gray XL"</f>
        <v>Gray XL</v>
      </c>
    </row>
    <row r="79" spans="1:8" x14ac:dyDescent="0.25">
      <c r="E79" t="str">
        <f>""</f>
        <v/>
      </c>
      <c r="F79" t="str">
        <f>""</f>
        <v/>
      </c>
      <c r="H79" t="str">
        <f>"Black XXL"</f>
        <v>Black XXL</v>
      </c>
    </row>
    <row r="80" spans="1:8" x14ac:dyDescent="0.25">
      <c r="E80" t="str">
        <f>""</f>
        <v/>
      </c>
      <c r="F80" t="str">
        <f>""</f>
        <v/>
      </c>
      <c r="H80" t="str">
        <f>"Black M"</f>
        <v>Black M</v>
      </c>
    </row>
    <row r="81" spans="1:8" x14ac:dyDescent="0.25">
      <c r="E81" t="str">
        <f>""</f>
        <v/>
      </c>
      <c r="F81" t="str">
        <f>""</f>
        <v/>
      </c>
      <c r="H81" t="str">
        <f>"Black L"</f>
        <v>Black L</v>
      </c>
    </row>
    <row r="82" spans="1:8" x14ac:dyDescent="0.25">
      <c r="E82" t="str">
        <f>""</f>
        <v/>
      </c>
      <c r="F82" t="str">
        <f>""</f>
        <v/>
      </c>
      <c r="H82" t="str">
        <f>" Black  Large"</f>
        <v xml:space="preserve"> Black  Large</v>
      </c>
    </row>
    <row r="83" spans="1:8" x14ac:dyDescent="0.25">
      <c r="E83" t="str">
        <f>"IVMX-VL99-63QH"</f>
        <v>IVMX-VL99-63QH</v>
      </c>
      <c r="F83" t="str">
        <f>"Purell hand sanitizer"</f>
        <v>Purell hand sanitizer</v>
      </c>
      <c r="G83" s="4">
        <v>307.32</v>
      </c>
      <c r="H83" t="str">
        <f>"inv# 1VMX-VL99-63QH"</f>
        <v>inv# 1VMX-VL99-63QH</v>
      </c>
    </row>
    <row r="84" spans="1:8" x14ac:dyDescent="0.25">
      <c r="E84" t="str">
        <f>""</f>
        <v/>
      </c>
      <c r="F84" t="str">
        <f>""</f>
        <v/>
      </c>
      <c r="H84" t="str">
        <f>"CM# 16V7-C3L9-XF6P"</f>
        <v>CM# 16V7-C3L9-XF6P</v>
      </c>
    </row>
    <row r="85" spans="1:8" x14ac:dyDescent="0.25">
      <c r="A85" t="s">
        <v>23</v>
      </c>
      <c r="B85">
        <v>132590</v>
      </c>
      <c r="C85">
        <v>46.85</v>
      </c>
      <c r="D85" s="1">
        <v>44053</v>
      </c>
      <c r="E85" t="str">
        <f>"01-201307473"</f>
        <v>01-201307473</v>
      </c>
      <c r="F85" t="str">
        <f>"INV 01-201307473"</f>
        <v>INV 01-201307473</v>
      </c>
      <c r="G85" s="4">
        <v>46.85</v>
      </c>
      <c r="H85" t="str">
        <f>"INV 01-201307473"</f>
        <v>INV 01-201307473</v>
      </c>
    </row>
    <row r="86" spans="1:8" x14ac:dyDescent="0.25">
      <c r="A86" t="s">
        <v>24</v>
      </c>
      <c r="B86">
        <v>132591</v>
      </c>
      <c r="C86">
        <v>44.77</v>
      </c>
      <c r="D86" s="1">
        <v>44053</v>
      </c>
      <c r="E86" t="str">
        <f>"5386554"</f>
        <v>5386554</v>
      </c>
      <c r="F86" t="str">
        <f>"CUST ID:100074/PCT#4"</f>
        <v>CUST ID:100074/PCT#4</v>
      </c>
      <c r="G86" s="4">
        <v>15.99</v>
      </c>
      <c r="H86" t="str">
        <f>"CUST ID:100074/PCT#4"</f>
        <v>CUST ID:100074/PCT#4</v>
      </c>
    </row>
    <row r="87" spans="1:8" x14ac:dyDescent="0.25">
      <c r="E87" t="str">
        <f>"5386753"</f>
        <v>5386753</v>
      </c>
      <c r="F87" t="str">
        <f>"CUST ID:100074/PCT#4"</f>
        <v>CUST ID:100074/PCT#4</v>
      </c>
      <c r="G87" s="4">
        <v>15.99</v>
      </c>
      <c r="H87" t="str">
        <f>"CUST ID:100074/PCT#4"</f>
        <v>CUST ID:100074/PCT#4</v>
      </c>
    </row>
    <row r="88" spans="1:8" x14ac:dyDescent="0.25">
      <c r="E88" t="str">
        <f>"5386754"</f>
        <v>5386754</v>
      </c>
      <c r="F88" t="str">
        <f>"CUST ID:100074/PCT#4"</f>
        <v>CUST ID:100074/PCT#4</v>
      </c>
      <c r="G88" s="4">
        <v>12.79</v>
      </c>
      <c r="H88" t="str">
        <f>"CUST ID:100074/PCT#4"</f>
        <v>CUST ID:100074/PCT#4</v>
      </c>
    </row>
    <row r="89" spans="1:8" x14ac:dyDescent="0.25">
      <c r="A89" t="s">
        <v>24</v>
      </c>
      <c r="B89">
        <v>132727</v>
      </c>
      <c r="C89">
        <v>65</v>
      </c>
      <c r="D89" s="1">
        <v>44067</v>
      </c>
      <c r="E89" t="str">
        <f>"5388777"</f>
        <v>5388777</v>
      </c>
      <c r="F89" t="str">
        <f>"INV 5388777"</f>
        <v>INV 5388777</v>
      </c>
      <c r="G89" s="4">
        <v>65</v>
      </c>
      <c r="H89" t="str">
        <f>"INV 5388777"</f>
        <v>INV 5388777</v>
      </c>
    </row>
    <row r="90" spans="1:8" x14ac:dyDescent="0.25">
      <c r="A90" t="s">
        <v>25</v>
      </c>
      <c r="B90">
        <v>2983</v>
      </c>
      <c r="C90">
        <v>1567.5</v>
      </c>
      <c r="D90" s="1">
        <v>44054</v>
      </c>
      <c r="E90" t="str">
        <f>"202008058139"</f>
        <v>202008058139</v>
      </c>
      <c r="F90" t="str">
        <f>"19-19597"</f>
        <v>19-19597</v>
      </c>
      <c r="G90" s="4">
        <v>217.5</v>
      </c>
      <c r="H90" t="str">
        <f>"19-19597"</f>
        <v>19-19597</v>
      </c>
    </row>
    <row r="91" spans="1:8" x14ac:dyDescent="0.25">
      <c r="E91" t="str">
        <f>"202008058142"</f>
        <v>202008058142</v>
      </c>
      <c r="F91" t="str">
        <f>"20-20233"</f>
        <v>20-20233</v>
      </c>
      <c r="G91" s="4">
        <v>100</v>
      </c>
      <c r="H91" t="str">
        <f>"20-20233"</f>
        <v>20-20233</v>
      </c>
    </row>
    <row r="92" spans="1:8" x14ac:dyDescent="0.25">
      <c r="E92" t="str">
        <f>"202008058166"</f>
        <v>202008058166</v>
      </c>
      <c r="F92" t="str">
        <f>"02-0727-1"</f>
        <v>02-0727-1</v>
      </c>
      <c r="G92" s="4">
        <v>250</v>
      </c>
      <c r="H92" t="str">
        <f>"02-0727-1"</f>
        <v>02-0727-1</v>
      </c>
    </row>
    <row r="93" spans="1:8" x14ac:dyDescent="0.25">
      <c r="E93" t="str">
        <f>"202008058172"</f>
        <v>202008058172</v>
      </c>
      <c r="F93" t="str">
        <f>"02.0606.2"</f>
        <v>02.0606.2</v>
      </c>
      <c r="G93" s="4">
        <v>250</v>
      </c>
      <c r="H93" t="str">
        <f>"02.0606.2"</f>
        <v>02.0606.2</v>
      </c>
    </row>
    <row r="94" spans="1:8" x14ac:dyDescent="0.25">
      <c r="E94" t="str">
        <f>"202008058180"</f>
        <v>202008058180</v>
      </c>
      <c r="F94" t="str">
        <f>"57 350"</f>
        <v>57 350</v>
      </c>
      <c r="G94" s="4">
        <v>250</v>
      </c>
      <c r="H94" t="str">
        <f>"57 350"</f>
        <v>57 350</v>
      </c>
    </row>
    <row r="95" spans="1:8" x14ac:dyDescent="0.25">
      <c r="E95" t="str">
        <f>"202008058181"</f>
        <v>202008058181</v>
      </c>
      <c r="F95" t="str">
        <f>"57 304"</f>
        <v>57 304</v>
      </c>
      <c r="G95" s="4">
        <v>250</v>
      </c>
      <c r="H95" t="str">
        <f>"57 304"</f>
        <v>57 304</v>
      </c>
    </row>
    <row r="96" spans="1:8" x14ac:dyDescent="0.25">
      <c r="E96" t="str">
        <f>"202008058186"</f>
        <v>202008058186</v>
      </c>
      <c r="F96" t="str">
        <f>"02-0504-3"</f>
        <v>02-0504-3</v>
      </c>
      <c r="G96" s="4">
        <v>250</v>
      </c>
      <c r="H96" t="str">
        <f>"02-0504-3"</f>
        <v>02-0504-3</v>
      </c>
    </row>
    <row r="97" spans="1:8" x14ac:dyDescent="0.25">
      <c r="A97" t="s">
        <v>26</v>
      </c>
      <c r="B97">
        <v>132871</v>
      </c>
      <c r="C97">
        <v>939.2</v>
      </c>
      <c r="D97" s="1">
        <v>44074</v>
      </c>
      <c r="E97" t="str">
        <f>"202008318589"</f>
        <v>202008318589</v>
      </c>
      <c r="F97" t="str">
        <f>"HOTEL TAX REFUND JUNE 2020"</f>
        <v>HOTEL TAX REFUND JUNE 2020</v>
      </c>
      <c r="G97" s="4">
        <v>939.2</v>
      </c>
      <c r="H97" t="str">
        <f>"HOTEL TAX REFUND JUNE 2020"</f>
        <v>HOTEL TAX REFUND JUNE 2020</v>
      </c>
    </row>
    <row r="98" spans="1:8" x14ac:dyDescent="0.25">
      <c r="A98" t="s">
        <v>27</v>
      </c>
      <c r="B98">
        <v>132592</v>
      </c>
      <c r="C98">
        <v>129.25</v>
      </c>
      <c r="D98" s="1">
        <v>44053</v>
      </c>
      <c r="E98" t="str">
        <f>"2007-303737"</f>
        <v>2007-303737</v>
      </c>
      <c r="F98" t="str">
        <f>"ACCT#3-3053/PCT#2"</f>
        <v>ACCT#3-3053/PCT#2</v>
      </c>
      <c r="G98" s="4">
        <v>129.25</v>
      </c>
      <c r="H98" t="str">
        <f>"ACCT#3-3053/PCT#2"</f>
        <v>ACCT#3-3053/PCT#2</v>
      </c>
    </row>
    <row r="99" spans="1:8" x14ac:dyDescent="0.25">
      <c r="A99" t="s">
        <v>28</v>
      </c>
      <c r="B99">
        <v>132593</v>
      </c>
      <c r="C99">
        <v>1104.95</v>
      </c>
      <c r="D99" s="1">
        <v>44053</v>
      </c>
      <c r="E99" t="str">
        <f>"131652"</f>
        <v>131652</v>
      </c>
      <c r="F99" t="str">
        <f>"CUST#015510/PCT#1"</f>
        <v>CUST#015510/PCT#1</v>
      </c>
      <c r="G99" s="4">
        <v>470.99</v>
      </c>
      <c r="H99" t="str">
        <f>"CUST#015510/PCT#1"</f>
        <v>CUST#015510/PCT#1</v>
      </c>
    </row>
    <row r="100" spans="1:8" x14ac:dyDescent="0.25">
      <c r="E100" t="str">
        <f>"202008038060"</f>
        <v>202008038060</v>
      </c>
      <c r="F100" t="str">
        <f>"ACCT#010835/COMMISSIONER PCT#1"</f>
        <v>ACCT#010835/COMMISSIONER PCT#1</v>
      </c>
      <c r="G100" s="4">
        <v>9</v>
      </c>
      <c r="H100" t="str">
        <f>"ACCT#010835/COMMISSIONER PCT#1"</f>
        <v>ACCT#010835/COMMISSIONER PCT#1</v>
      </c>
    </row>
    <row r="101" spans="1:8" x14ac:dyDescent="0.25">
      <c r="E101" t="str">
        <f>"202008038062"</f>
        <v>202008038062</v>
      </c>
      <c r="F101" t="str">
        <f>"ACCT#010602/COMMISSIONER OFF"</f>
        <v>ACCT#010602/COMMISSIONER OFF</v>
      </c>
      <c r="G101" s="4">
        <v>3</v>
      </c>
      <c r="H101" t="str">
        <f>"ACCT#010602/COMMISSIONER OFF"</f>
        <v>ACCT#010602/COMMISSIONER OFF</v>
      </c>
    </row>
    <row r="102" spans="1:8" x14ac:dyDescent="0.25">
      <c r="E102" t="str">
        <f>"202008038063"</f>
        <v>202008038063</v>
      </c>
      <c r="F102" t="str">
        <f>"ACCT#011280/COUNTY CLERK"</f>
        <v>ACCT#011280/COUNTY CLERK</v>
      </c>
      <c r="G102" s="4">
        <v>46.5</v>
      </c>
      <c r="H102" t="str">
        <f>"ACCT#011280/COUNTY CLERK"</f>
        <v>ACCT#011280/COUNTY CLERK</v>
      </c>
    </row>
    <row r="103" spans="1:8" x14ac:dyDescent="0.25">
      <c r="E103" t="str">
        <f>"202008038064"</f>
        <v>202008038064</v>
      </c>
      <c r="F103" t="str">
        <f>"ACCT#010057/AUDITOR"</f>
        <v>ACCT#010057/AUDITOR</v>
      </c>
      <c r="G103" s="4">
        <v>9</v>
      </c>
      <c r="H103" t="str">
        <f>"ACCT#010057/AUDITOR"</f>
        <v>ACCT#010057/AUDITOR</v>
      </c>
    </row>
    <row r="104" spans="1:8" x14ac:dyDescent="0.25">
      <c r="E104" t="str">
        <f>"202008038066"</f>
        <v>202008038066</v>
      </c>
      <c r="F104" t="str">
        <f>"ACCT#014877/INDIGENT HEALTH"</f>
        <v>ACCT#014877/INDIGENT HEALTH</v>
      </c>
      <c r="G104" s="4">
        <v>34.49</v>
      </c>
      <c r="H104" t="str">
        <f>"ACCT#014877/INDIGENT HEALTH"</f>
        <v>ACCT#014877/INDIGENT HEALTH</v>
      </c>
    </row>
    <row r="105" spans="1:8" x14ac:dyDescent="0.25">
      <c r="E105" t="str">
        <f>"202008038067"</f>
        <v>202008038067</v>
      </c>
      <c r="F105" t="str">
        <f>"ACCT#013393/HUMAN RESOURCES"</f>
        <v>ACCT#013393/HUMAN RESOURCES</v>
      </c>
      <c r="G105" s="4">
        <v>32.5</v>
      </c>
      <c r="H105" t="str">
        <f>"ACCT#013393/HUMAN RESOURCES"</f>
        <v>ACCT#013393/HUMAN RESOURCES</v>
      </c>
    </row>
    <row r="106" spans="1:8" x14ac:dyDescent="0.25">
      <c r="E106" t="str">
        <f>"202008038068"</f>
        <v>202008038068</v>
      </c>
      <c r="F106" t="str">
        <f>"ACCT#010238/GENERAL SERVICES"</f>
        <v>ACCT#010238/GENERAL SERVICES</v>
      </c>
      <c r="G106" s="4">
        <v>73.489999999999995</v>
      </c>
      <c r="H106" t="str">
        <f>"ACCT#010238/GENERAL SERVICES"</f>
        <v>ACCT#010238/GENERAL SERVICES</v>
      </c>
    </row>
    <row r="107" spans="1:8" x14ac:dyDescent="0.25">
      <c r="E107" t="str">
        <f>"202008038069"</f>
        <v>202008038069</v>
      </c>
      <c r="F107" t="str">
        <f>"ACCT#012571/TREASURER"</f>
        <v>ACCT#012571/TREASURER</v>
      </c>
      <c r="G107" s="4">
        <v>9</v>
      </c>
      <c r="H107" t="str">
        <f>"ACCT#012571/TREASURER"</f>
        <v>ACCT#012571/TREASURER</v>
      </c>
    </row>
    <row r="108" spans="1:8" x14ac:dyDescent="0.25">
      <c r="E108" t="str">
        <f>"202008038070"</f>
        <v>202008038070</v>
      </c>
      <c r="F108" t="str">
        <f>"ACCT#015199/JP#1"</f>
        <v>ACCT#015199/JP#1</v>
      </c>
      <c r="G108" s="4">
        <v>44.99</v>
      </c>
      <c r="H108" t="str">
        <f>"ACCT#015199/JP#1"</f>
        <v>ACCT#015199/JP#1</v>
      </c>
    </row>
    <row r="109" spans="1:8" x14ac:dyDescent="0.25">
      <c r="E109" t="str">
        <f>"202008038071"</f>
        <v>202008038071</v>
      </c>
      <c r="F109" t="str">
        <f>"ACCT#014737/ANIMAL SERVICE"</f>
        <v>ACCT#014737/ANIMAL SERVICE</v>
      </c>
      <c r="G109" s="4">
        <v>115.99</v>
      </c>
      <c r="H109" t="str">
        <f>"ACCT#014737/ANIMAL SERVICE"</f>
        <v>ACCT#014737/ANIMAL SERVICE</v>
      </c>
    </row>
    <row r="110" spans="1:8" x14ac:dyDescent="0.25">
      <c r="E110" t="str">
        <f>"202008038074"</f>
        <v>202008038074</v>
      </c>
      <c r="F110" t="str">
        <f>"ACCT#012803/BASTROP CO JUDGE"</f>
        <v>ACCT#012803/BASTROP CO JUDGE</v>
      </c>
      <c r="G110" s="4">
        <v>9</v>
      </c>
      <c r="H110" t="str">
        <f>"ACCT#012803/BASTROP CO JUDGE"</f>
        <v>ACCT#012803/BASTROP CO JUDGE</v>
      </c>
    </row>
    <row r="111" spans="1:8" x14ac:dyDescent="0.25">
      <c r="E111" t="str">
        <f>"202008038075"</f>
        <v>202008038075</v>
      </c>
      <c r="F111" t="str">
        <f>"ACCT#011955/DISTRICT JUDGE"</f>
        <v>ACCT#011955/DISTRICT JUDGE</v>
      </c>
      <c r="G111" s="4">
        <v>85.5</v>
      </c>
      <c r="H111" t="str">
        <f>"ACCT#011955/DISTRICT JUDGE"</f>
        <v>ACCT#011955/DISTRICT JUDGE</v>
      </c>
    </row>
    <row r="112" spans="1:8" x14ac:dyDescent="0.25">
      <c r="E112" t="str">
        <f>"202008038076"</f>
        <v>202008038076</v>
      </c>
      <c r="F112" t="str">
        <f>"ACCT#012231/DIST JUDGE OFFICE"</f>
        <v>ACCT#012231/DIST JUDGE OFFICE</v>
      </c>
      <c r="G112" s="4">
        <v>10</v>
      </c>
      <c r="H112" t="str">
        <f>"ACCT#012231/DIST JUDGE OFFICE"</f>
        <v>ACCT#012231/DIST JUDGE OFFICE</v>
      </c>
    </row>
    <row r="113" spans="1:8" x14ac:dyDescent="0.25">
      <c r="E113" t="str">
        <f>"202008038077"</f>
        <v>202008038077</v>
      </c>
      <c r="F113" t="str">
        <f>"ACCT#011033/IT DEPT."</f>
        <v>ACCT#011033/IT DEPT.</v>
      </c>
      <c r="G113" s="4">
        <v>91.5</v>
      </c>
      <c r="H113" t="str">
        <f>"ACCT#011033/IT DEPT."</f>
        <v>ACCT#011033/IT DEPT.</v>
      </c>
    </row>
    <row r="114" spans="1:8" x14ac:dyDescent="0.25">
      <c r="E114" t="str">
        <f>"202008048082"</f>
        <v>202008048082</v>
      </c>
      <c r="F114" t="str">
        <f>"ACCT#010311/COUNTY CT AT LAW"</f>
        <v>ACCT#010311/COUNTY CT AT LAW</v>
      </c>
      <c r="G114" s="4">
        <v>60</v>
      </c>
      <c r="H114" t="str">
        <f>"ACCT#010311/COUNTY CT AT LAW"</f>
        <v>ACCT#010311/COUNTY CT AT LAW</v>
      </c>
    </row>
    <row r="115" spans="1:8" x14ac:dyDescent="0.25">
      <c r="A115" t="s">
        <v>28</v>
      </c>
      <c r="B115">
        <v>132728</v>
      </c>
      <c r="C115">
        <v>8</v>
      </c>
      <c r="D115" s="1">
        <v>44067</v>
      </c>
      <c r="E115" t="str">
        <f>"238579"</f>
        <v>238579</v>
      </c>
      <c r="F115" t="str">
        <f>"CUST#015510/PCT#1"</f>
        <v>CUST#015510/PCT#1</v>
      </c>
      <c r="G115" s="4">
        <v>8</v>
      </c>
      <c r="H115" t="str">
        <f>"CUST#015510/PCT#1"</f>
        <v>CUST#015510/PCT#1</v>
      </c>
    </row>
    <row r="116" spans="1:8" x14ac:dyDescent="0.25">
      <c r="A116" t="s">
        <v>29</v>
      </c>
      <c r="B116">
        <v>132578</v>
      </c>
      <c r="C116">
        <v>57.52</v>
      </c>
      <c r="D116" s="1">
        <v>44049</v>
      </c>
      <c r="E116" t="str">
        <f>"202008058201"</f>
        <v>202008058201</v>
      </c>
      <c r="F116" t="str">
        <f>"ACCT#0201855301 / 08052020"</f>
        <v>ACCT#0201855301 / 08052020</v>
      </c>
      <c r="G116" s="4">
        <v>32.24</v>
      </c>
      <c r="H116" t="str">
        <f>"ACCT#0201855301 / 08052020"</f>
        <v>ACCT#0201855301 / 08052020</v>
      </c>
    </row>
    <row r="117" spans="1:8" x14ac:dyDescent="0.25">
      <c r="E117" t="str">
        <f>"202008058202"</f>
        <v>202008058202</v>
      </c>
      <c r="F117" t="str">
        <f>"ACCT#0201891401 / 08052020"</f>
        <v>ACCT#0201891401 / 08052020</v>
      </c>
      <c r="G117" s="4">
        <v>25.28</v>
      </c>
      <c r="H117" t="str">
        <f>"ACCT#0201891401 / 08052020"</f>
        <v>ACCT#0201891401 / 08052020</v>
      </c>
    </row>
    <row r="118" spans="1:8" x14ac:dyDescent="0.25">
      <c r="A118" t="s">
        <v>29</v>
      </c>
      <c r="B118">
        <v>132720</v>
      </c>
      <c r="C118">
        <v>1725.35</v>
      </c>
      <c r="D118" s="1">
        <v>44063</v>
      </c>
      <c r="E118" t="str">
        <f>"202008198454"</f>
        <v>202008198454</v>
      </c>
      <c r="F118" t="str">
        <f>"ACCT#0102120801 / 08202020"</f>
        <v>ACCT#0102120801 / 08202020</v>
      </c>
      <c r="G118" s="4">
        <v>727.8</v>
      </c>
      <c r="H118" t="str">
        <f>"ACCT#0102120801 / 08202020"</f>
        <v>ACCT#0102120801 / 08202020</v>
      </c>
    </row>
    <row r="119" spans="1:8" x14ac:dyDescent="0.25">
      <c r="E119" t="str">
        <f>"202008198455"</f>
        <v>202008198455</v>
      </c>
      <c r="F119" t="str">
        <f>"ACCT#0400785803 / 08202020"</f>
        <v>ACCT#0400785803 / 08202020</v>
      </c>
      <c r="G119" s="4">
        <v>191.08</v>
      </c>
      <c r="H119" t="str">
        <f>"ACCT#0400785803 / 08202020"</f>
        <v>ACCT#0400785803 / 08202020</v>
      </c>
    </row>
    <row r="120" spans="1:8" x14ac:dyDescent="0.25">
      <c r="E120" t="str">
        <f>"202008198456"</f>
        <v>202008198456</v>
      </c>
      <c r="F120" t="str">
        <f>"ACCT#0401408501 / 08202020"</f>
        <v>ACCT#0401408501 / 08202020</v>
      </c>
      <c r="G120" s="4">
        <v>735.8</v>
      </c>
      <c r="H120" t="str">
        <f>"ACCT#0401408501 / 08202020"</f>
        <v>ACCT#0401408501 / 08202020</v>
      </c>
    </row>
    <row r="121" spans="1:8" x14ac:dyDescent="0.25">
      <c r="E121" t="str">
        <f>"202008198457"</f>
        <v>202008198457</v>
      </c>
      <c r="F121" t="str">
        <f>"ACCT#0800042801 / 08202020"</f>
        <v>ACCT#0800042801 / 08202020</v>
      </c>
      <c r="G121" s="4">
        <v>44.62</v>
      </c>
      <c r="H121" t="str">
        <f>"ACCT#0800042801 / 08202020"</f>
        <v>ACCT#0800042801 / 08202020</v>
      </c>
    </row>
    <row r="122" spans="1:8" x14ac:dyDescent="0.25">
      <c r="E122" t="str">
        <f>"202008198458"</f>
        <v>202008198458</v>
      </c>
      <c r="F122" t="str">
        <f>"ACCT#0802361501 / 08202020"</f>
        <v>ACCT#0802361501 / 08202020</v>
      </c>
      <c r="G122" s="4">
        <v>26.05</v>
      </c>
      <c r="H122" t="str">
        <f>"ACCT#0802361501 / 08202020"</f>
        <v>ACCT#0802361501 / 08202020</v>
      </c>
    </row>
    <row r="123" spans="1:8" x14ac:dyDescent="0.25">
      <c r="A123" t="s">
        <v>29</v>
      </c>
      <c r="B123">
        <v>132729</v>
      </c>
      <c r="C123">
        <v>1095.21</v>
      </c>
      <c r="D123" s="1">
        <v>44067</v>
      </c>
      <c r="E123" t="str">
        <f>"202008128321"</f>
        <v>202008128321</v>
      </c>
      <c r="F123" t="str">
        <f>"ACCT#7700010019/GENERAL SVCS"</f>
        <v>ACCT#7700010019/GENERAL SVCS</v>
      </c>
      <c r="G123" s="4">
        <v>29.21</v>
      </c>
      <c r="H123" t="str">
        <f>"ACCT#7700010019/GENERAL SVCS"</f>
        <v>ACCT#7700010019/GENERAL SVCS</v>
      </c>
    </row>
    <row r="124" spans="1:8" x14ac:dyDescent="0.25">
      <c r="E124" t="str">
        <f>"202008128329"</f>
        <v>202008128329</v>
      </c>
      <c r="F124" t="str">
        <f>"ACCT#7700010025/38 LDS WTR/P2"</f>
        <v>ACCT#7700010025/38 LDS WTR/P2</v>
      </c>
      <c r="G124" s="4">
        <v>389.5</v>
      </c>
      <c r="H124" t="str">
        <f>"ACCT#7700010025/38 LDS WTR/P2"</f>
        <v>ACCT#7700010025/38 LDS WTR/P2</v>
      </c>
    </row>
    <row r="125" spans="1:8" x14ac:dyDescent="0.25">
      <c r="E125" t="str">
        <f>"202008128331"</f>
        <v>202008128331</v>
      </c>
      <c r="F125" t="str">
        <f>"ACCT#7700010026/31 LDS/PCT#3"</f>
        <v>ACCT#7700010026/31 LDS/PCT#3</v>
      </c>
      <c r="G125" s="4">
        <v>317.75</v>
      </c>
      <c r="H125" t="str">
        <f>"ACCT#7700010026/31 LDS/PCT#3"</f>
        <v>ACCT#7700010026/31 LDS/PCT#3</v>
      </c>
    </row>
    <row r="126" spans="1:8" x14ac:dyDescent="0.25">
      <c r="E126" t="str">
        <f>"202008128333"</f>
        <v>202008128333</v>
      </c>
      <c r="F126" t="str">
        <f>"ACCT#7700010027/35 LDS/PCT#4"</f>
        <v>ACCT#7700010027/35 LDS/PCT#4</v>
      </c>
      <c r="G126" s="4">
        <v>358.75</v>
      </c>
      <c r="H126" t="str">
        <f>"ACCT#7700010027/35 LDS/PCT#4"</f>
        <v>ACCT#7700010027/35 LDS/PCT#4</v>
      </c>
    </row>
    <row r="127" spans="1:8" x14ac:dyDescent="0.25">
      <c r="A127" t="s">
        <v>30</v>
      </c>
      <c r="B127">
        <v>132594</v>
      </c>
      <c r="C127">
        <v>497.83</v>
      </c>
      <c r="D127" s="1">
        <v>44053</v>
      </c>
      <c r="E127" t="str">
        <f>"202008048087"</f>
        <v>202008048087</v>
      </c>
      <c r="F127" t="str">
        <f>"REIMBURSE-STORAGE&amp;FILING DESK"</f>
        <v>REIMBURSE-STORAGE&amp;FILING DESK</v>
      </c>
      <c r="G127" s="4">
        <v>497.83</v>
      </c>
      <c r="H127" t="str">
        <f>"REIMBURSE-STORAGE&amp;FILING DESK"</f>
        <v>REIMBURSE-STORAGE&amp;FILING DESK</v>
      </c>
    </row>
    <row r="128" spans="1:8" x14ac:dyDescent="0.25">
      <c r="A128" t="s">
        <v>31</v>
      </c>
      <c r="B128">
        <v>132595</v>
      </c>
      <c r="C128">
        <v>1085.28</v>
      </c>
      <c r="D128" s="1">
        <v>44053</v>
      </c>
      <c r="E128" t="str">
        <f>"632420"</f>
        <v>632420</v>
      </c>
      <c r="F128" t="str">
        <f>"ASPHALT PATCH/PCT#3"</f>
        <v>ASPHALT PATCH/PCT#3</v>
      </c>
      <c r="G128" s="4">
        <v>1085.28</v>
      </c>
      <c r="H128" t="str">
        <f>"ASPHALT PATCH/PCT#3"</f>
        <v>ASPHALT PATCH/PCT#3</v>
      </c>
    </row>
    <row r="129" spans="1:8" x14ac:dyDescent="0.25">
      <c r="A129" t="s">
        <v>32</v>
      </c>
      <c r="B129">
        <v>132596</v>
      </c>
      <c r="C129">
        <v>6759.65</v>
      </c>
      <c r="D129" s="1">
        <v>44053</v>
      </c>
      <c r="E129" t="str">
        <f>"202007308049"</f>
        <v>202007308049</v>
      </c>
      <c r="F129" t="str">
        <f>"ACCT#512 308-9870 530 7"</f>
        <v>ACCT#512 308-9870 530 7</v>
      </c>
      <c r="G129" s="4">
        <v>627.42999999999995</v>
      </c>
      <c r="H129" t="str">
        <f>"ACCT#512 308-9870 530 7"</f>
        <v>ACCT#512 308-9870 530 7</v>
      </c>
    </row>
    <row r="130" spans="1:8" x14ac:dyDescent="0.25">
      <c r="E130" t="str">
        <f>"202007308054"</f>
        <v>202007308054</v>
      </c>
      <c r="F130" t="str">
        <f>"ACCT#512A49-0048 193 3"</f>
        <v>ACCT#512A49-0048 193 3</v>
      </c>
      <c r="G130" s="4">
        <v>6132.22</v>
      </c>
      <c r="H130" t="str">
        <f>"ACCT#512A49-0048 193 3"</f>
        <v>ACCT#512A49-0048 193 3</v>
      </c>
    </row>
    <row r="131" spans="1:8" x14ac:dyDescent="0.25">
      <c r="E131" t="str">
        <f>""</f>
        <v/>
      </c>
      <c r="F131" t="str">
        <f>""</f>
        <v/>
      </c>
      <c r="H131" t="str">
        <f>"ACCT#512A49-0048 193 3"</f>
        <v>ACCT#512A49-0048 193 3</v>
      </c>
    </row>
    <row r="132" spans="1:8" x14ac:dyDescent="0.25">
      <c r="E132" t="str">
        <f>""</f>
        <v/>
      </c>
      <c r="F132" t="str">
        <f>""</f>
        <v/>
      </c>
      <c r="H132" t="str">
        <f>"ACCT#512A49-0048 193 3"</f>
        <v>ACCT#512A49-0048 193 3</v>
      </c>
    </row>
    <row r="133" spans="1:8" x14ac:dyDescent="0.25">
      <c r="E133" t="str">
        <f>""</f>
        <v/>
      </c>
      <c r="F133" t="str">
        <f>""</f>
        <v/>
      </c>
      <c r="H133" t="str">
        <f>"ACCT#512A49-0048 193 3"</f>
        <v>ACCT#512A49-0048 193 3</v>
      </c>
    </row>
    <row r="134" spans="1:8" x14ac:dyDescent="0.25">
      <c r="A134" t="s">
        <v>32</v>
      </c>
      <c r="B134">
        <v>132597</v>
      </c>
      <c r="C134">
        <v>5101.17</v>
      </c>
      <c r="D134" s="1">
        <v>44053</v>
      </c>
      <c r="E134" t="str">
        <f>"4117666507"</f>
        <v>4117666507</v>
      </c>
      <c r="F134" t="str">
        <f>"ACCT#831-000-7919 623"</f>
        <v>ACCT#831-000-7919 623</v>
      </c>
      <c r="G134" s="4">
        <v>2539.17</v>
      </c>
      <c r="H134" t="str">
        <f>"ACCT#831-000-7919 623"</f>
        <v>ACCT#831-000-7919 623</v>
      </c>
    </row>
    <row r="135" spans="1:8" x14ac:dyDescent="0.25">
      <c r="E135" t="str">
        <f>"5150516501"</f>
        <v>5150516501</v>
      </c>
      <c r="F135" t="str">
        <f>"ACCT#831-000-7218 923"</f>
        <v>ACCT#831-000-7218 923</v>
      </c>
      <c r="G135" s="4">
        <v>877.31</v>
      </c>
      <c r="H135" t="str">
        <f>"ACCT#831-000-7218 923"</f>
        <v>ACCT#831-000-7218 923</v>
      </c>
    </row>
    <row r="136" spans="1:8" x14ac:dyDescent="0.25">
      <c r="E136" t="str">
        <f>"6069926500"</f>
        <v>6069926500</v>
      </c>
      <c r="F136" t="str">
        <f>"ACCT#831-000-6084 095"</f>
        <v>ACCT#831-000-6084 095</v>
      </c>
      <c r="G136" s="4">
        <v>1684.69</v>
      </c>
      <c r="H136" t="str">
        <f>"ACCT#831-000-6084 095"</f>
        <v>ACCT#831-000-6084 095</v>
      </c>
    </row>
    <row r="137" spans="1:8" x14ac:dyDescent="0.25">
      <c r="A137" t="s">
        <v>32</v>
      </c>
      <c r="B137">
        <v>132730</v>
      </c>
      <c r="C137">
        <v>1821.17</v>
      </c>
      <c r="D137" s="1">
        <v>44067</v>
      </c>
      <c r="E137" t="str">
        <f>"202008188421"</f>
        <v>202008188421</v>
      </c>
      <c r="F137" t="str">
        <f>"512 303-1080 238 5"</f>
        <v>512 303-1080 238 5</v>
      </c>
      <c r="G137" s="4">
        <v>1821.17</v>
      </c>
      <c r="H137" t="str">
        <f>"512 303-1080 (LE)"</f>
        <v>512 303-1080 (LE)</v>
      </c>
    </row>
    <row r="138" spans="1:8" x14ac:dyDescent="0.25">
      <c r="E138" t="str">
        <f>""</f>
        <v/>
      </c>
      <c r="F138" t="str">
        <f>""</f>
        <v/>
      </c>
      <c r="H138" t="str">
        <f>"512 303-1080 (JAIL)"</f>
        <v>512 303-1080 (JAIL)</v>
      </c>
    </row>
    <row r="139" spans="1:8" x14ac:dyDescent="0.25">
      <c r="A139" t="s">
        <v>33</v>
      </c>
      <c r="B139">
        <v>132598</v>
      </c>
      <c r="C139">
        <v>3703.24</v>
      </c>
      <c r="D139" s="1">
        <v>44053</v>
      </c>
      <c r="E139" t="str">
        <f>"290524359X07272020"</f>
        <v>290524359X07272020</v>
      </c>
      <c r="F139" t="str">
        <f>"ACCT#287290524359/FAN#58143538"</f>
        <v>ACCT#287290524359/FAN#58143538</v>
      </c>
      <c r="G139" s="4">
        <v>3703.24</v>
      </c>
      <c r="H139" t="str">
        <f t="shared" ref="H139:H145" si="2">"ACCT#287290524359/FAN#58143538"</f>
        <v>ACCT#287290524359/FAN#58143538</v>
      </c>
    </row>
    <row r="140" spans="1:8" x14ac:dyDescent="0.25">
      <c r="E140" t="str">
        <f>""</f>
        <v/>
      </c>
      <c r="F140" t="str">
        <f>""</f>
        <v/>
      </c>
      <c r="H140" t="str">
        <f t="shared" si="2"/>
        <v>ACCT#287290524359/FAN#58143538</v>
      </c>
    </row>
    <row r="141" spans="1:8" x14ac:dyDescent="0.25">
      <c r="E141" t="str">
        <f>""</f>
        <v/>
      </c>
      <c r="F141" t="str">
        <f>""</f>
        <v/>
      </c>
      <c r="H141" t="str">
        <f t="shared" si="2"/>
        <v>ACCT#287290524359/FAN#58143538</v>
      </c>
    </row>
    <row r="142" spans="1:8" x14ac:dyDescent="0.25">
      <c r="E142" t="str">
        <f>""</f>
        <v/>
      </c>
      <c r="F142" t="str">
        <f>""</f>
        <v/>
      </c>
      <c r="H142" t="str">
        <f t="shared" si="2"/>
        <v>ACCT#287290524359/FAN#58143538</v>
      </c>
    </row>
    <row r="143" spans="1:8" x14ac:dyDescent="0.25">
      <c r="E143" t="str">
        <f>""</f>
        <v/>
      </c>
      <c r="F143" t="str">
        <f>""</f>
        <v/>
      </c>
      <c r="H143" t="str">
        <f t="shared" si="2"/>
        <v>ACCT#287290524359/FAN#58143538</v>
      </c>
    </row>
    <row r="144" spans="1:8" x14ac:dyDescent="0.25">
      <c r="E144" t="str">
        <f>""</f>
        <v/>
      </c>
      <c r="F144" t="str">
        <f>""</f>
        <v/>
      </c>
      <c r="H144" t="str">
        <f t="shared" si="2"/>
        <v>ACCT#287290524359/FAN#58143538</v>
      </c>
    </row>
    <row r="145" spans="1:8" x14ac:dyDescent="0.25">
      <c r="E145" t="str">
        <f>""</f>
        <v/>
      </c>
      <c r="F145" t="str">
        <f>""</f>
        <v/>
      </c>
      <c r="H145" t="str">
        <f t="shared" si="2"/>
        <v>ACCT#287290524359/FAN#58143538</v>
      </c>
    </row>
    <row r="146" spans="1:8" x14ac:dyDescent="0.25">
      <c r="A146" t="s">
        <v>34</v>
      </c>
      <c r="B146">
        <v>2962</v>
      </c>
      <c r="C146">
        <v>323.27999999999997</v>
      </c>
      <c r="D146" s="1">
        <v>44054</v>
      </c>
      <c r="E146" t="str">
        <f>"2085"</f>
        <v>2085</v>
      </c>
      <c r="F146" t="str">
        <f>"HOSE ASSEMBLY/PCT#4"</f>
        <v>HOSE ASSEMBLY/PCT#4</v>
      </c>
      <c r="G146" s="4">
        <v>323.27999999999997</v>
      </c>
      <c r="H146" t="str">
        <f>"HOSE ASSEMBLY/PCT#4"</f>
        <v>HOSE ASSEMBLY/PCT#4</v>
      </c>
    </row>
    <row r="147" spans="1:8" x14ac:dyDescent="0.25">
      <c r="A147" t="s">
        <v>35</v>
      </c>
      <c r="B147">
        <v>132599</v>
      </c>
      <c r="C147">
        <v>787.23</v>
      </c>
      <c r="D147" s="1">
        <v>44053</v>
      </c>
      <c r="E147" t="str">
        <f>"I00575038-06132020"</f>
        <v>I00575038-06132020</v>
      </c>
      <c r="F147" t="str">
        <f>"Ad# 575035 &amp; 575038"</f>
        <v>Ad# 575035 &amp; 575038</v>
      </c>
      <c r="G147" s="4">
        <v>288.77</v>
      </c>
      <c r="H147" t="str">
        <f>"Ad# 575035"</f>
        <v>Ad# 575035</v>
      </c>
    </row>
    <row r="148" spans="1:8" x14ac:dyDescent="0.25">
      <c r="E148" t="str">
        <f>""</f>
        <v/>
      </c>
      <c r="F148" t="str">
        <f>""</f>
        <v/>
      </c>
      <c r="H148" t="str">
        <f>"Ad# 575038"</f>
        <v>Ad# 575038</v>
      </c>
    </row>
    <row r="149" spans="1:8" x14ac:dyDescent="0.25">
      <c r="E149" t="str">
        <f>"I00575050-06272020"</f>
        <v>I00575050-06272020</v>
      </c>
      <c r="F149" t="str">
        <f>"GATEHOUSE MEDIA TEXAS HOLDINGS"</f>
        <v>GATEHOUSE MEDIA TEXAS HOLDINGS</v>
      </c>
      <c r="G149" s="4">
        <v>498.46</v>
      </c>
      <c r="H149" t="str">
        <f>"Polling Places Ad"</f>
        <v>Polling Places Ad</v>
      </c>
    </row>
    <row r="150" spans="1:8" x14ac:dyDescent="0.25">
      <c r="A150" t="s">
        <v>36</v>
      </c>
      <c r="B150">
        <v>132731</v>
      </c>
      <c r="C150">
        <v>91.64</v>
      </c>
      <c r="D150" s="1">
        <v>44067</v>
      </c>
      <c r="E150" t="str">
        <f>"202008178375"</f>
        <v>202008178375</v>
      </c>
      <c r="F150" t="str">
        <f>"INDIGENT HEALTH"</f>
        <v>INDIGENT HEALTH</v>
      </c>
      <c r="G150" s="4">
        <v>91.64</v>
      </c>
      <c r="H150" t="str">
        <f>"INDIGENT HEALTH"</f>
        <v>INDIGENT HEALTH</v>
      </c>
    </row>
    <row r="151" spans="1:8" x14ac:dyDescent="0.25">
      <c r="A151" t="s">
        <v>37</v>
      </c>
      <c r="B151">
        <v>132732</v>
      </c>
      <c r="C151">
        <v>85.27</v>
      </c>
      <c r="D151" s="1">
        <v>44067</v>
      </c>
      <c r="E151" t="str">
        <f>"202008178376"</f>
        <v>202008178376</v>
      </c>
      <c r="F151" t="str">
        <f>"INDIGENT HEALTH"</f>
        <v>INDIGENT HEALTH</v>
      </c>
      <c r="G151" s="4">
        <v>85.27</v>
      </c>
      <c r="H151" t="str">
        <f>"INDIGENT HEALTH"</f>
        <v>INDIGENT HEALTH</v>
      </c>
    </row>
    <row r="152" spans="1:8" x14ac:dyDescent="0.25">
      <c r="A152" t="s">
        <v>38</v>
      </c>
      <c r="B152">
        <v>3012</v>
      </c>
      <c r="C152">
        <v>1209.58</v>
      </c>
      <c r="D152" s="1">
        <v>44068</v>
      </c>
      <c r="E152" t="str">
        <f>"202008128312"</f>
        <v>202008128312</v>
      </c>
      <c r="F152" t="str">
        <f>"TRANSCRIPTION SERVICES"</f>
        <v>TRANSCRIPTION SERVICES</v>
      </c>
      <c r="G152" s="4">
        <v>1209.58</v>
      </c>
      <c r="H152" t="str">
        <f>"TRANSCRIPTION SERVICES"</f>
        <v>TRANSCRIPTION SERVICES</v>
      </c>
    </row>
    <row r="153" spans="1:8" x14ac:dyDescent="0.25">
      <c r="A153" t="s">
        <v>39</v>
      </c>
      <c r="B153">
        <v>132733</v>
      </c>
      <c r="C153">
        <v>185</v>
      </c>
      <c r="D153" s="1">
        <v>44067</v>
      </c>
      <c r="E153" t="str">
        <f>"202008188425"</f>
        <v>202008188425</v>
      </c>
      <c r="F153" t="str">
        <f>"PER DIEM"</f>
        <v>PER DIEM</v>
      </c>
      <c r="G153" s="4">
        <v>185</v>
      </c>
      <c r="H153" t="str">
        <f>"PER DIEM"</f>
        <v>PER DIEM</v>
      </c>
    </row>
    <row r="154" spans="1:8" x14ac:dyDescent="0.25">
      <c r="A154" t="s">
        <v>40</v>
      </c>
      <c r="B154">
        <v>2965</v>
      </c>
      <c r="C154">
        <v>319.5</v>
      </c>
      <c r="D154" s="1">
        <v>44054</v>
      </c>
      <c r="E154" t="str">
        <f>"202008038079"</f>
        <v>202008038079</v>
      </c>
      <c r="F154" t="str">
        <f>"CUST ID:0009/PCT#1"</f>
        <v>CUST ID:0009/PCT#1</v>
      </c>
      <c r="G154" s="4">
        <v>58</v>
      </c>
      <c r="H154" t="str">
        <f>"CUST ID:0009/PCT#1"</f>
        <v>CUST ID:0009/PCT#1</v>
      </c>
    </row>
    <row r="155" spans="1:8" x14ac:dyDescent="0.25">
      <c r="E155" t="str">
        <f>"202008038080"</f>
        <v>202008038080</v>
      </c>
      <c r="F155" t="str">
        <f>"CUST ID:0010/PCT#2"</f>
        <v>CUST ID:0010/PCT#2</v>
      </c>
      <c r="G155" s="4">
        <v>38</v>
      </c>
      <c r="H155" t="str">
        <f>"CUST ID:0010/PCT#2"</f>
        <v>CUST ID:0010/PCT#2</v>
      </c>
    </row>
    <row r="156" spans="1:8" x14ac:dyDescent="0.25">
      <c r="E156" t="str">
        <f>"202008048090"</f>
        <v>202008048090</v>
      </c>
      <c r="F156" t="str">
        <f>"CUST ID:0011/PCT#3"</f>
        <v>CUST ID:0011/PCT#3</v>
      </c>
      <c r="G156" s="4">
        <v>223.5</v>
      </c>
      <c r="H156" t="str">
        <f>"CUST ID:0011/PCT#3"</f>
        <v>CUST ID:0011/PCT#3</v>
      </c>
    </row>
    <row r="157" spans="1:8" x14ac:dyDescent="0.25">
      <c r="A157" t="s">
        <v>41</v>
      </c>
      <c r="B157">
        <v>2937</v>
      </c>
      <c r="C157">
        <v>2100</v>
      </c>
      <c r="D157" s="1">
        <v>44054</v>
      </c>
      <c r="E157" t="str">
        <f>"1601"</f>
        <v>1601</v>
      </c>
      <c r="F157" t="str">
        <f>"INSTALLED NEW RIBBON CURB/P1"</f>
        <v>INSTALLED NEW RIBBON CURB/P1</v>
      </c>
      <c r="G157" s="4">
        <v>2100</v>
      </c>
      <c r="H157" t="str">
        <f>"INSTALLED NEW RIBBON CURB/P1"</f>
        <v>INSTALLED NEW RIBBON CURB/P1</v>
      </c>
    </row>
    <row r="158" spans="1:8" x14ac:dyDescent="0.25">
      <c r="A158" t="s">
        <v>41</v>
      </c>
      <c r="B158">
        <v>3007</v>
      </c>
      <c r="C158">
        <v>5900</v>
      </c>
      <c r="D158" s="1">
        <v>44068</v>
      </c>
      <c r="E158" t="str">
        <f>"1602"</f>
        <v>1602</v>
      </c>
      <c r="F158" t="str">
        <f>"REMOVED TREES/PCT#1"</f>
        <v>REMOVED TREES/PCT#1</v>
      </c>
      <c r="G158" s="4">
        <v>1800</v>
      </c>
      <c r="H158" t="str">
        <f>"REMOVED TREES/PCT#1"</f>
        <v>REMOVED TREES/PCT#1</v>
      </c>
    </row>
    <row r="159" spans="1:8" x14ac:dyDescent="0.25">
      <c r="E159" t="str">
        <f>"1603"</f>
        <v>1603</v>
      </c>
      <c r="F159" t="str">
        <f>"REMOVED TREES/HAUL OFF/PCT#2"</f>
        <v>REMOVED TREES/HAUL OFF/PCT#2</v>
      </c>
      <c r="G159" s="4">
        <v>1650</v>
      </c>
      <c r="H159" t="str">
        <f>"REMOVED TREES/HAUL OFF/PCT#2"</f>
        <v>REMOVED TREES/HAUL OFF/PCT#2</v>
      </c>
    </row>
    <row r="160" spans="1:8" x14ac:dyDescent="0.25">
      <c r="E160" t="str">
        <f>"1604"</f>
        <v>1604</v>
      </c>
      <c r="F160" t="str">
        <f>"REMOVED OAK TREES/PCT#2"</f>
        <v>REMOVED OAK TREES/PCT#2</v>
      </c>
      <c r="G160" s="4">
        <v>2450</v>
      </c>
      <c r="H160" t="str">
        <f>"REMOVED OAK TREES/PCT#2"</f>
        <v>REMOVED OAK TREES/PCT#2</v>
      </c>
    </row>
    <row r="161" spans="1:8" x14ac:dyDescent="0.25">
      <c r="A161" t="s">
        <v>42</v>
      </c>
      <c r="B161">
        <v>132734</v>
      </c>
      <c r="C161">
        <v>105</v>
      </c>
      <c r="D161" s="1">
        <v>44067</v>
      </c>
      <c r="E161" t="str">
        <f>"202008128303"</f>
        <v>202008128303</v>
      </c>
      <c r="F161" t="str">
        <f>"REIMBURSE BAIL BOND COUPONS"</f>
        <v>REIMBURSE BAIL BOND COUPONS</v>
      </c>
      <c r="G161" s="4">
        <v>105</v>
      </c>
      <c r="H161" t="str">
        <f>"REIMBURSE BAIL BOND COUPONS"</f>
        <v>REIMBURSE BAIL BOND COUPONS</v>
      </c>
    </row>
    <row r="162" spans="1:8" x14ac:dyDescent="0.25">
      <c r="A162" t="s">
        <v>43</v>
      </c>
      <c r="B162">
        <v>132735</v>
      </c>
      <c r="C162">
        <v>153985</v>
      </c>
      <c r="D162" s="1">
        <v>44067</v>
      </c>
      <c r="E162" t="str">
        <f>"202008178397"</f>
        <v>202008178397</v>
      </c>
      <c r="F162" t="str">
        <f>"LOCAL SUPPORT 4TH QTR OCT-DEC"</f>
        <v>LOCAL SUPPORT 4TH QTR OCT-DEC</v>
      </c>
      <c r="G162" s="4">
        <v>153985</v>
      </c>
      <c r="H162" t="str">
        <f>"LOCAL SUPPORT 4TH QTR OCT-DEC"</f>
        <v>LOCAL SUPPORT 4TH QTR OCT-DEC</v>
      </c>
    </row>
    <row r="163" spans="1:8" x14ac:dyDescent="0.25">
      <c r="A163" t="s">
        <v>44</v>
      </c>
      <c r="B163">
        <v>132600</v>
      </c>
      <c r="C163">
        <v>1868.32</v>
      </c>
      <c r="D163" s="1">
        <v>44053</v>
      </c>
      <c r="E163" t="s">
        <v>45</v>
      </c>
      <c r="F163" t="str">
        <f>"SERVICE"</f>
        <v>SERVICE</v>
      </c>
      <c r="G163" s="4">
        <v>18</v>
      </c>
      <c r="H163" t="str">
        <f>"SERVICE"</f>
        <v>SERVICE</v>
      </c>
    </row>
    <row r="164" spans="1:8" x14ac:dyDescent="0.25">
      <c r="E164" t="str">
        <f>"12679"</f>
        <v>12679</v>
      </c>
      <c r="F164" t="str">
        <f t="shared" ref="F164:F186" si="3">"SERVICE"</f>
        <v>SERVICE</v>
      </c>
      <c r="G164" s="4">
        <v>450</v>
      </c>
      <c r="H164" t="str">
        <f>"12679"</f>
        <v>12679</v>
      </c>
    </row>
    <row r="165" spans="1:8" x14ac:dyDescent="0.25">
      <c r="E165" t="str">
        <f>"12902"</f>
        <v>12902</v>
      </c>
      <c r="F165" t="str">
        <f t="shared" si="3"/>
        <v>SERVICE</v>
      </c>
      <c r="G165" s="4">
        <v>75</v>
      </c>
      <c r="H165" t="str">
        <f t="shared" ref="H165:H186" si="4">"SERVICE"</f>
        <v>SERVICE</v>
      </c>
    </row>
    <row r="166" spans="1:8" x14ac:dyDescent="0.25">
      <c r="E166" t="str">
        <f>"12967"</f>
        <v>12967</v>
      </c>
      <c r="F166" t="str">
        <f t="shared" si="3"/>
        <v>SERVICE</v>
      </c>
      <c r="G166" s="4">
        <v>225</v>
      </c>
      <c r="H166" t="str">
        <f t="shared" si="4"/>
        <v>SERVICE</v>
      </c>
    </row>
    <row r="167" spans="1:8" x14ac:dyDescent="0.25">
      <c r="E167" t="str">
        <f>"13003"</f>
        <v>13003</v>
      </c>
      <c r="F167" t="str">
        <f t="shared" si="3"/>
        <v>SERVICE</v>
      </c>
      <c r="G167" s="4">
        <v>325</v>
      </c>
      <c r="H167" t="str">
        <f t="shared" si="4"/>
        <v>SERVICE</v>
      </c>
    </row>
    <row r="168" spans="1:8" x14ac:dyDescent="0.25">
      <c r="E168" t="str">
        <f>"13060  06/26/2020"</f>
        <v>13060  06/26/2020</v>
      </c>
      <c r="F168" t="str">
        <f t="shared" si="3"/>
        <v>SERVICE</v>
      </c>
      <c r="G168" s="4">
        <v>100.32</v>
      </c>
      <c r="H168" t="str">
        <f t="shared" si="4"/>
        <v>SERVICE</v>
      </c>
    </row>
    <row r="169" spans="1:8" x14ac:dyDescent="0.25">
      <c r="E169" t="str">
        <f>"13344"</f>
        <v>13344</v>
      </c>
      <c r="F169" t="str">
        <f t="shared" si="3"/>
        <v>SERVICE</v>
      </c>
      <c r="G169" s="4">
        <v>75</v>
      </c>
      <c r="H169" t="str">
        <f t="shared" si="4"/>
        <v>SERVICE</v>
      </c>
    </row>
    <row r="170" spans="1:8" x14ac:dyDescent="0.25">
      <c r="E170" t="str">
        <f>"13368"</f>
        <v>13368</v>
      </c>
      <c r="F170" t="str">
        <f t="shared" si="3"/>
        <v>SERVICE</v>
      </c>
      <c r="G170" s="4">
        <v>150</v>
      </c>
      <c r="H170" t="str">
        <f t="shared" si="4"/>
        <v>SERVICE</v>
      </c>
    </row>
    <row r="171" spans="1:8" x14ac:dyDescent="0.25">
      <c r="E171" t="str">
        <f>"13381"</f>
        <v>13381</v>
      </c>
      <c r="F171" t="str">
        <f t="shared" si="3"/>
        <v>SERVICE</v>
      </c>
      <c r="G171" s="4">
        <v>75</v>
      </c>
      <c r="H171" t="str">
        <f t="shared" si="4"/>
        <v>SERVICE</v>
      </c>
    </row>
    <row r="172" spans="1:8" x14ac:dyDescent="0.25">
      <c r="E172" t="str">
        <f>"13389"</f>
        <v>13389</v>
      </c>
      <c r="F172" t="str">
        <f t="shared" si="3"/>
        <v>SERVICE</v>
      </c>
      <c r="G172" s="4">
        <v>75</v>
      </c>
      <c r="H172" t="str">
        <f t="shared" si="4"/>
        <v>SERVICE</v>
      </c>
    </row>
    <row r="173" spans="1:8" x14ac:dyDescent="0.25">
      <c r="E173" t="str">
        <f>"13461"</f>
        <v>13461</v>
      </c>
      <c r="F173" t="str">
        <f t="shared" si="3"/>
        <v>SERVICE</v>
      </c>
      <c r="G173" s="4">
        <v>150</v>
      </c>
      <c r="H173" t="str">
        <f t="shared" si="4"/>
        <v>SERVICE</v>
      </c>
    </row>
    <row r="174" spans="1:8" x14ac:dyDescent="0.25">
      <c r="E174" t="str">
        <f>"13477"</f>
        <v>13477</v>
      </c>
      <c r="F174" t="str">
        <f t="shared" si="3"/>
        <v>SERVICE</v>
      </c>
      <c r="G174" s="4">
        <v>75</v>
      </c>
      <c r="H174" t="str">
        <f t="shared" si="4"/>
        <v>SERVICE</v>
      </c>
    </row>
    <row r="175" spans="1:8" x14ac:dyDescent="0.25">
      <c r="E175" t="str">
        <f>"8052  07/02/2020"</f>
        <v>8052  07/02/2020</v>
      </c>
      <c r="F175" t="str">
        <f t="shared" si="3"/>
        <v>SERVICE</v>
      </c>
      <c r="G175" s="4">
        <v>75</v>
      </c>
      <c r="H175" t="str">
        <f t="shared" si="4"/>
        <v>SERVICE</v>
      </c>
    </row>
    <row r="176" spans="1:8" x14ac:dyDescent="0.25">
      <c r="A176" t="s">
        <v>44</v>
      </c>
      <c r="B176">
        <v>132736</v>
      </c>
      <c r="C176">
        <v>2805</v>
      </c>
      <c r="D176" s="1">
        <v>44067</v>
      </c>
      <c r="E176" t="str">
        <f>"12195"</f>
        <v>12195</v>
      </c>
      <c r="F176" t="str">
        <f t="shared" si="3"/>
        <v>SERVICE</v>
      </c>
      <c r="G176" s="4">
        <v>1200</v>
      </c>
      <c r="H176" t="str">
        <f t="shared" si="4"/>
        <v>SERVICE</v>
      </c>
    </row>
    <row r="177" spans="1:8" x14ac:dyDescent="0.25">
      <c r="E177" t="str">
        <f>"12283"</f>
        <v>12283</v>
      </c>
      <c r="F177" t="str">
        <f t="shared" si="3"/>
        <v>SERVICE</v>
      </c>
      <c r="G177" s="4">
        <v>275</v>
      </c>
      <c r="H177" t="str">
        <f t="shared" si="4"/>
        <v>SERVICE</v>
      </c>
    </row>
    <row r="178" spans="1:8" x14ac:dyDescent="0.25">
      <c r="E178" t="str">
        <f>"12395"</f>
        <v>12395</v>
      </c>
      <c r="F178" t="str">
        <f t="shared" si="3"/>
        <v>SERVICE</v>
      </c>
      <c r="G178" s="4">
        <v>200</v>
      </c>
      <c r="H178" t="str">
        <f t="shared" si="4"/>
        <v>SERVICE</v>
      </c>
    </row>
    <row r="179" spans="1:8" x14ac:dyDescent="0.25">
      <c r="E179" t="str">
        <f>"12435"</f>
        <v>12435</v>
      </c>
      <c r="F179" t="str">
        <f t="shared" si="3"/>
        <v>SERVICE</v>
      </c>
      <c r="G179" s="4">
        <v>150</v>
      </c>
      <c r="H179" t="str">
        <f t="shared" si="4"/>
        <v>SERVICE</v>
      </c>
    </row>
    <row r="180" spans="1:8" x14ac:dyDescent="0.25">
      <c r="E180" t="str">
        <f>"13265"</f>
        <v>13265</v>
      </c>
      <c r="F180" t="str">
        <f t="shared" si="3"/>
        <v>SERVICE</v>
      </c>
      <c r="G180" s="4">
        <v>300</v>
      </c>
      <c r="H180" t="str">
        <f t="shared" si="4"/>
        <v>SERVICE</v>
      </c>
    </row>
    <row r="181" spans="1:8" x14ac:dyDescent="0.25">
      <c r="E181" t="str">
        <f>"13311  07/07/2020"</f>
        <v>13311  07/07/2020</v>
      </c>
      <c r="F181" t="str">
        <f t="shared" si="3"/>
        <v>SERVICE</v>
      </c>
      <c r="G181" s="4">
        <v>5</v>
      </c>
      <c r="H181" t="str">
        <f t="shared" si="4"/>
        <v>SERVICE</v>
      </c>
    </row>
    <row r="182" spans="1:8" x14ac:dyDescent="0.25">
      <c r="E182" t="str">
        <f>"13433"</f>
        <v>13433</v>
      </c>
      <c r="F182" t="str">
        <f t="shared" si="3"/>
        <v>SERVICE</v>
      </c>
      <c r="G182" s="4">
        <v>150</v>
      </c>
      <c r="H182" t="str">
        <f t="shared" si="4"/>
        <v>SERVICE</v>
      </c>
    </row>
    <row r="183" spans="1:8" x14ac:dyDescent="0.25">
      <c r="E183" t="str">
        <f>"13485"</f>
        <v>13485</v>
      </c>
      <c r="F183" t="str">
        <f t="shared" si="3"/>
        <v>SERVICE</v>
      </c>
      <c r="G183" s="4">
        <v>225</v>
      </c>
      <c r="H183" t="str">
        <f t="shared" si="4"/>
        <v>SERVICE</v>
      </c>
    </row>
    <row r="184" spans="1:8" x14ac:dyDescent="0.25">
      <c r="E184" t="str">
        <f>"13491"</f>
        <v>13491</v>
      </c>
      <c r="F184" t="str">
        <f t="shared" si="3"/>
        <v>SERVICE</v>
      </c>
      <c r="G184" s="4">
        <v>75</v>
      </c>
      <c r="H184" t="str">
        <f t="shared" si="4"/>
        <v>SERVICE</v>
      </c>
    </row>
    <row r="185" spans="1:8" x14ac:dyDescent="0.25">
      <c r="E185" t="str">
        <f>"13494"</f>
        <v>13494</v>
      </c>
      <c r="F185" t="str">
        <f t="shared" si="3"/>
        <v>SERVICE</v>
      </c>
      <c r="G185" s="4">
        <v>150</v>
      </c>
      <c r="H185" t="str">
        <f t="shared" si="4"/>
        <v>SERVICE</v>
      </c>
    </row>
    <row r="186" spans="1:8" x14ac:dyDescent="0.25">
      <c r="E186" t="str">
        <f>"860-21"</f>
        <v>860-21</v>
      </c>
      <c r="F186" t="str">
        <f t="shared" si="3"/>
        <v>SERVICE</v>
      </c>
      <c r="G186" s="4">
        <v>75</v>
      </c>
      <c r="H186" t="str">
        <f t="shared" si="4"/>
        <v>SERVICE</v>
      </c>
    </row>
    <row r="187" spans="1:8" x14ac:dyDescent="0.25">
      <c r="A187" t="s">
        <v>46</v>
      </c>
      <c r="B187">
        <v>2964</v>
      </c>
      <c r="C187">
        <v>1242.75</v>
      </c>
      <c r="D187" s="1">
        <v>44054</v>
      </c>
      <c r="E187" t="str">
        <f>"202008058112"</f>
        <v>202008058112</v>
      </c>
      <c r="F187" t="str">
        <f>"ACCT#BC01/OFFICE SUPPLIES"</f>
        <v>ACCT#BC01/OFFICE SUPPLIES</v>
      </c>
      <c r="G187" s="4">
        <v>1242.75</v>
      </c>
      <c r="H187" t="str">
        <f>"ACCT#BC01/OFFICE SUPPLIES"</f>
        <v>ACCT#BC01/OFFICE SUPPLIES</v>
      </c>
    </row>
    <row r="188" spans="1:8" x14ac:dyDescent="0.25">
      <c r="E188" t="str">
        <f>""</f>
        <v/>
      </c>
      <c r="F188" t="str">
        <f>""</f>
        <v/>
      </c>
      <c r="H188" t="str">
        <f>"ACCT#BC01/OFFICE SUPPLIES"</f>
        <v>ACCT#BC01/OFFICE SUPPLIES</v>
      </c>
    </row>
    <row r="189" spans="1:8" x14ac:dyDescent="0.25">
      <c r="E189" t="str">
        <f>""</f>
        <v/>
      </c>
      <c r="F189" t="str">
        <f>""</f>
        <v/>
      </c>
      <c r="H189" t="str">
        <f>"ACCT#BC01/OFFICE SUPPLIES"</f>
        <v>ACCT#BC01/OFFICE SUPPLIES</v>
      </c>
    </row>
    <row r="190" spans="1:8" x14ac:dyDescent="0.25">
      <c r="E190" t="str">
        <f>""</f>
        <v/>
      </c>
      <c r="F190" t="str">
        <f>""</f>
        <v/>
      </c>
      <c r="H190" t="str">
        <f>"ACCT#BC01/OFFICE SUPPLIES"</f>
        <v>ACCT#BC01/OFFICE SUPPLIES</v>
      </c>
    </row>
    <row r="191" spans="1:8" x14ac:dyDescent="0.25">
      <c r="E191" t="str">
        <f>""</f>
        <v/>
      </c>
      <c r="F191" t="str">
        <f>""</f>
        <v/>
      </c>
      <c r="H191" t="str">
        <f>"ACCT#BC01/OFFICE SUPPLIES"</f>
        <v>ACCT#BC01/OFFICE SUPPLIES</v>
      </c>
    </row>
    <row r="192" spans="1:8" x14ac:dyDescent="0.25">
      <c r="A192" t="s">
        <v>47</v>
      </c>
      <c r="B192">
        <v>2955</v>
      </c>
      <c r="C192">
        <v>21794.880000000001</v>
      </c>
      <c r="D192" s="1">
        <v>44054</v>
      </c>
      <c r="E192" t="str">
        <f>"202007298036"</f>
        <v>202007298036</v>
      </c>
      <c r="F192" t="str">
        <f>"GRANT REIMBURSEMENT"</f>
        <v>GRANT REIMBURSEMENT</v>
      </c>
      <c r="G192" s="4">
        <v>5188.88</v>
      </c>
      <c r="H192" t="str">
        <f>"GRANT REIMBURSEMENT"</f>
        <v>GRANT REIMBURSEMENT</v>
      </c>
    </row>
    <row r="193" spans="1:8" x14ac:dyDescent="0.25">
      <c r="E193" t="str">
        <f>"202008058111"</f>
        <v>202008058111</v>
      </c>
      <c r="F193" t="str">
        <f>"GRANT REIMBURSEMENT"</f>
        <v>GRANT REIMBURSEMENT</v>
      </c>
      <c r="G193" s="4">
        <v>16606</v>
      </c>
      <c r="H193" t="str">
        <f>"GRANT REIMBURSEMENT"</f>
        <v>GRANT REIMBURSEMENT</v>
      </c>
    </row>
    <row r="194" spans="1:8" x14ac:dyDescent="0.25">
      <c r="A194" t="s">
        <v>47</v>
      </c>
      <c r="B194">
        <v>3029</v>
      </c>
      <c r="C194">
        <v>17597.5</v>
      </c>
      <c r="D194" s="1">
        <v>44068</v>
      </c>
      <c r="E194" t="str">
        <f>"202008128322"</f>
        <v>202008128322</v>
      </c>
      <c r="F194" t="str">
        <f>"GRANT REIMBURSEMENT"</f>
        <v>GRANT REIMBURSEMENT</v>
      </c>
      <c r="G194" s="4">
        <v>12368.65</v>
      </c>
      <c r="H194" t="str">
        <f>"GRANT REIMBURSEMENT"</f>
        <v>GRANT REIMBURSEMENT</v>
      </c>
    </row>
    <row r="195" spans="1:8" x14ac:dyDescent="0.25">
      <c r="E195" t="str">
        <f>"202008198452"</f>
        <v>202008198452</v>
      </c>
      <c r="F195" t="str">
        <f>"GRANT REIMBURSEMENT"</f>
        <v>GRANT REIMBURSEMENT</v>
      </c>
      <c r="G195" s="4">
        <v>5228.8500000000004</v>
      </c>
      <c r="H195" t="str">
        <f>"GRANT REIMBURSEMENT"</f>
        <v>GRANT REIMBURSEMENT</v>
      </c>
    </row>
    <row r="196" spans="1:8" x14ac:dyDescent="0.25">
      <c r="A196" t="s">
        <v>48</v>
      </c>
      <c r="B196">
        <v>132737</v>
      </c>
      <c r="C196">
        <v>82017</v>
      </c>
      <c r="D196" s="1">
        <v>44067</v>
      </c>
      <c r="E196" t="str">
        <f>"4TH QUARTER FY2020"</f>
        <v>4TH QUARTER FY2020</v>
      </c>
      <c r="F196" t="str">
        <f>"CUST ID:BASTROP/REVENUE BASTR"</f>
        <v>CUST ID:BASTROP/REVENUE BASTR</v>
      </c>
      <c r="G196" s="4">
        <v>82017</v>
      </c>
      <c r="H196" t="str">
        <f>"CUST ID:BASTROP/REVENUE BASTR"</f>
        <v>CUST ID:BASTROP/REVENUE BASTR</v>
      </c>
    </row>
    <row r="197" spans="1:8" x14ac:dyDescent="0.25">
      <c r="A197" t="s">
        <v>49</v>
      </c>
      <c r="B197">
        <v>3062</v>
      </c>
      <c r="C197">
        <v>106.74</v>
      </c>
      <c r="D197" s="1">
        <v>44068</v>
      </c>
      <c r="E197" t="str">
        <f>"202008178377"</f>
        <v>202008178377</v>
      </c>
      <c r="F197" t="str">
        <f>"INDIGENT HEALTH"</f>
        <v>INDIGENT HEALTH</v>
      </c>
      <c r="G197" s="4">
        <v>106.74</v>
      </c>
      <c r="H197" t="str">
        <f>"INDIGENT HEALTH"</f>
        <v>INDIGENT HEALTH</v>
      </c>
    </row>
    <row r="198" spans="1:8" x14ac:dyDescent="0.25">
      <c r="A198" t="s">
        <v>50</v>
      </c>
      <c r="B198">
        <v>3005</v>
      </c>
      <c r="C198">
        <v>3845</v>
      </c>
      <c r="D198" s="1">
        <v>44068</v>
      </c>
      <c r="E198" t="str">
        <f>"2020106"</f>
        <v>2020106</v>
      </c>
      <c r="F198" t="str">
        <f>"TRANSPORT - J.M. FINLEY"</f>
        <v>TRANSPORT - J.M. FINLEY</v>
      </c>
      <c r="G198" s="4">
        <v>400</v>
      </c>
      <c r="H198" t="str">
        <f>"TRANSPORT - J.M. FINLEY"</f>
        <v>TRANSPORT - J.M. FINLEY</v>
      </c>
    </row>
    <row r="199" spans="1:8" x14ac:dyDescent="0.25">
      <c r="E199" t="str">
        <f>"2020107"</f>
        <v>2020107</v>
      </c>
      <c r="F199" t="str">
        <f>"TRANSPORT - R. MALEY"</f>
        <v>TRANSPORT - R. MALEY</v>
      </c>
      <c r="G199" s="4">
        <v>495</v>
      </c>
      <c r="H199" t="str">
        <f>"TRANSPORT - R. MALEY"</f>
        <v>TRANSPORT - R. MALEY</v>
      </c>
    </row>
    <row r="200" spans="1:8" x14ac:dyDescent="0.25">
      <c r="E200" t="str">
        <f>"2020110"</f>
        <v>2020110</v>
      </c>
      <c r="F200" t="str">
        <f>"TRANSPORT - A. HERNANDEZ"</f>
        <v>TRANSPORT - A. HERNANDEZ</v>
      </c>
      <c r="G200" s="4">
        <v>495</v>
      </c>
      <c r="H200" t="str">
        <f>"TRANSPORT - A. HERNANDEZ"</f>
        <v>TRANSPORT - A. HERNANDEZ</v>
      </c>
    </row>
    <row r="201" spans="1:8" x14ac:dyDescent="0.25">
      <c r="E201" t="str">
        <f>"2020115"</f>
        <v>2020115</v>
      </c>
      <c r="F201" t="str">
        <f>"TRANSPORT - J. GADDIS"</f>
        <v>TRANSPORT - J. GADDIS</v>
      </c>
      <c r="G201" s="4">
        <v>390</v>
      </c>
      <c r="H201" t="str">
        <f>"TRANSPORT - J. GADDIS"</f>
        <v>TRANSPORT - J. GADDIS</v>
      </c>
    </row>
    <row r="202" spans="1:8" x14ac:dyDescent="0.25">
      <c r="E202" t="str">
        <f>"2020116"</f>
        <v>2020116</v>
      </c>
      <c r="F202" t="str">
        <f>"TRANSPORT - E. DENMON"</f>
        <v>TRANSPORT - E. DENMON</v>
      </c>
      <c r="G202" s="4">
        <v>390</v>
      </c>
      <c r="H202" t="str">
        <f>"TRANSPORT - E. DENMON"</f>
        <v>TRANSPORT - E. DENMON</v>
      </c>
    </row>
    <row r="203" spans="1:8" x14ac:dyDescent="0.25">
      <c r="E203" t="str">
        <f>"2020120"</f>
        <v>2020120</v>
      </c>
      <c r="F203" t="str">
        <f>"TRANSPORT - J.M. MARTINEZ"</f>
        <v>TRANSPORT - J.M. MARTINEZ</v>
      </c>
      <c r="G203" s="4">
        <v>495</v>
      </c>
      <c r="H203" t="str">
        <f>"TRANSPORT - J.M. MARTINEZ"</f>
        <v>TRANSPORT - J.M. MARTINEZ</v>
      </c>
    </row>
    <row r="204" spans="1:8" x14ac:dyDescent="0.25">
      <c r="E204" t="str">
        <f>"2020122"</f>
        <v>2020122</v>
      </c>
      <c r="F204" t="str">
        <f>"TRANSPORT - K. MELTON"</f>
        <v>TRANSPORT - K. MELTON</v>
      </c>
      <c r="G204" s="4">
        <v>390</v>
      </c>
      <c r="H204" t="str">
        <f>"TRANSPORT - K. MELTON"</f>
        <v>TRANSPORT - K. MELTON</v>
      </c>
    </row>
    <row r="205" spans="1:8" x14ac:dyDescent="0.25">
      <c r="E205" t="str">
        <f>"2020124"</f>
        <v>2020124</v>
      </c>
      <c r="F205" t="str">
        <f>"TRANSPORT - A.C. AGREN"</f>
        <v>TRANSPORT - A.C. AGREN</v>
      </c>
      <c r="G205" s="4">
        <v>495</v>
      </c>
      <c r="H205" t="str">
        <f>"TRANSPORT - A.C. AGREN"</f>
        <v>TRANSPORT - A.C. AGREN</v>
      </c>
    </row>
    <row r="206" spans="1:8" x14ac:dyDescent="0.25">
      <c r="E206" t="str">
        <f>"2020126"</f>
        <v>2020126</v>
      </c>
      <c r="F206" t="str">
        <f>"TRANSPORT - T. METROS SR"</f>
        <v>TRANSPORT - T. METROS SR</v>
      </c>
      <c r="G206" s="4">
        <v>295</v>
      </c>
      <c r="H206" t="str">
        <f>"TRANSPORT - T. METROS SR"</f>
        <v>TRANSPORT - T. METROS SR</v>
      </c>
    </row>
    <row r="207" spans="1:8" x14ac:dyDescent="0.25">
      <c r="A207" t="s">
        <v>51</v>
      </c>
      <c r="B207">
        <v>2958</v>
      </c>
      <c r="C207">
        <v>347.89</v>
      </c>
      <c r="D207" s="1">
        <v>44054</v>
      </c>
      <c r="E207" t="str">
        <f>"6008750337"</f>
        <v>6008750337</v>
      </c>
      <c r="F207" t="str">
        <f>"ACCT#3422853/ANIMAL CONTROL"</f>
        <v>ACCT#3422853/ANIMAL CONTROL</v>
      </c>
      <c r="G207" s="4">
        <v>347.89</v>
      </c>
      <c r="H207" t="str">
        <f>"ACCT#3422853/ANIMAL CONTROL"</f>
        <v>ACCT#3422853/ANIMAL CONTROL</v>
      </c>
    </row>
    <row r="208" spans="1:8" x14ac:dyDescent="0.25">
      <c r="A208" t="s">
        <v>52</v>
      </c>
      <c r="B208">
        <v>2930</v>
      </c>
      <c r="C208">
        <v>455</v>
      </c>
      <c r="D208" s="1">
        <v>44054</v>
      </c>
      <c r="E208" t="str">
        <f>"202008048102"</f>
        <v>202008048102</v>
      </c>
      <c r="F208" t="str">
        <f>"JULY INVESTIGATIONS"</f>
        <v>JULY INVESTIGATIONS</v>
      </c>
      <c r="G208" s="4">
        <v>455</v>
      </c>
      <c r="H208" t="str">
        <f>"JULY INVESTIGATIONS"</f>
        <v>JULY INVESTIGATIONS</v>
      </c>
    </row>
    <row r="209" spans="1:8" x14ac:dyDescent="0.25">
      <c r="A209" t="s">
        <v>53</v>
      </c>
      <c r="B209">
        <v>132738</v>
      </c>
      <c r="C209">
        <v>80</v>
      </c>
      <c r="D209" s="1">
        <v>44067</v>
      </c>
      <c r="E209" t="str">
        <f>"13433"</f>
        <v>13433</v>
      </c>
      <c r="F209" t="str">
        <f>"SERVICE"</f>
        <v>SERVICE</v>
      </c>
      <c r="G209" s="4">
        <v>80</v>
      </c>
      <c r="H209" t="str">
        <f>"SERVICE"</f>
        <v>SERVICE</v>
      </c>
    </row>
    <row r="210" spans="1:8" x14ac:dyDescent="0.25">
      <c r="A210" t="s">
        <v>54</v>
      </c>
      <c r="B210">
        <v>132601</v>
      </c>
      <c r="C210">
        <v>70</v>
      </c>
      <c r="D210" s="1">
        <v>44053</v>
      </c>
      <c r="E210" t="str">
        <f>"12967"</f>
        <v>12967</v>
      </c>
      <c r="F210" t="str">
        <f>"SERVICE"</f>
        <v>SERVICE</v>
      </c>
      <c r="G210" s="4">
        <v>70</v>
      </c>
      <c r="H210" t="str">
        <f>"SERVICE"</f>
        <v>SERVICE</v>
      </c>
    </row>
    <row r="211" spans="1:8" x14ac:dyDescent="0.25">
      <c r="A211" t="s">
        <v>55</v>
      </c>
      <c r="B211">
        <v>132602</v>
      </c>
      <c r="C211">
        <v>1615.49</v>
      </c>
      <c r="D211" s="1">
        <v>44053</v>
      </c>
      <c r="E211" t="str">
        <f>"75595309  75601631"</f>
        <v>75595309  75601631</v>
      </c>
      <c r="F211" t="str">
        <f>"INV 75595309"</f>
        <v>INV 75595309</v>
      </c>
      <c r="G211" s="4">
        <v>1615.49</v>
      </c>
      <c r="H211" t="str">
        <f>"INV 75595309"</f>
        <v>INV 75595309</v>
      </c>
    </row>
    <row r="212" spans="1:8" x14ac:dyDescent="0.25">
      <c r="E212" t="str">
        <f>""</f>
        <v/>
      </c>
      <c r="F212" t="str">
        <f>""</f>
        <v/>
      </c>
      <c r="H212" t="str">
        <f>"INV 75601631"</f>
        <v>INV 75601631</v>
      </c>
    </row>
    <row r="213" spans="1:8" x14ac:dyDescent="0.25">
      <c r="A213" t="s">
        <v>55</v>
      </c>
      <c r="B213">
        <v>132739</v>
      </c>
      <c r="C213">
        <v>1112.52</v>
      </c>
      <c r="D213" s="1">
        <v>44067</v>
      </c>
      <c r="E213" t="str">
        <f>"75609333 75617245"</f>
        <v>75609333 75617245</v>
      </c>
      <c r="F213" t="str">
        <f>"INV 75609333"</f>
        <v>INV 75609333</v>
      </c>
      <c r="G213" s="4">
        <v>1112.52</v>
      </c>
      <c r="H213" t="str">
        <f>"INV 75609333"</f>
        <v>INV 75609333</v>
      </c>
    </row>
    <row r="214" spans="1:8" x14ac:dyDescent="0.25">
      <c r="E214" t="str">
        <f>""</f>
        <v/>
      </c>
      <c r="F214" t="str">
        <f>""</f>
        <v/>
      </c>
      <c r="H214" t="str">
        <f>"INV 75617245"</f>
        <v>INV 75617245</v>
      </c>
    </row>
    <row r="215" spans="1:8" x14ac:dyDescent="0.25">
      <c r="A215" t="s">
        <v>56</v>
      </c>
      <c r="B215">
        <v>3057</v>
      </c>
      <c r="C215">
        <v>2674.69</v>
      </c>
      <c r="D215" s="1">
        <v>44068</v>
      </c>
      <c r="E215" t="str">
        <f>"24816"</f>
        <v>24816</v>
      </c>
      <c r="F215" t="str">
        <f>"INV 24816"</f>
        <v>INV 24816</v>
      </c>
      <c r="G215" s="4">
        <v>2674.69</v>
      </c>
      <c r="H215" t="str">
        <f>"INV 24816"</f>
        <v>INV 24816</v>
      </c>
    </row>
    <row r="216" spans="1:8" x14ac:dyDescent="0.25">
      <c r="A216" t="s">
        <v>57</v>
      </c>
      <c r="B216">
        <v>2948</v>
      </c>
      <c r="C216">
        <v>920.1</v>
      </c>
      <c r="D216" s="1">
        <v>44054</v>
      </c>
      <c r="E216" t="str">
        <f>"5289"</f>
        <v>5289</v>
      </c>
      <c r="F216" t="str">
        <f>"LABOR/OIL/SUPPLIES/PCT#4"</f>
        <v>LABOR/OIL/SUPPLIES/PCT#4</v>
      </c>
      <c r="G216" s="4">
        <v>920.1</v>
      </c>
      <c r="H216" t="str">
        <f>"LABOR/OIL/SUPPLIES/PCT#4"</f>
        <v>LABOR/OIL/SUPPLIES/PCT#4</v>
      </c>
    </row>
    <row r="217" spans="1:8" x14ac:dyDescent="0.25">
      <c r="A217" t="s">
        <v>57</v>
      </c>
      <c r="B217">
        <v>3019</v>
      </c>
      <c r="C217">
        <v>1753.5</v>
      </c>
      <c r="D217" s="1">
        <v>44068</v>
      </c>
      <c r="E217" t="str">
        <f>"5344"</f>
        <v>5344</v>
      </c>
      <c r="F217" t="str">
        <f>"2007 FRHT/PCT#4"</f>
        <v>2007 FRHT/PCT#4</v>
      </c>
      <c r="G217" s="4">
        <v>1418.5</v>
      </c>
      <c r="H217" t="str">
        <f>"2007 FRHT/PCT#4"</f>
        <v>2007 FRHT/PCT#4</v>
      </c>
    </row>
    <row r="218" spans="1:8" x14ac:dyDescent="0.25">
      <c r="E218" t="str">
        <f>"5358"</f>
        <v>5358</v>
      </c>
      <c r="F218" t="str">
        <f>"2007 FRHT/PCT#4"</f>
        <v>2007 FRHT/PCT#4</v>
      </c>
      <c r="G218" s="4">
        <v>335</v>
      </c>
      <c r="H218" t="str">
        <f>"2007 FRHT/PCT#4"</f>
        <v>2007 FRHT/PCT#4</v>
      </c>
    </row>
    <row r="219" spans="1:8" x14ac:dyDescent="0.25">
      <c r="A219" t="s">
        <v>58</v>
      </c>
      <c r="B219">
        <v>132603</v>
      </c>
      <c r="C219">
        <v>531.88</v>
      </c>
      <c r="D219" s="1">
        <v>44053</v>
      </c>
      <c r="E219" t="str">
        <f>"84078905914 905967"</f>
        <v>84078905914 905967</v>
      </c>
      <c r="F219" t="str">
        <f>"INV 84078905914"</f>
        <v>INV 84078905914</v>
      </c>
      <c r="G219" s="4">
        <v>531.88</v>
      </c>
      <c r="H219" t="str">
        <f>"INV 84078905914"</f>
        <v>INV 84078905914</v>
      </c>
    </row>
    <row r="220" spans="1:8" x14ac:dyDescent="0.25">
      <c r="E220" t="str">
        <f>""</f>
        <v/>
      </c>
      <c r="F220" t="str">
        <f>""</f>
        <v/>
      </c>
      <c r="H220" t="str">
        <f>"INV 84078905967"</f>
        <v>INV 84078905967</v>
      </c>
    </row>
    <row r="221" spans="1:8" x14ac:dyDescent="0.25">
      <c r="A221" t="s">
        <v>58</v>
      </c>
      <c r="B221">
        <v>132740</v>
      </c>
      <c r="C221">
        <v>553.64</v>
      </c>
      <c r="D221" s="1">
        <v>44067</v>
      </c>
      <c r="E221" t="str">
        <f>"84078906043 / 6119"</f>
        <v>84078906043 / 6119</v>
      </c>
      <c r="F221" t="str">
        <f>"INV 84078906043"</f>
        <v>INV 84078906043</v>
      </c>
      <c r="G221" s="4">
        <v>553.64</v>
      </c>
      <c r="H221" t="str">
        <f>"INV 84078906043"</f>
        <v>INV 84078906043</v>
      </c>
    </row>
    <row r="222" spans="1:8" x14ac:dyDescent="0.25">
      <c r="E222" t="str">
        <f>""</f>
        <v/>
      </c>
      <c r="F222" t="str">
        <f>""</f>
        <v/>
      </c>
      <c r="H222" t="str">
        <f>"INV 84078906119"</f>
        <v>INV 84078906119</v>
      </c>
    </row>
    <row r="223" spans="1:8" x14ac:dyDescent="0.25">
      <c r="A223" t="s">
        <v>59</v>
      </c>
      <c r="B223">
        <v>3017</v>
      </c>
      <c r="C223">
        <v>750</v>
      </c>
      <c r="D223" s="1">
        <v>44068</v>
      </c>
      <c r="E223" t="str">
        <f>"202008138358"</f>
        <v>202008138358</v>
      </c>
      <c r="F223" t="str">
        <f>"56 666"</f>
        <v>56 666</v>
      </c>
      <c r="G223" s="4">
        <v>250</v>
      </c>
      <c r="H223" t="str">
        <f>"56 666"</f>
        <v>56 666</v>
      </c>
    </row>
    <row r="224" spans="1:8" x14ac:dyDescent="0.25">
      <c r="E224" t="str">
        <f>"202008138359"</f>
        <v>202008138359</v>
      </c>
      <c r="F224" t="str">
        <f>"303052018A  18-S-01147"</f>
        <v>303052018A  18-S-01147</v>
      </c>
      <c r="G224" s="4">
        <v>250</v>
      </c>
      <c r="H224" t="str">
        <f>"303052018A  18-S-01147"</f>
        <v>303052018A  18-S-01147</v>
      </c>
    </row>
    <row r="225" spans="1:8" x14ac:dyDescent="0.25">
      <c r="E225" t="str">
        <f>"202008138361"</f>
        <v>202008138361</v>
      </c>
      <c r="F225" t="str">
        <f>"4030120-10  20-S01276"</f>
        <v>4030120-10  20-S01276</v>
      </c>
      <c r="G225" s="4">
        <v>250</v>
      </c>
      <c r="H225" t="str">
        <f>"4030120-10  20-S01276"</f>
        <v>4030120-10  20-S01276</v>
      </c>
    </row>
    <row r="226" spans="1:8" x14ac:dyDescent="0.25">
      <c r="A226" t="s">
        <v>60</v>
      </c>
      <c r="B226">
        <v>132741</v>
      </c>
      <c r="C226">
        <v>214.11</v>
      </c>
      <c r="D226" s="1">
        <v>44067</v>
      </c>
      <c r="E226" t="str">
        <f>"202008128326"</f>
        <v>202008128326</v>
      </c>
      <c r="F226" t="str">
        <f>"CRIME STOPPERS FEES- JULY 2020"</f>
        <v>CRIME STOPPERS FEES- JULY 2020</v>
      </c>
      <c r="G226" s="4">
        <v>214.11</v>
      </c>
      <c r="H226" t="str">
        <f>"CRIME STOPPERS FEES- JULY 2020"</f>
        <v>CRIME STOPPERS FEES- JULY 2020</v>
      </c>
    </row>
    <row r="227" spans="1:8" x14ac:dyDescent="0.25">
      <c r="A227" t="s">
        <v>61</v>
      </c>
      <c r="B227">
        <v>132716</v>
      </c>
      <c r="C227">
        <v>4441.12</v>
      </c>
      <c r="D227" s="1">
        <v>44055</v>
      </c>
      <c r="E227" t="str">
        <f>"202008128314"</f>
        <v>202008128314</v>
      </c>
      <c r="F227" t="str">
        <f>"ACCT#5000057374 / 08052020"</f>
        <v>ACCT#5000057374 / 08052020</v>
      </c>
      <c r="G227" s="4">
        <v>4441.12</v>
      </c>
      <c r="H227" t="str">
        <f>"ACCT#5000057374 / 08052020"</f>
        <v>ACCT#5000057374 / 08052020</v>
      </c>
    </row>
    <row r="228" spans="1:8" x14ac:dyDescent="0.25">
      <c r="E228" t="str">
        <f>""</f>
        <v/>
      </c>
      <c r="F228" t="str">
        <f>""</f>
        <v/>
      </c>
      <c r="H228" t="str">
        <f>"ACCT#5000057374 / 08052020"</f>
        <v>ACCT#5000057374 / 08052020</v>
      </c>
    </row>
    <row r="229" spans="1:8" x14ac:dyDescent="0.25">
      <c r="E229" t="str">
        <f>""</f>
        <v/>
      </c>
      <c r="F229" t="str">
        <f>""</f>
        <v/>
      </c>
      <c r="H229" t="str">
        <f>"ACCT#5000057374 / 08052020"</f>
        <v>ACCT#5000057374 / 08052020</v>
      </c>
    </row>
    <row r="230" spans="1:8" x14ac:dyDescent="0.25">
      <c r="E230" t="str">
        <f>""</f>
        <v/>
      </c>
      <c r="F230" t="str">
        <f>""</f>
        <v/>
      </c>
      <c r="H230" t="str">
        <f>"ACCT#5000057374 / 08052020"</f>
        <v>ACCT#5000057374 / 08052020</v>
      </c>
    </row>
    <row r="231" spans="1:8" x14ac:dyDescent="0.25">
      <c r="A231" t="s">
        <v>62</v>
      </c>
      <c r="B231">
        <v>2981</v>
      </c>
      <c r="C231">
        <v>17978.59</v>
      </c>
      <c r="D231" s="1">
        <v>44054</v>
      </c>
      <c r="E231" t="str">
        <f>"202007298037"</f>
        <v>202007298037</v>
      </c>
      <c r="F231" t="str">
        <f>"GRANT REIMBURSEMENT"</f>
        <v>GRANT REIMBURSEMENT</v>
      </c>
      <c r="G231" s="4">
        <v>17978.59</v>
      </c>
      <c r="H231" t="str">
        <f>"GRANT REIMBURSEMENT"</f>
        <v>GRANT REIMBURSEMENT</v>
      </c>
    </row>
    <row r="232" spans="1:8" x14ac:dyDescent="0.25">
      <c r="A232" t="s">
        <v>62</v>
      </c>
      <c r="B232">
        <v>3067</v>
      </c>
      <c r="C232">
        <v>18628.55</v>
      </c>
      <c r="D232" s="1">
        <v>44068</v>
      </c>
      <c r="E232" t="str">
        <f>"202008198451"</f>
        <v>202008198451</v>
      </c>
      <c r="F232" t="str">
        <f>"GRANT REIMBURSEMENT"</f>
        <v>GRANT REIMBURSEMENT</v>
      </c>
      <c r="G232" s="4">
        <v>17678.55</v>
      </c>
      <c r="H232" t="str">
        <f>"GRANT REIMBURSEMENT"</f>
        <v>GRANT REIMBURSEMENT</v>
      </c>
    </row>
    <row r="233" spans="1:8" x14ac:dyDescent="0.25">
      <c r="E233" t="str">
        <f>"25072020"</f>
        <v>25072020</v>
      </c>
      <c r="F233" t="str">
        <f>"INV 25072020"</f>
        <v>INV 25072020</v>
      </c>
      <c r="G233" s="4">
        <v>950</v>
      </c>
      <c r="H233" t="str">
        <f>"INV 25072020"</f>
        <v>INV 25072020</v>
      </c>
    </row>
    <row r="234" spans="1:8" x14ac:dyDescent="0.25">
      <c r="A234" t="s">
        <v>63</v>
      </c>
      <c r="B234">
        <v>132604</v>
      </c>
      <c r="C234">
        <v>3806.04</v>
      </c>
      <c r="D234" s="1">
        <v>44053</v>
      </c>
      <c r="E234" t="str">
        <f>"112163"</f>
        <v>112163</v>
      </c>
      <c r="F234" t="str">
        <f>"ACCT#1268/PCT#3"</f>
        <v>ACCT#1268/PCT#3</v>
      </c>
      <c r="G234" s="4">
        <v>2230.92</v>
      </c>
      <c r="H234" t="str">
        <f>"ACCT#1268/PCT#3"</f>
        <v>ACCT#1268/PCT#3</v>
      </c>
    </row>
    <row r="235" spans="1:8" x14ac:dyDescent="0.25">
      <c r="E235" t="str">
        <f>"11915"</f>
        <v>11915</v>
      </c>
      <c r="F235" t="str">
        <f>"ACCT#1268/PCT#3"</f>
        <v>ACCT#1268/PCT#3</v>
      </c>
      <c r="G235" s="4">
        <v>1575.12</v>
      </c>
      <c r="H235" t="str">
        <f>"ACCT#1268/PCT#3"</f>
        <v>ACCT#1268/PCT#3</v>
      </c>
    </row>
    <row r="236" spans="1:8" x14ac:dyDescent="0.25">
      <c r="A236" t="s">
        <v>63</v>
      </c>
      <c r="B236">
        <v>132742</v>
      </c>
      <c r="C236">
        <v>3486.2</v>
      </c>
      <c r="D236" s="1">
        <v>44067</v>
      </c>
      <c r="E236" t="str">
        <f>"112414"</f>
        <v>112414</v>
      </c>
      <c r="F236" t="str">
        <f>"ACCT#1268/PCT#3"</f>
        <v>ACCT#1268/PCT#3</v>
      </c>
      <c r="G236" s="4">
        <v>816.72</v>
      </c>
      <c r="H236" t="str">
        <f>"ACCT#1268/PCT#3"</f>
        <v>ACCT#1268/PCT#3</v>
      </c>
    </row>
    <row r="237" spans="1:8" x14ac:dyDescent="0.25">
      <c r="E237" t="str">
        <f>"112656"</f>
        <v>112656</v>
      </c>
      <c r="F237" t="str">
        <f>"ACCT#1268/COMM BASE/PCT#3"</f>
        <v>ACCT#1268/COMM BASE/PCT#3</v>
      </c>
      <c r="G237" s="4">
        <v>2669.48</v>
      </c>
      <c r="H237" t="str">
        <f>"ACCT#1268/COMM BASE/PCT#3"</f>
        <v>ACCT#1268/COMM BASE/PCT#3</v>
      </c>
    </row>
    <row r="238" spans="1:8" x14ac:dyDescent="0.25">
      <c r="A238" t="s">
        <v>64</v>
      </c>
      <c r="B238">
        <v>132605</v>
      </c>
      <c r="C238">
        <v>240</v>
      </c>
      <c r="D238" s="1">
        <v>44053</v>
      </c>
      <c r="E238" t="str">
        <f>"202007298040"</f>
        <v>202007298040</v>
      </c>
      <c r="F238" t="str">
        <f>"REIMBURSE BAR DUES"</f>
        <v>REIMBURSE BAR DUES</v>
      </c>
      <c r="G238" s="4">
        <v>240</v>
      </c>
      <c r="H238" t="str">
        <f>"REIMBURSE BAR DUES"</f>
        <v>REIMBURSE BAR DUES</v>
      </c>
    </row>
    <row r="239" spans="1:8" x14ac:dyDescent="0.25">
      <c r="A239" t="s">
        <v>65</v>
      </c>
      <c r="B239">
        <v>2987</v>
      </c>
      <c r="C239">
        <v>250</v>
      </c>
      <c r="D239" s="1">
        <v>44054</v>
      </c>
      <c r="E239" t="str">
        <f>"202008058179"</f>
        <v>202008058179</v>
      </c>
      <c r="F239" t="str">
        <f>"CH-20180516B"</f>
        <v>CH-20180516B</v>
      </c>
      <c r="G239" s="4">
        <v>250</v>
      </c>
      <c r="H239" t="str">
        <f>"CH-20180516B"</f>
        <v>CH-20180516B</v>
      </c>
    </row>
    <row r="240" spans="1:8" x14ac:dyDescent="0.25">
      <c r="A240" t="s">
        <v>66</v>
      </c>
      <c r="B240">
        <v>132743</v>
      </c>
      <c r="C240">
        <v>98.5</v>
      </c>
      <c r="D240" s="1">
        <v>44067</v>
      </c>
      <c r="E240" t="str">
        <f>"202008128324"</f>
        <v>202008128324</v>
      </c>
      <c r="F240" t="str">
        <f>"NOTARY APP-THERESA GONZALES"</f>
        <v>NOTARY APP-THERESA GONZALES</v>
      </c>
      <c r="G240" s="4">
        <v>98.5</v>
      </c>
      <c r="H240" t="str">
        <f>"NOTARY APP-THERESA GONZALES"</f>
        <v>NOTARY APP-THERESA GONZALES</v>
      </c>
    </row>
    <row r="241" spans="1:8" x14ac:dyDescent="0.25">
      <c r="A241" t="s">
        <v>67</v>
      </c>
      <c r="B241">
        <v>132606</v>
      </c>
      <c r="C241">
        <v>30</v>
      </c>
      <c r="D241" s="1">
        <v>44053</v>
      </c>
      <c r="E241" t="str">
        <f>"20-20331"</f>
        <v>20-20331</v>
      </c>
      <c r="F241" t="str">
        <f>"CAR FUND"</f>
        <v>CAR FUND</v>
      </c>
      <c r="G241" s="4">
        <v>15</v>
      </c>
      <c r="H241" t="str">
        <f>"CAR FUND"</f>
        <v>CAR FUND</v>
      </c>
    </row>
    <row r="242" spans="1:8" x14ac:dyDescent="0.25">
      <c r="E242" t="str">
        <f>"20-20332"</f>
        <v>20-20332</v>
      </c>
      <c r="F242" t="str">
        <f>"CAR FUND"</f>
        <v>CAR FUND</v>
      </c>
      <c r="G242" s="4">
        <v>15</v>
      </c>
      <c r="H242" t="str">
        <f>"CAR FUND"</f>
        <v>CAR FUND</v>
      </c>
    </row>
    <row r="243" spans="1:8" x14ac:dyDescent="0.25">
      <c r="A243" t="s">
        <v>67</v>
      </c>
      <c r="B243">
        <v>132744</v>
      </c>
      <c r="C243">
        <v>30</v>
      </c>
      <c r="D243" s="1">
        <v>44067</v>
      </c>
      <c r="E243" t="str">
        <f>"20-20345"</f>
        <v>20-20345</v>
      </c>
      <c r="F243" t="str">
        <f>"CENTRAL ADOPTION REGISTRY FUND"</f>
        <v>CENTRAL ADOPTION REGISTRY FUND</v>
      </c>
      <c r="G243" s="4">
        <v>15</v>
      </c>
      <c r="H243" t="str">
        <f>"CENTRAL ADOPTION REGISTRY FUND"</f>
        <v>CENTRAL ADOPTION REGISTRY FUND</v>
      </c>
    </row>
    <row r="244" spans="1:8" x14ac:dyDescent="0.25">
      <c r="E244" t="str">
        <f>"423-7397"</f>
        <v>423-7397</v>
      </c>
      <c r="F244" t="str">
        <f>"CENTRAL ADOPTION REGISTRY FUND"</f>
        <v>CENTRAL ADOPTION REGISTRY FUND</v>
      </c>
      <c r="G244" s="4">
        <v>15</v>
      </c>
      <c r="H244" t="str">
        <f>"CENTRAL ADOPTION REGISTRY FUND"</f>
        <v>CENTRAL ADOPTION REGISTRY FUND</v>
      </c>
    </row>
    <row r="245" spans="1:8" x14ac:dyDescent="0.25">
      <c r="A245" t="s">
        <v>68</v>
      </c>
      <c r="B245">
        <v>2966</v>
      </c>
      <c r="C245">
        <v>2.75</v>
      </c>
      <c r="D245" s="1">
        <v>44054</v>
      </c>
      <c r="E245" t="str">
        <f>"01805842"</f>
        <v>01805842</v>
      </c>
      <c r="F245" t="str">
        <f>"ACCT#005902/PIN LUG GASKET/P2"</f>
        <v>ACCT#005902/PIN LUG GASKET/P2</v>
      </c>
      <c r="G245" s="4">
        <v>2.75</v>
      </c>
      <c r="H245" t="str">
        <f>"ACCT#005902/PIN LUG GASKET/P2"</f>
        <v>ACCT#005902/PIN LUG GASKET/P2</v>
      </c>
    </row>
    <row r="246" spans="1:8" x14ac:dyDescent="0.25">
      <c r="A246" t="s">
        <v>68</v>
      </c>
      <c r="B246">
        <v>3043</v>
      </c>
      <c r="C246">
        <v>409.31</v>
      </c>
      <c r="D246" s="1">
        <v>44068</v>
      </c>
      <c r="E246" t="str">
        <f>"01807564"</f>
        <v>01807564</v>
      </c>
      <c r="F246" t="str">
        <f>"ACCT#000690/ORD#01412490/PCT#4"</f>
        <v>ACCT#000690/ORD#01412490/PCT#4</v>
      </c>
      <c r="G246" s="4">
        <v>139.63</v>
      </c>
      <c r="H246" t="str">
        <f>"ACCT#000690/ORD#01412490/PCT#4"</f>
        <v>ACCT#000690/ORD#01412490/PCT#4</v>
      </c>
    </row>
    <row r="247" spans="1:8" x14ac:dyDescent="0.25">
      <c r="E247" t="str">
        <f>"04002358"</f>
        <v>04002358</v>
      </c>
      <c r="F247" t="str">
        <f>"ACCT#000690/ORD#00424831/PCT#1"</f>
        <v>ACCT#000690/ORD#00424831/PCT#1</v>
      </c>
      <c r="G247" s="4">
        <v>269.68</v>
      </c>
      <c r="H247" t="str">
        <f>"ACCT#000690/ORD#00424831/PCT#4"</f>
        <v>ACCT#000690/ORD#00424831/PCT#4</v>
      </c>
    </row>
    <row r="248" spans="1:8" x14ac:dyDescent="0.25">
      <c r="A248" t="s">
        <v>69</v>
      </c>
      <c r="B248">
        <v>654</v>
      </c>
      <c r="C248">
        <v>4637.33</v>
      </c>
      <c r="D248" s="1">
        <v>44053</v>
      </c>
      <c r="E248" t="str">
        <f>"202008058196"</f>
        <v>202008058196</v>
      </c>
      <c r="F248" t="str">
        <f>"acct# 0058"</f>
        <v>acct# 0058</v>
      </c>
      <c r="G248" s="4">
        <v>4637.33</v>
      </c>
      <c r="H248" t="str">
        <f>"SkillPath"</f>
        <v>SkillPath</v>
      </c>
    </row>
    <row r="249" spans="1:8" x14ac:dyDescent="0.25">
      <c r="E249" t="str">
        <f>""</f>
        <v/>
      </c>
      <c r="F249" t="str">
        <f>""</f>
        <v/>
      </c>
      <c r="H249" t="str">
        <f>"Ricoh"</f>
        <v>Ricoh</v>
      </c>
    </row>
    <row r="250" spans="1:8" x14ac:dyDescent="0.25">
      <c r="E250" t="str">
        <f>""</f>
        <v/>
      </c>
      <c r="F250" t="str">
        <f>""</f>
        <v/>
      </c>
      <c r="H250" t="str">
        <f>"Cisco"</f>
        <v>Cisco</v>
      </c>
    </row>
    <row r="251" spans="1:8" x14ac:dyDescent="0.25">
      <c r="E251" t="str">
        <f>""</f>
        <v/>
      </c>
      <c r="F251" t="str">
        <f>""</f>
        <v/>
      </c>
      <c r="H251" t="str">
        <f>"GoDaddy"</f>
        <v>GoDaddy</v>
      </c>
    </row>
    <row r="252" spans="1:8" x14ac:dyDescent="0.25">
      <c r="E252" t="str">
        <f>""</f>
        <v/>
      </c>
      <c r="F252" t="str">
        <f>""</f>
        <v/>
      </c>
      <c r="H252" t="str">
        <f>"Google"</f>
        <v>Google</v>
      </c>
    </row>
    <row r="253" spans="1:8" x14ac:dyDescent="0.25">
      <c r="E253" t="str">
        <f>""</f>
        <v/>
      </c>
      <c r="F253" t="str">
        <f>""</f>
        <v/>
      </c>
      <c r="H253" t="str">
        <f>"GoDaddy"</f>
        <v>GoDaddy</v>
      </c>
    </row>
    <row r="254" spans="1:8" x14ac:dyDescent="0.25">
      <c r="E254" t="str">
        <f>""</f>
        <v/>
      </c>
      <c r="F254" t="str">
        <f>""</f>
        <v/>
      </c>
      <c r="H254" t="str">
        <f>"GoDaddy"</f>
        <v>GoDaddy</v>
      </c>
    </row>
    <row r="255" spans="1:8" x14ac:dyDescent="0.25">
      <c r="E255" t="str">
        <f>""</f>
        <v/>
      </c>
      <c r="F255" t="str">
        <f>""</f>
        <v/>
      </c>
      <c r="H255" t="str">
        <f>"RMA Toll"</f>
        <v>RMA Toll</v>
      </c>
    </row>
    <row r="256" spans="1:8" x14ac:dyDescent="0.25">
      <c r="E256" t="str">
        <f>""</f>
        <v/>
      </c>
      <c r="F256" t="str">
        <f>""</f>
        <v/>
      </c>
      <c r="H256" t="str">
        <f>"Notaries"</f>
        <v>Notaries</v>
      </c>
    </row>
    <row r="257" spans="5:8" x14ac:dyDescent="0.25">
      <c r="E257" t="str">
        <f>""</f>
        <v/>
      </c>
      <c r="F257" t="str">
        <f>""</f>
        <v/>
      </c>
      <c r="H257" t="str">
        <f>"Tceq"</f>
        <v>Tceq</v>
      </c>
    </row>
    <row r="258" spans="5:8" x14ac:dyDescent="0.25">
      <c r="E258" t="str">
        <f>""</f>
        <v/>
      </c>
      <c r="F258" t="str">
        <f>""</f>
        <v/>
      </c>
      <c r="H258" t="str">
        <f>"TCEQ"</f>
        <v>TCEQ</v>
      </c>
    </row>
    <row r="259" spans="5:8" x14ac:dyDescent="0.25">
      <c r="E259" t="str">
        <f>""</f>
        <v/>
      </c>
      <c r="F259" t="str">
        <f>""</f>
        <v/>
      </c>
      <c r="H259" t="str">
        <f>"Paypal"</f>
        <v>Paypal</v>
      </c>
    </row>
    <row r="260" spans="5:8" x14ac:dyDescent="0.25">
      <c r="E260" t="str">
        <f>""</f>
        <v/>
      </c>
      <c r="F260" t="str">
        <f>""</f>
        <v/>
      </c>
      <c r="H260" t="str">
        <f>"carnation"</f>
        <v>carnation</v>
      </c>
    </row>
    <row r="261" spans="5:8" x14ac:dyDescent="0.25">
      <c r="E261" t="str">
        <f>""</f>
        <v/>
      </c>
      <c r="F261" t="str">
        <f>""</f>
        <v/>
      </c>
      <c r="H261" t="str">
        <f>"Carnation"</f>
        <v>Carnation</v>
      </c>
    </row>
    <row r="262" spans="5:8" x14ac:dyDescent="0.25">
      <c r="E262" t="str">
        <f>""</f>
        <v/>
      </c>
      <c r="F262" t="str">
        <f>""</f>
        <v/>
      </c>
      <c r="H262" t="str">
        <f>"Rosanna"</f>
        <v>Rosanna</v>
      </c>
    </row>
    <row r="263" spans="5:8" x14ac:dyDescent="0.25">
      <c r="E263" t="str">
        <f>""</f>
        <v/>
      </c>
      <c r="F263" t="str">
        <f>""</f>
        <v/>
      </c>
      <c r="H263" t="str">
        <f>"Campbell"</f>
        <v>Campbell</v>
      </c>
    </row>
    <row r="264" spans="5:8" x14ac:dyDescent="0.25">
      <c r="E264" t="str">
        <f>""</f>
        <v/>
      </c>
      <c r="F264" t="str">
        <f>""</f>
        <v/>
      </c>
      <c r="H264" t="str">
        <f>"Walmart"</f>
        <v>Walmart</v>
      </c>
    </row>
    <row r="265" spans="5:8" x14ac:dyDescent="0.25">
      <c r="E265" t="str">
        <f>""</f>
        <v/>
      </c>
      <c r="F265" t="str">
        <f>""</f>
        <v/>
      </c>
      <c r="H265" t="str">
        <f>"Walmart"</f>
        <v>Walmart</v>
      </c>
    </row>
    <row r="266" spans="5:8" x14ac:dyDescent="0.25">
      <c r="E266" t="str">
        <f>""</f>
        <v/>
      </c>
      <c r="F266" t="str">
        <f>""</f>
        <v/>
      </c>
      <c r="H266" t="str">
        <f>"Walmart"</f>
        <v>Walmart</v>
      </c>
    </row>
    <row r="267" spans="5:8" x14ac:dyDescent="0.25">
      <c r="E267" t="str">
        <f>""</f>
        <v/>
      </c>
      <c r="F267" t="str">
        <f>""</f>
        <v/>
      </c>
      <c r="H267" t="str">
        <f>"Humane"</f>
        <v>Humane</v>
      </c>
    </row>
    <row r="268" spans="5:8" x14ac:dyDescent="0.25">
      <c r="E268" t="str">
        <f>""</f>
        <v/>
      </c>
      <c r="F268" t="str">
        <f>""</f>
        <v/>
      </c>
      <c r="H268" t="str">
        <f>"AAA"</f>
        <v>AAA</v>
      </c>
    </row>
    <row r="269" spans="5:8" x14ac:dyDescent="0.25">
      <c r="E269" t="str">
        <f>""</f>
        <v/>
      </c>
      <c r="F269" t="str">
        <f>""</f>
        <v/>
      </c>
      <c r="H269" t="str">
        <f>"Walmart"</f>
        <v>Walmart</v>
      </c>
    </row>
    <row r="270" spans="5:8" x14ac:dyDescent="0.25">
      <c r="E270" t="str">
        <f>""</f>
        <v/>
      </c>
      <c r="F270" t="str">
        <f>""</f>
        <v/>
      </c>
      <c r="H270" t="str">
        <f>"BlackLand"</f>
        <v>BlackLand</v>
      </c>
    </row>
    <row r="271" spans="5:8" x14ac:dyDescent="0.25">
      <c r="E271" t="str">
        <f>""</f>
        <v/>
      </c>
      <c r="F271" t="str">
        <f>""</f>
        <v/>
      </c>
      <c r="H271" t="str">
        <f>"Governement"</f>
        <v>Governement</v>
      </c>
    </row>
    <row r="272" spans="5:8" x14ac:dyDescent="0.25">
      <c r="E272" t="str">
        <f>""</f>
        <v/>
      </c>
      <c r="F272" t="str">
        <f>""</f>
        <v/>
      </c>
      <c r="H272" t="str">
        <f>"TxTag"</f>
        <v>TxTag</v>
      </c>
    </row>
    <row r="273" spans="1:8" x14ac:dyDescent="0.25">
      <c r="E273" t="str">
        <f>""</f>
        <v/>
      </c>
      <c r="F273" t="str">
        <f>""</f>
        <v/>
      </c>
      <c r="H273" t="str">
        <f>"Walmart"</f>
        <v>Walmart</v>
      </c>
    </row>
    <row r="274" spans="1:8" x14ac:dyDescent="0.25">
      <c r="E274" t="str">
        <f>""</f>
        <v/>
      </c>
      <c r="F274" t="str">
        <f>""</f>
        <v/>
      </c>
      <c r="H274" t="str">
        <f>"Walmart"</f>
        <v>Walmart</v>
      </c>
    </row>
    <row r="275" spans="1:8" x14ac:dyDescent="0.25">
      <c r="E275" t="str">
        <f>""</f>
        <v/>
      </c>
      <c r="F275" t="str">
        <f>""</f>
        <v/>
      </c>
      <c r="H275" t="str">
        <f>"RMA"</f>
        <v>RMA</v>
      </c>
    </row>
    <row r="276" spans="1:8" x14ac:dyDescent="0.25">
      <c r="E276" t="str">
        <f>""</f>
        <v/>
      </c>
      <c r="F276" t="str">
        <f>""</f>
        <v/>
      </c>
      <c r="H276" t="str">
        <f>"Parkers"</f>
        <v>Parkers</v>
      </c>
    </row>
    <row r="277" spans="1:8" x14ac:dyDescent="0.25">
      <c r="E277" t="str">
        <f>""</f>
        <v/>
      </c>
      <c r="F277" t="str">
        <f>""</f>
        <v/>
      </c>
      <c r="H277" t="str">
        <f>"Walmart"</f>
        <v>Walmart</v>
      </c>
    </row>
    <row r="278" spans="1:8" x14ac:dyDescent="0.25">
      <c r="A278" t="s">
        <v>69</v>
      </c>
      <c r="B278">
        <v>655</v>
      </c>
      <c r="C278">
        <v>718.77</v>
      </c>
      <c r="D278" s="1">
        <v>44053</v>
      </c>
      <c r="E278" t="str">
        <f>"202008058197"</f>
        <v>202008058197</v>
      </c>
      <c r="F278" t="str">
        <f>"STATEMENT 0574"</f>
        <v>STATEMENT 0574</v>
      </c>
      <c r="G278" s="4">
        <v>718.77</v>
      </c>
      <c r="H278" t="str">
        <f>"STAPLES"</f>
        <v>STAPLES</v>
      </c>
    </row>
    <row r="279" spans="1:8" x14ac:dyDescent="0.25">
      <c r="E279" t="str">
        <f>""</f>
        <v/>
      </c>
      <c r="F279" t="str">
        <f>""</f>
        <v/>
      </c>
      <c r="H279" t="str">
        <f>"CUSTOM COLLEGEN"</f>
        <v>CUSTOM COLLEGEN</v>
      </c>
    </row>
    <row r="280" spans="1:8" x14ac:dyDescent="0.25">
      <c r="E280" t="str">
        <f>""</f>
        <v/>
      </c>
      <c r="F280" t="str">
        <f>""</f>
        <v/>
      </c>
      <c r="H280" t="str">
        <f>"ACADEMY SPORTS"</f>
        <v>ACADEMY SPORTS</v>
      </c>
    </row>
    <row r="281" spans="1:8" x14ac:dyDescent="0.25">
      <c r="E281" t="str">
        <f>""</f>
        <v/>
      </c>
      <c r="F281" t="str">
        <f>""</f>
        <v/>
      </c>
      <c r="H281" t="str">
        <f>"WALMART"</f>
        <v>WALMART</v>
      </c>
    </row>
    <row r="282" spans="1:8" x14ac:dyDescent="0.25">
      <c r="E282" t="str">
        <f>""</f>
        <v/>
      </c>
      <c r="F282" t="str">
        <f>""</f>
        <v/>
      </c>
      <c r="H282" t="str">
        <f>"WEBINAR@PATCTECH"</f>
        <v>WEBINAR@PATCTECH</v>
      </c>
    </row>
    <row r="283" spans="1:8" x14ac:dyDescent="0.25">
      <c r="A283" t="s">
        <v>70</v>
      </c>
      <c r="B283">
        <v>132745</v>
      </c>
      <c r="C283">
        <v>200</v>
      </c>
      <c r="D283" s="1">
        <v>44067</v>
      </c>
      <c r="E283" t="str">
        <f>"202008188405"</f>
        <v>202008188405</v>
      </c>
      <c r="F283" t="str">
        <f>"REIMBURSE ACEA SYMPOSIUM"</f>
        <v>REIMBURSE ACEA SYMPOSIUM</v>
      </c>
      <c r="G283" s="4">
        <v>200</v>
      </c>
      <c r="H283" t="str">
        <f>"REIMBURSE ACEA SYMPOSIUM"</f>
        <v>REIMBURSE ACEA SYMPOSIUM</v>
      </c>
    </row>
    <row r="284" spans="1:8" x14ac:dyDescent="0.25">
      <c r="A284" t="s">
        <v>71</v>
      </c>
      <c r="B284">
        <v>132607</v>
      </c>
      <c r="C284">
        <v>1</v>
      </c>
      <c r="D284" s="1">
        <v>44053</v>
      </c>
      <c r="E284" t="s">
        <v>72</v>
      </c>
      <c r="F284" t="str">
        <f>"REFUND FOR OVERPAYMENT OF ABST"</f>
        <v>REFUND FOR OVERPAYMENT OF ABST</v>
      </c>
      <c r="G284" s="4">
        <v>1</v>
      </c>
      <c r="H284" t="str">
        <f>"REFUND FOR OVERPAYMENT OF ABST"</f>
        <v>REFUND FOR OVERPAYMENT OF ABST</v>
      </c>
    </row>
    <row r="285" spans="1:8" x14ac:dyDescent="0.25">
      <c r="A285" t="s">
        <v>73</v>
      </c>
      <c r="B285">
        <v>2980</v>
      </c>
      <c r="C285">
        <v>629.19000000000005</v>
      </c>
      <c r="D285" s="1">
        <v>44054</v>
      </c>
      <c r="E285" t="str">
        <f>"2LX8634"</f>
        <v>2LX8634</v>
      </c>
      <c r="F285" t="str">
        <f>"Webcams"</f>
        <v>Webcams</v>
      </c>
      <c r="G285" s="4">
        <v>169.98</v>
      </c>
      <c r="H285" t="str">
        <f>"4429927"</f>
        <v>4429927</v>
      </c>
    </row>
    <row r="286" spans="1:8" x14ac:dyDescent="0.25">
      <c r="E286" t="str">
        <f>"ZPS6534"</f>
        <v>ZPS6534</v>
      </c>
      <c r="F286" t="str">
        <f>"Replacement UPS"</f>
        <v>Replacement UPS</v>
      </c>
      <c r="G286" s="4">
        <v>459.21</v>
      </c>
      <c r="H286" t="str">
        <f>"Tripp Lite"</f>
        <v>Tripp Lite</v>
      </c>
    </row>
    <row r="287" spans="1:8" x14ac:dyDescent="0.25">
      <c r="A287" t="s">
        <v>73</v>
      </c>
      <c r="B287">
        <v>3065</v>
      </c>
      <c r="C287">
        <v>75.89</v>
      </c>
      <c r="D287" s="1">
        <v>44068</v>
      </c>
      <c r="E287" t="str">
        <f>"ZRC0420"</f>
        <v>ZRC0420</v>
      </c>
      <c r="F287" t="str">
        <f>"Mounting Kit"</f>
        <v>Mounting Kit</v>
      </c>
      <c r="G287" s="4">
        <v>75.89</v>
      </c>
      <c r="H287" t="str">
        <f>"Mounting Kit"</f>
        <v>Mounting Kit</v>
      </c>
    </row>
    <row r="288" spans="1:8" x14ac:dyDescent="0.25">
      <c r="A288" t="s">
        <v>74</v>
      </c>
      <c r="B288">
        <v>132869</v>
      </c>
      <c r="C288">
        <v>1485.66</v>
      </c>
      <c r="D288" s="1">
        <v>44070</v>
      </c>
      <c r="E288" t="str">
        <f>"202008278578"</f>
        <v>202008278578</v>
      </c>
      <c r="F288" t="str">
        <f>"ACCT#8000081165-5 / 08202020"</f>
        <v>ACCT#8000081165-5 / 08202020</v>
      </c>
      <c r="G288" s="4">
        <v>1485.66</v>
      </c>
      <c r="H288" t="str">
        <f>"ACCT#8000081165-5 / 08202020"</f>
        <v>ACCT#8000081165-5 / 08202020</v>
      </c>
    </row>
    <row r="289" spans="1:8" x14ac:dyDescent="0.25">
      <c r="E289" t="str">
        <f>""</f>
        <v/>
      </c>
      <c r="F289" t="str">
        <f>""</f>
        <v/>
      </c>
      <c r="H289" t="str">
        <f>"ACCT#8000081165-5 / 08202020"</f>
        <v>ACCT#8000081165-5 / 08202020</v>
      </c>
    </row>
    <row r="290" spans="1:8" x14ac:dyDescent="0.25">
      <c r="A290" t="s">
        <v>75</v>
      </c>
      <c r="B290">
        <v>3045</v>
      </c>
      <c r="C290">
        <v>474.03</v>
      </c>
      <c r="D290" s="1">
        <v>44068</v>
      </c>
      <c r="E290" t="str">
        <f>"7022783"</f>
        <v>7022783</v>
      </c>
      <c r="F290" t="str">
        <f>"CUST#271202/PCT#2"</f>
        <v>CUST#271202/PCT#2</v>
      </c>
      <c r="G290" s="4">
        <v>474.03</v>
      </c>
      <c r="H290" t="str">
        <f>"CUST#271202/PCT#2"</f>
        <v>CUST#271202/PCT#2</v>
      </c>
    </row>
    <row r="291" spans="1:8" x14ac:dyDescent="0.25">
      <c r="A291" t="s">
        <v>76</v>
      </c>
      <c r="B291">
        <v>132608</v>
      </c>
      <c r="C291">
        <v>675</v>
      </c>
      <c r="D291" s="1">
        <v>44053</v>
      </c>
      <c r="E291" t="str">
        <f>"202008058135"</f>
        <v>202008058135</v>
      </c>
      <c r="F291" t="str">
        <f>"19-19849"</f>
        <v>19-19849</v>
      </c>
      <c r="G291" s="4">
        <v>75</v>
      </c>
      <c r="H291" t="str">
        <f>"19-19849"</f>
        <v>19-19849</v>
      </c>
    </row>
    <row r="292" spans="1:8" x14ac:dyDescent="0.25">
      <c r="E292" t="str">
        <f>"202008058143"</f>
        <v>202008058143</v>
      </c>
      <c r="F292" t="str">
        <f>"20-20293"</f>
        <v>20-20293</v>
      </c>
      <c r="G292" s="4">
        <v>100</v>
      </c>
      <c r="H292" t="str">
        <f>"20-20293"</f>
        <v>20-20293</v>
      </c>
    </row>
    <row r="293" spans="1:8" x14ac:dyDescent="0.25">
      <c r="E293" t="str">
        <f>"202008058170"</f>
        <v>202008058170</v>
      </c>
      <c r="F293" t="str">
        <f>"57 093"</f>
        <v>57 093</v>
      </c>
      <c r="G293" s="4">
        <v>250</v>
      </c>
      <c r="H293" t="str">
        <f>"57 093"</f>
        <v>57 093</v>
      </c>
    </row>
    <row r="294" spans="1:8" x14ac:dyDescent="0.25">
      <c r="E294" t="str">
        <f>"202008058173"</f>
        <v>202008058173</v>
      </c>
      <c r="F294" t="str">
        <f>"4032701"</f>
        <v>4032701</v>
      </c>
      <c r="G294" s="4">
        <v>250</v>
      </c>
      <c r="H294" t="str">
        <f>"4032701"</f>
        <v>4032701</v>
      </c>
    </row>
    <row r="295" spans="1:8" x14ac:dyDescent="0.25">
      <c r="A295" t="s">
        <v>77</v>
      </c>
      <c r="B295">
        <v>132609</v>
      </c>
      <c r="C295">
        <v>70</v>
      </c>
      <c r="D295" s="1">
        <v>44053</v>
      </c>
      <c r="E295" t="str">
        <f>"13344"</f>
        <v>13344</v>
      </c>
      <c r="F295" t="str">
        <f>"REFUND OF SVC FEE"</f>
        <v>REFUND OF SVC FEE</v>
      </c>
      <c r="G295" s="4">
        <v>70</v>
      </c>
      <c r="H295" t="str">
        <f>"REFUND OF SVC FEE"</f>
        <v>REFUND OF SVC FEE</v>
      </c>
    </row>
    <row r="296" spans="1:8" x14ac:dyDescent="0.25">
      <c r="A296" t="s">
        <v>78</v>
      </c>
      <c r="B296">
        <v>2986</v>
      </c>
      <c r="C296">
        <v>2600</v>
      </c>
      <c r="D296" s="1">
        <v>44054</v>
      </c>
      <c r="E296" t="str">
        <f>"202007298027"</f>
        <v>202007298027</v>
      </c>
      <c r="F296" t="str">
        <f>"16 912"</f>
        <v>16 912</v>
      </c>
      <c r="G296" s="4">
        <v>1400</v>
      </c>
      <c r="H296" t="str">
        <f>"16 912"</f>
        <v>16 912</v>
      </c>
    </row>
    <row r="297" spans="1:8" x14ac:dyDescent="0.25">
      <c r="E297" t="str">
        <f>"202008058132"</f>
        <v>202008058132</v>
      </c>
      <c r="F297" t="str">
        <f>"17-18319"</f>
        <v>17-18319</v>
      </c>
      <c r="G297" s="4">
        <v>750</v>
      </c>
      <c r="H297" t="str">
        <f>"17-18319"</f>
        <v>17-18319</v>
      </c>
    </row>
    <row r="298" spans="1:8" x14ac:dyDescent="0.25">
      <c r="E298" t="str">
        <f>"202008058133"</f>
        <v>202008058133</v>
      </c>
      <c r="F298" t="str">
        <f>"19-19893"</f>
        <v>19-19893</v>
      </c>
      <c r="G298" s="4">
        <v>100</v>
      </c>
      <c r="H298" t="str">
        <f>"19-19893"</f>
        <v>19-19893</v>
      </c>
    </row>
    <row r="299" spans="1:8" x14ac:dyDescent="0.25">
      <c r="E299" t="str">
        <f>"202008058134"</f>
        <v>202008058134</v>
      </c>
      <c r="F299" t="str">
        <f>"5-3218"</f>
        <v>5-3218</v>
      </c>
      <c r="G299" s="4">
        <v>250</v>
      </c>
      <c r="H299" t="str">
        <f>"5-3218"</f>
        <v>5-3218</v>
      </c>
    </row>
    <row r="300" spans="1:8" x14ac:dyDescent="0.25">
      <c r="E300" t="str">
        <f>"202008058138"</f>
        <v>202008058138</v>
      </c>
      <c r="F300" t="str">
        <f>"J- ??????"</f>
        <v>J- ??????</v>
      </c>
      <c r="G300" s="4">
        <v>100</v>
      </c>
      <c r="H300" t="str">
        <f>"J- ??????"</f>
        <v>J- ??????</v>
      </c>
    </row>
    <row r="301" spans="1:8" x14ac:dyDescent="0.25">
      <c r="A301" t="s">
        <v>78</v>
      </c>
      <c r="B301">
        <v>3071</v>
      </c>
      <c r="C301">
        <v>2600</v>
      </c>
      <c r="D301" s="1">
        <v>44068</v>
      </c>
      <c r="E301" t="str">
        <f>"202008178392"</f>
        <v>202008178392</v>
      </c>
      <c r="F301" t="str">
        <f>"16479  16 656"</f>
        <v>16479  16 656</v>
      </c>
      <c r="G301" s="4">
        <v>600</v>
      </c>
      <c r="H301" t="str">
        <f>"16479  16 656"</f>
        <v>16479  16 656</v>
      </c>
    </row>
    <row r="302" spans="1:8" x14ac:dyDescent="0.25">
      <c r="E302" t="str">
        <f>"202008178393"</f>
        <v>202008178393</v>
      </c>
      <c r="F302" t="str">
        <f>"17 173"</f>
        <v>17 173</v>
      </c>
      <c r="G302" s="4">
        <v>400</v>
      </c>
      <c r="H302" t="str">
        <f>"17 173"</f>
        <v>17 173</v>
      </c>
    </row>
    <row r="303" spans="1:8" x14ac:dyDescent="0.25">
      <c r="E303" t="str">
        <f>"202008178394"</f>
        <v>202008178394</v>
      </c>
      <c r="F303" t="str">
        <f>"DCPC 19146"</f>
        <v>DCPC 19146</v>
      </c>
      <c r="G303" s="4">
        <v>400</v>
      </c>
      <c r="H303" t="str">
        <f>"DCPC 19146"</f>
        <v>DCPC 19146</v>
      </c>
    </row>
    <row r="304" spans="1:8" x14ac:dyDescent="0.25">
      <c r="E304" t="str">
        <f>"202008178395"</f>
        <v>202008178395</v>
      </c>
      <c r="F304" t="str">
        <f>"02-0003-3  02-003-4"</f>
        <v>02-0003-3  02-003-4</v>
      </c>
      <c r="G304" s="4">
        <v>600</v>
      </c>
      <c r="H304" t="str">
        <f>"02-0003-3  02-003-4"</f>
        <v>02-0003-3  02-003-4</v>
      </c>
    </row>
    <row r="305" spans="1:8" x14ac:dyDescent="0.25">
      <c r="E305" t="str">
        <f>"202008178396"</f>
        <v>202008178396</v>
      </c>
      <c r="F305" t="str">
        <f>"02-0510-1  02-0510-2"</f>
        <v>02-0510-1  02-0510-2</v>
      </c>
      <c r="G305" s="4">
        <v>600</v>
      </c>
      <c r="H305" t="str">
        <f>"02-0510-1  02-0510-2"</f>
        <v>02-0510-1  02-0510-2</v>
      </c>
    </row>
    <row r="306" spans="1:8" x14ac:dyDescent="0.25">
      <c r="A306" t="s">
        <v>79</v>
      </c>
      <c r="B306">
        <v>3040</v>
      </c>
      <c r="C306">
        <v>360</v>
      </c>
      <c r="D306" s="1">
        <v>44068</v>
      </c>
      <c r="E306" t="str">
        <f>"202008198442"</f>
        <v>202008198442</v>
      </c>
      <c r="F306" t="str">
        <f>"REIMBURSE EDUCATION &amp; TRAINING"</f>
        <v>REIMBURSE EDUCATION &amp; TRAINING</v>
      </c>
      <c r="G306" s="4">
        <v>360</v>
      </c>
      <c r="H306" t="str">
        <f>"REIMBURSE EDUCATION &amp; TRAINING"</f>
        <v>REIMBURSE EDUCATION &amp; TRAINING</v>
      </c>
    </row>
    <row r="307" spans="1:8" x14ac:dyDescent="0.25">
      <c r="A307" t="s">
        <v>80</v>
      </c>
      <c r="B307">
        <v>132610</v>
      </c>
      <c r="C307">
        <v>150</v>
      </c>
      <c r="D307" s="1">
        <v>44053</v>
      </c>
      <c r="E307" t="str">
        <f>"9097810307"</f>
        <v>9097810307</v>
      </c>
      <c r="F307" t="str">
        <f>"INV 9097810307"</f>
        <v>INV 9097810307</v>
      </c>
      <c r="G307" s="4">
        <v>100</v>
      </c>
      <c r="H307" t="str">
        <f>"INV 9097810307"</f>
        <v>INV 9097810307</v>
      </c>
    </row>
    <row r="308" spans="1:8" x14ac:dyDescent="0.25">
      <c r="E308" t="str">
        <f>"9097810308"</f>
        <v>9097810308</v>
      </c>
      <c r="F308" t="str">
        <f>"INV 9097810308"</f>
        <v>INV 9097810308</v>
      </c>
      <c r="G308" s="4">
        <v>50</v>
      </c>
      <c r="H308" t="str">
        <f>"INV 9097810308"</f>
        <v>INV 9097810308</v>
      </c>
    </row>
    <row r="309" spans="1:8" x14ac:dyDescent="0.25">
      <c r="A309" t="s">
        <v>81</v>
      </c>
      <c r="B309">
        <v>132611</v>
      </c>
      <c r="C309">
        <v>489.94</v>
      </c>
      <c r="D309" s="1">
        <v>44053</v>
      </c>
      <c r="E309" t="str">
        <f>"8404730050"</f>
        <v>8404730050</v>
      </c>
      <c r="F309" t="str">
        <f>"CUST#10377368/PCT#3"</f>
        <v>CUST#10377368/PCT#3</v>
      </c>
      <c r="G309" s="4">
        <v>489.94</v>
      </c>
      <c r="H309" t="str">
        <f>"CUST#10377368/PCT#3"</f>
        <v>CUST#10377368/PCT#3</v>
      </c>
    </row>
    <row r="310" spans="1:8" x14ac:dyDescent="0.25">
      <c r="A310" t="s">
        <v>82</v>
      </c>
      <c r="B310">
        <v>132746</v>
      </c>
      <c r="C310">
        <v>5131.8</v>
      </c>
      <c r="D310" s="1">
        <v>44067</v>
      </c>
      <c r="E310" t="str">
        <f>"202008128316"</f>
        <v>202008128316</v>
      </c>
      <c r="F310" t="str">
        <f>"PAYER#14108431/PCT#1"</f>
        <v>PAYER#14108431/PCT#1</v>
      </c>
      <c r="G310" s="4">
        <v>787.19</v>
      </c>
      <c r="H310" t="str">
        <f>"PAYER#14108431/PCT#1"</f>
        <v>PAYER#14108431/PCT#1</v>
      </c>
    </row>
    <row r="311" spans="1:8" x14ac:dyDescent="0.25">
      <c r="E311" t="str">
        <f>"202008128317"</f>
        <v>202008128317</v>
      </c>
      <c r="F311" t="str">
        <f>"PAYER#14108375/GEN SVCS"</f>
        <v>PAYER#14108375/GEN SVCS</v>
      </c>
      <c r="G311" s="4">
        <v>1815.37</v>
      </c>
      <c r="H311" t="str">
        <f>"PAYER#14108375/GEN SVCS"</f>
        <v>PAYER#14108375/GEN SVCS</v>
      </c>
    </row>
    <row r="312" spans="1:8" x14ac:dyDescent="0.25">
      <c r="E312" t="str">
        <f>"202008128328"</f>
        <v>202008128328</v>
      </c>
      <c r="F312" t="str">
        <f>"PAYER#14108431"</f>
        <v>PAYER#14108431</v>
      </c>
      <c r="G312" s="4">
        <v>54.8</v>
      </c>
      <c r="H312" t="str">
        <f>"PAYER#14108431"</f>
        <v>PAYER#14108431</v>
      </c>
    </row>
    <row r="313" spans="1:8" x14ac:dyDescent="0.25">
      <c r="E313" t="str">
        <f>"202008128330"</f>
        <v>202008128330</v>
      </c>
      <c r="F313" t="str">
        <f>"PAYER#14108367/PCT#2"</f>
        <v>PAYER#14108367/PCT#2</v>
      </c>
      <c r="G313" s="4">
        <v>926.8</v>
      </c>
      <c r="H313" t="str">
        <f>"PAYER#14108367/PCT#2"</f>
        <v>PAYER#14108367/PCT#2</v>
      </c>
    </row>
    <row r="314" spans="1:8" x14ac:dyDescent="0.25">
      <c r="E314" t="str">
        <f>"202008138339"</f>
        <v>202008138339</v>
      </c>
      <c r="F314" t="str">
        <f>"PAYER#14108430/PCT#4"</f>
        <v>PAYER#14108430/PCT#4</v>
      </c>
      <c r="G314" s="4">
        <v>1547.64</v>
      </c>
      <c r="H314" t="str">
        <f>"PAYER#14108430/PCT#4"</f>
        <v>PAYER#14108430/PCT#4</v>
      </c>
    </row>
    <row r="315" spans="1:8" x14ac:dyDescent="0.25">
      <c r="A315" t="s">
        <v>83</v>
      </c>
      <c r="B315">
        <v>132714</v>
      </c>
      <c r="C315">
        <v>2603.9499999999998</v>
      </c>
      <c r="D315" s="1">
        <v>44054</v>
      </c>
      <c r="E315" t="str">
        <f>"202008118299"</f>
        <v>202008118299</v>
      </c>
      <c r="F315" t="str">
        <f>"ACCT#72-5613 / 08032020"</f>
        <v>ACCT#72-5613 / 08032020</v>
      </c>
      <c r="G315" s="4">
        <v>2603.9499999999998</v>
      </c>
      <c r="H315" t="str">
        <f>"ACCT#72-5613 / 08032020"</f>
        <v>ACCT#72-5613 / 08032020</v>
      </c>
    </row>
    <row r="316" spans="1:8" x14ac:dyDescent="0.25">
      <c r="A316" t="s">
        <v>83</v>
      </c>
      <c r="B316">
        <v>132718</v>
      </c>
      <c r="C316">
        <v>10638.04</v>
      </c>
      <c r="D316" s="1">
        <v>44061</v>
      </c>
      <c r="E316" t="str">
        <f>"202008188412"</f>
        <v>202008188412</v>
      </c>
      <c r="F316" t="str">
        <f>"ACCT#72-5613 /06032020 REISSUE"</f>
        <v>ACCT#72-5613 /06032020 REISSUE</v>
      </c>
      <c r="G316" s="4">
        <v>10638.04</v>
      </c>
      <c r="H316" t="str">
        <f>"ACCT#72-5613 /06032020 REISSUE"</f>
        <v>ACCT#72-5613 /06032020 REISSUE</v>
      </c>
    </row>
    <row r="317" spans="1:8" x14ac:dyDescent="0.25">
      <c r="A317" t="s">
        <v>84</v>
      </c>
      <c r="B317">
        <v>132579</v>
      </c>
      <c r="C317">
        <v>49409.16</v>
      </c>
      <c r="D317" s="1">
        <v>44049</v>
      </c>
      <c r="E317" t="str">
        <f>"202008058203"</f>
        <v>202008058203</v>
      </c>
      <c r="F317" t="str">
        <f>"ACCT#02-2083-04 / 07292020"</f>
        <v>ACCT#02-2083-04 / 07292020</v>
      </c>
      <c r="G317" s="4">
        <v>6439.94</v>
      </c>
      <c r="H317" t="str">
        <f>"ACCT#02-2083-04 / 07292020"</f>
        <v>ACCT#02-2083-04 / 07292020</v>
      </c>
    </row>
    <row r="318" spans="1:8" x14ac:dyDescent="0.25">
      <c r="E318" t="str">
        <f>"202008058204"</f>
        <v>202008058204</v>
      </c>
      <c r="F318" t="str">
        <f>"COUNTY DEV CTR / 07292020"</f>
        <v>COUNTY DEV CTR / 07292020</v>
      </c>
      <c r="G318" s="4">
        <v>1940.84</v>
      </c>
      <c r="H318" t="str">
        <f>"COUNTY DEV CTR / 07292020"</f>
        <v>COUNTY DEV CTR / 07292020</v>
      </c>
    </row>
    <row r="319" spans="1:8" x14ac:dyDescent="0.25">
      <c r="E319" t="str">
        <f>"202008058205"</f>
        <v>202008058205</v>
      </c>
      <c r="F319" t="str">
        <f>"COUNTY LAW CTR / 07292020"</f>
        <v>COUNTY LAW CTR / 07292020</v>
      </c>
      <c r="G319" s="4">
        <v>26983.3</v>
      </c>
      <c r="H319" t="str">
        <f>"COUNTY LAW CTR / 07292020"</f>
        <v>COUNTY LAW CTR / 07292020</v>
      </c>
    </row>
    <row r="320" spans="1:8" x14ac:dyDescent="0.25">
      <c r="E320" t="str">
        <f>"202008058206"</f>
        <v>202008058206</v>
      </c>
      <c r="F320" t="str">
        <f>"BASTROP COURTHOUSE / 07292020"</f>
        <v>BASTROP COURTHOUSE / 07292020</v>
      </c>
      <c r="G320" s="4">
        <v>14045.08</v>
      </c>
      <c r="H320" t="str">
        <f>"BASTROP COURTHOUSE / 07292020"</f>
        <v>BASTROP COURTHOUSE / 07292020</v>
      </c>
    </row>
    <row r="321" spans="1:8" x14ac:dyDescent="0.25">
      <c r="A321" t="s">
        <v>84</v>
      </c>
      <c r="B321">
        <v>132747</v>
      </c>
      <c r="C321">
        <v>750</v>
      </c>
      <c r="D321" s="1">
        <v>44067</v>
      </c>
      <c r="E321" t="str">
        <f>"202008128318"</f>
        <v>202008128318</v>
      </c>
      <c r="F321" t="str">
        <f>"RENTAL - PARKING LOT"</f>
        <v>RENTAL - PARKING LOT</v>
      </c>
      <c r="G321" s="4">
        <v>750</v>
      </c>
      <c r="H321" t="str">
        <f>"RENTAL - PARKING LOT"</f>
        <v>RENTAL - PARKING LOT</v>
      </c>
    </row>
    <row r="322" spans="1:8" x14ac:dyDescent="0.25">
      <c r="A322" t="s">
        <v>85</v>
      </c>
      <c r="B322">
        <v>132580</v>
      </c>
      <c r="C322">
        <v>2209.2399999999998</v>
      </c>
      <c r="D322" s="1">
        <v>44049</v>
      </c>
      <c r="E322" t="str">
        <f>"202008058214"</f>
        <v>202008058214</v>
      </c>
      <c r="F322" t="str">
        <f>"ACCT#007-0000388-000/07292020"</f>
        <v>ACCT#007-0000388-000/07292020</v>
      </c>
      <c r="G322" s="4">
        <v>725.39</v>
      </c>
      <c r="H322" t="str">
        <f>"ACCT#007-0000388-000/07292020"</f>
        <v>ACCT#007-0000388-000/07292020</v>
      </c>
    </row>
    <row r="323" spans="1:8" x14ac:dyDescent="0.25">
      <c r="E323" t="str">
        <f>"202008058215"</f>
        <v>202008058215</v>
      </c>
      <c r="F323" t="str">
        <f>"ACCT#007-0000389-000/07292020"</f>
        <v>ACCT#007-0000389-000/07292020</v>
      </c>
      <c r="G323" s="4">
        <v>22.86</v>
      </c>
      <c r="H323" t="str">
        <f>"ACCT#007-0000389-000/07292020"</f>
        <v>ACCT#007-0000389-000/07292020</v>
      </c>
    </row>
    <row r="324" spans="1:8" x14ac:dyDescent="0.25">
      <c r="E324" t="str">
        <f>"202008058216"</f>
        <v>202008058216</v>
      </c>
      <c r="F324" t="str">
        <f>"ACCT#044-0001240-000/07292020"</f>
        <v>ACCT#044-0001240-000/07292020</v>
      </c>
      <c r="G324" s="4">
        <v>482.46</v>
      </c>
      <c r="H324" t="str">
        <f>"ACCT#044-0001240-000/07292020"</f>
        <v>ACCT#044-0001240-000/07292020</v>
      </c>
    </row>
    <row r="325" spans="1:8" x14ac:dyDescent="0.25">
      <c r="E325" t="str">
        <f>"202008058217"</f>
        <v>202008058217</v>
      </c>
      <c r="F325" t="str">
        <f>"ACCT#044-0001250-000/07292020"</f>
        <v>ACCT#044-0001250-000/07292020</v>
      </c>
      <c r="G325" s="4">
        <v>104.22</v>
      </c>
      <c r="H325" t="str">
        <f>"ACCT#044-0001250-000/07292020"</f>
        <v>ACCT#044-0001250-000/07292020</v>
      </c>
    </row>
    <row r="326" spans="1:8" x14ac:dyDescent="0.25">
      <c r="E326" t="str">
        <f>"202008058218"</f>
        <v>202008058218</v>
      </c>
      <c r="F326" t="str">
        <f>"ACCT#044-0001252-000/07292020"</f>
        <v>ACCT#044-0001252-000/07292020</v>
      </c>
      <c r="G326" s="4">
        <v>781.69</v>
      </c>
      <c r="H326" t="str">
        <f>"ACCT#044-0001252-000/07292020"</f>
        <v>ACCT#044-0001252-000/07292020</v>
      </c>
    </row>
    <row r="327" spans="1:8" x14ac:dyDescent="0.25">
      <c r="E327" t="str">
        <f>"202008058219"</f>
        <v>202008058219</v>
      </c>
      <c r="F327" t="str">
        <f>"ACCT#044-0001253-000/07292020"</f>
        <v>ACCT#044-0001253-000/07292020</v>
      </c>
      <c r="G327" s="4">
        <v>92.62</v>
      </c>
      <c r="H327" t="str">
        <f>"ACCT#044-0001253-000/07292020"</f>
        <v>ACCT#044-0001253-000/07292020</v>
      </c>
    </row>
    <row r="328" spans="1:8" x14ac:dyDescent="0.25">
      <c r="A328" t="s">
        <v>86</v>
      </c>
      <c r="B328">
        <v>3041</v>
      </c>
      <c r="C328">
        <v>851.2</v>
      </c>
      <c r="D328" s="1">
        <v>44068</v>
      </c>
      <c r="E328" t="str">
        <f>"80589"</f>
        <v>80589</v>
      </c>
      <c r="F328" t="str">
        <f>"cleanPen"</f>
        <v>cleanPen</v>
      </c>
      <c r="G328" s="4">
        <v>851.2</v>
      </c>
      <c r="H328" t="str">
        <f>"cleanPen"</f>
        <v>cleanPen</v>
      </c>
    </row>
    <row r="329" spans="1:8" x14ac:dyDescent="0.25">
      <c r="E329" t="str">
        <f>""</f>
        <v/>
      </c>
      <c r="F329" t="str">
        <f>""</f>
        <v/>
      </c>
      <c r="H329" t="str">
        <f>"shipping"</f>
        <v>shipping</v>
      </c>
    </row>
    <row r="330" spans="1:8" x14ac:dyDescent="0.25">
      <c r="A330" t="s">
        <v>87</v>
      </c>
      <c r="B330">
        <v>3008</v>
      </c>
      <c r="C330">
        <v>3767</v>
      </c>
      <c r="D330" s="1">
        <v>44068</v>
      </c>
      <c r="E330" t="str">
        <f>"PMA-013606"</f>
        <v>PMA-013606</v>
      </c>
      <c r="F330" t="str">
        <f>"AGREEMENT#PMA-013606"</f>
        <v>AGREEMENT#PMA-013606</v>
      </c>
      <c r="G330" s="4">
        <v>3767</v>
      </c>
      <c r="H330" t="str">
        <f>"AGREEMENT#PMA-013606"</f>
        <v>AGREEMENT#PMA-013606</v>
      </c>
    </row>
    <row r="331" spans="1:8" x14ac:dyDescent="0.25">
      <c r="A331" t="s">
        <v>88</v>
      </c>
      <c r="B331">
        <v>3046</v>
      </c>
      <c r="C331">
        <v>539.21</v>
      </c>
      <c r="D331" s="1">
        <v>44068</v>
      </c>
      <c r="E331" t="str">
        <f>"202006-0 202007-0"</f>
        <v>202006-0 202007-0</v>
      </c>
      <c r="F331" t="str">
        <f>"INV 202006-0"</f>
        <v>INV 202006-0</v>
      </c>
      <c r="G331" s="4">
        <v>288.70999999999998</v>
      </c>
      <c r="H331" t="str">
        <f>"INV 202006-0"</f>
        <v>INV 202006-0</v>
      </c>
    </row>
    <row r="332" spans="1:8" x14ac:dyDescent="0.25">
      <c r="E332" t="str">
        <f>""</f>
        <v/>
      </c>
      <c r="F332" t="str">
        <f>""</f>
        <v/>
      </c>
      <c r="H332" t="str">
        <f>"INV 202007-0"</f>
        <v>INV 202007-0</v>
      </c>
    </row>
    <row r="333" spans="1:8" x14ac:dyDescent="0.25">
      <c r="E333" t="str">
        <f>"202008178378"</f>
        <v>202008178378</v>
      </c>
      <c r="F333" t="str">
        <f>"INDIGENT HEALTH"</f>
        <v>INDIGENT HEALTH</v>
      </c>
      <c r="G333" s="4">
        <v>250.5</v>
      </c>
      <c r="H333" t="str">
        <f>"INDIGENT HEALTH"</f>
        <v>INDIGENT HEALTH</v>
      </c>
    </row>
    <row r="334" spans="1:8" x14ac:dyDescent="0.25">
      <c r="E334" t="str">
        <f>""</f>
        <v/>
      </c>
      <c r="F334" t="str">
        <f>""</f>
        <v/>
      </c>
      <c r="H334" t="str">
        <f>"INDIGENT HEALTH"</f>
        <v>INDIGENT HEALTH</v>
      </c>
    </row>
    <row r="335" spans="1:8" x14ac:dyDescent="0.25">
      <c r="A335" t="s">
        <v>89</v>
      </c>
      <c r="B335">
        <v>132748</v>
      </c>
      <c r="C335">
        <v>356</v>
      </c>
      <c r="D335" s="1">
        <v>44067</v>
      </c>
      <c r="E335" t="str">
        <f>"202008178401"</f>
        <v>202008178401</v>
      </c>
      <c r="F335" t="str">
        <f>"BOND#71174567"</f>
        <v>BOND#71174567</v>
      </c>
      <c r="G335" s="4">
        <v>356</v>
      </c>
      <c r="H335" t="str">
        <f>"BOND#71174567"</f>
        <v>BOND#71174567</v>
      </c>
    </row>
    <row r="336" spans="1:8" x14ac:dyDescent="0.25">
      <c r="A336" t="s">
        <v>90</v>
      </c>
      <c r="B336">
        <v>132872</v>
      </c>
      <c r="C336">
        <v>383.88</v>
      </c>
      <c r="D336" s="1">
        <v>44074</v>
      </c>
      <c r="E336" t="str">
        <f>"202008318590"</f>
        <v>202008318590</v>
      </c>
      <c r="F336" t="str">
        <f>"HOTEL TAX REFUND JUNE 2020"</f>
        <v>HOTEL TAX REFUND JUNE 2020</v>
      </c>
      <c r="G336" s="4">
        <v>383.88</v>
      </c>
      <c r="H336" t="str">
        <f>"HOTEL TAX REFUND JUNE 2020"</f>
        <v>HOTEL TAX REFUND JUNE 2020</v>
      </c>
    </row>
    <row r="337" spans="1:8" x14ac:dyDescent="0.25">
      <c r="A337" t="s">
        <v>91</v>
      </c>
      <c r="B337">
        <v>3013</v>
      </c>
      <c r="C337">
        <v>294</v>
      </c>
      <c r="D337" s="1">
        <v>44068</v>
      </c>
      <c r="E337" t="str">
        <f>"12457021856"</f>
        <v>12457021856</v>
      </c>
      <c r="F337" t="str">
        <f>"INV 12457021856"</f>
        <v>INV 12457021856</v>
      </c>
      <c r="G337" s="4">
        <v>294</v>
      </c>
      <c r="H337" t="str">
        <f>"INV 12457021856"</f>
        <v>INV 12457021856</v>
      </c>
    </row>
    <row r="338" spans="1:8" x14ac:dyDescent="0.25">
      <c r="A338" t="s">
        <v>92</v>
      </c>
      <c r="B338">
        <v>132586</v>
      </c>
      <c r="C338">
        <v>70</v>
      </c>
      <c r="D338" s="1">
        <v>44049</v>
      </c>
      <c r="E338" t="str">
        <f>"202008068279"</f>
        <v>202008068279</v>
      </c>
      <c r="F338" t="str">
        <f>"PER DIEM - LONGVIEW TX"</f>
        <v>PER DIEM - LONGVIEW TX</v>
      </c>
      <c r="G338" s="4">
        <v>70</v>
      </c>
      <c r="H338" t="str">
        <f>"PER DIEM - LONGVIEW TX"</f>
        <v>PER DIEM - LONGVIEW TX</v>
      </c>
    </row>
    <row r="339" spans="1:8" x14ac:dyDescent="0.25">
      <c r="A339" t="s">
        <v>92</v>
      </c>
      <c r="B339">
        <v>132612</v>
      </c>
      <c r="C339">
        <v>50</v>
      </c>
      <c r="D339" s="1">
        <v>44053</v>
      </c>
      <c r="E339" t="str">
        <f>"202008048101"</f>
        <v>202008048101</v>
      </c>
      <c r="F339" t="str">
        <f>"PER DIEM"</f>
        <v>PER DIEM</v>
      </c>
      <c r="G339" s="4">
        <v>50</v>
      </c>
      <c r="H339" t="str">
        <f>"PER DIEM"</f>
        <v>PER DIEM</v>
      </c>
    </row>
    <row r="340" spans="1:8" x14ac:dyDescent="0.25">
      <c r="A340" t="s">
        <v>93</v>
      </c>
      <c r="B340">
        <v>2967</v>
      </c>
      <c r="C340">
        <v>1061.49</v>
      </c>
      <c r="D340" s="1">
        <v>44054</v>
      </c>
      <c r="E340" t="str">
        <f>"IG00433"</f>
        <v>IG00433</v>
      </c>
      <c r="F340" t="str">
        <f>"ACCT#063/PCT#2"</f>
        <v>ACCT#063/PCT#2</v>
      </c>
      <c r="G340" s="4">
        <v>647.64</v>
      </c>
      <c r="H340" t="str">
        <f>"ACCT#063/PCT#2"</f>
        <v>ACCT#063/PCT#2</v>
      </c>
    </row>
    <row r="341" spans="1:8" x14ac:dyDescent="0.25">
      <c r="E341" t="str">
        <f>"IG00449"</f>
        <v>IG00449</v>
      </c>
      <c r="F341" t="str">
        <f>"ACCT#063/PARTS/PCT#4"</f>
        <v>ACCT#063/PARTS/PCT#4</v>
      </c>
      <c r="G341" s="4">
        <v>413.85</v>
      </c>
      <c r="H341" t="str">
        <f>"ACCT#063/PARTS/PCT#4"</f>
        <v>ACCT#063/PARTS/PCT#4</v>
      </c>
    </row>
    <row r="342" spans="1:8" x14ac:dyDescent="0.25">
      <c r="A342" t="s">
        <v>93</v>
      </c>
      <c r="B342">
        <v>3044</v>
      </c>
      <c r="C342">
        <v>2459.1</v>
      </c>
      <c r="D342" s="1">
        <v>44068</v>
      </c>
      <c r="E342" t="str">
        <f>"IG00408"</f>
        <v>IG00408</v>
      </c>
      <c r="F342" t="str">
        <f>"ACCT#063/MOTOR-SPRDR/PCT#2"</f>
        <v>ACCT#063/MOTOR-SPRDR/PCT#2</v>
      </c>
      <c r="G342" s="4">
        <v>1153.43</v>
      </c>
      <c r="H342" t="str">
        <f>"ACCT#063/MOTOR-SPRDR/PCT#2"</f>
        <v>ACCT#063/MOTOR-SPRDR/PCT#2</v>
      </c>
    </row>
    <row r="343" spans="1:8" x14ac:dyDescent="0.25">
      <c r="E343" t="str">
        <f>"IG00448"</f>
        <v>IG00448</v>
      </c>
      <c r="F343" t="str">
        <f>"ACCT#063/PCT#4"</f>
        <v>ACCT#063/PCT#4</v>
      </c>
      <c r="G343" s="4">
        <v>1137.67</v>
      </c>
      <c r="H343" t="str">
        <f>"ACCT#063/PCT#4"</f>
        <v>ACCT#063/PCT#4</v>
      </c>
    </row>
    <row r="344" spans="1:8" x14ac:dyDescent="0.25">
      <c r="E344" t="str">
        <f>"IG00473"</f>
        <v>IG00473</v>
      </c>
      <c r="F344" t="str">
        <f>"ACCT#063/HOSE/PCT#2"</f>
        <v>ACCT#063/HOSE/PCT#2</v>
      </c>
      <c r="G344" s="4">
        <v>168</v>
      </c>
      <c r="H344" t="str">
        <f>"ACCT#063/PCT#2"</f>
        <v>ACCT#063/PCT#2</v>
      </c>
    </row>
    <row r="345" spans="1:8" x14ac:dyDescent="0.25">
      <c r="A345" t="s">
        <v>94</v>
      </c>
      <c r="B345">
        <v>132613</v>
      </c>
      <c r="C345">
        <v>225</v>
      </c>
      <c r="D345" s="1">
        <v>44053</v>
      </c>
      <c r="E345" t="str">
        <f>"12679"</f>
        <v>12679</v>
      </c>
      <c r="F345" t="str">
        <f>"SERVICE"</f>
        <v>SERVICE</v>
      </c>
      <c r="G345" s="4">
        <v>75</v>
      </c>
      <c r="H345" t="str">
        <f>"SERVICE"</f>
        <v>SERVICE</v>
      </c>
    </row>
    <row r="346" spans="1:8" x14ac:dyDescent="0.25">
      <c r="E346" t="str">
        <f>"13344"</f>
        <v>13344</v>
      </c>
      <c r="F346" t="str">
        <f>"SERVICE"</f>
        <v>SERVICE</v>
      </c>
      <c r="G346" s="4">
        <v>75</v>
      </c>
      <c r="H346" t="str">
        <f>"SERVICE"</f>
        <v>SERVICE</v>
      </c>
    </row>
    <row r="347" spans="1:8" x14ac:dyDescent="0.25">
      <c r="E347" t="str">
        <f>"13368"</f>
        <v>13368</v>
      </c>
      <c r="F347" t="str">
        <f>"SERVICE"</f>
        <v>SERVICE</v>
      </c>
      <c r="G347" s="4">
        <v>75</v>
      </c>
      <c r="H347" t="str">
        <f>"SERVICE"</f>
        <v>SERVICE</v>
      </c>
    </row>
    <row r="348" spans="1:8" x14ac:dyDescent="0.25">
      <c r="A348" t="s">
        <v>95</v>
      </c>
      <c r="B348">
        <v>132614</v>
      </c>
      <c r="C348">
        <v>4369.25</v>
      </c>
      <c r="D348" s="1">
        <v>44053</v>
      </c>
      <c r="E348" t="str">
        <f>"TB76048"</f>
        <v>TB76048</v>
      </c>
      <c r="F348" t="str">
        <f>"ACCT#68930-000/ANIMAL SERVICES"</f>
        <v>ACCT#68930-000/ANIMAL SERVICES</v>
      </c>
      <c r="G348" s="4">
        <v>49.54</v>
      </c>
      <c r="H348" t="str">
        <f t="shared" ref="H348:H363" si="5">"ACCT#68930-000/ANIMAL SERVICES"</f>
        <v>ACCT#68930-000/ANIMAL SERVICES</v>
      </c>
    </row>
    <row r="349" spans="1:8" x14ac:dyDescent="0.25">
      <c r="E349" t="str">
        <f>"TE15939"</f>
        <v>TE15939</v>
      </c>
      <c r="F349" t="str">
        <f>"ACCT#68930-000/ANIMAL SERVICES"</f>
        <v>ACCT#68930-000/ANIMAL SERVICES</v>
      </c>
      <c r="G349" s="4">
        <v>775</v>
      </c>
      <c r="H349" t="str">
        <f t="shared" si="5"/>
        <v>ACCT#68930-000/ANIMAL SERVICES</v>
      </c>
    </row>
    <row r="350" spans="1:8" x14ac:dyDescent="0.25">
      <c r="E350" t="str">
        <f>""</f>
        <v/>
      </c>
      <c r="F350" t="str">
        <f>""</f>
        <v/>
      </c>
      <c r="H350" t="str">
        <f t="shared" si="5"/>
        <v>ACCT#68930-000/ANIMAL SERVICES</v>
      </c>
    </row>
    <row r="351" spans="1:8" x14ac:dyDescent="0.25">
      <c r="E351" t="str">
        <f>"TE23328"</f>
        <v>TE23328</v>
      </c>
      <c r="F351" t="str">
        <f>"ACCT#68930-000/ANIMAL SERVICES"</f>
        <v>ACCT#68930-000/ANIMAL SERVICES</v>
      </c>
      <c r="G351" s="4">
        <v>146.24</v>
      </c>
      <c r="H351" t="str">
        <f t="shared" si="5"/>
        <v>ACCT#68930-000/ANIMAL SERVICES</v>
      </c>
    </row>
    <row r="352" spans="1:8" x14ac:dyDescent="0.25">
      <c r="E352" t="str">
        <f>""</f>
        <v/>
      </c>
      <c r="F352" t="str">
        <f>""</f>
        <v/>
      </c>
      <c r="H352" t="str">
        <f t="shared" si="5"/>
        <v>ACCT#68930-000/ANIMAL SERVICES</v>
      </c>
    </row>
    <row r="353" spans="1:8" x14ac:dyDescent="0.25">
      <c r="E353" t="str">
        <f>"TE24397"</f>
        <v>TE24397</v>
      </c>
      <c r="F353" t="str">
        <f>"ACCT#68930-000/ANIMAL SERVICES"</f>
        <v>ACCT#68930-000/ANIMAL SERVICES</v>
      </c>
      <c r="G353" s="4">
        <v>528.54999999999995</v>
      </c>
      <c r="H353" t="str">
        <f t="shared" si="5"/>
        <v>ACCT#68930-000/ANIMAL SERVICES</v>
      </c>
    </row>
    <row r="354" spans="1:8" x14ac:dyDescent="0.25">
      <c r="E354" t="str">
        <f>""</f>
        <v/>
      </c>
      <c r="F354" t="str">
        <f>""</f>
        <v/>
      </c>
      <c r="H354" t="str">
        <f t="shared" si="5"/>
        <v>ACCT#68930-000/ANIMAL SERVICES</v>
      </c>
    </row>
    <row r="355" spans="1:8" x14ac:dyDescent="0.25">
      <c r="E355" t="str">
        <f>""</f>
        <v/>
      </c>
      <c r="F355" t="str">
        <f>""</f>
        <v/>
      </c>
      <c r="H355" t="str">
        <f t="shared" si="5"/>
        <v>ACCT#68930-000/ANIMAL SERVICES</v>
      </c>
    </row>
    <row r="356" spans="1:8" x14ac:dyDescent="0.25">
      <c r="E356" t="str">
        <f>"TE32702"</f>
        <v>TE32702</v>
      </c>
      <c r="F356" t="str">
        <f>"ACCT#68930-000/ANIMAL SERVICES"</f>
        <v>ACCT#68930-000/ANIMAL SERVICES</v>
      </c>
      <c r="G356" s="4">
        <v>7.35</v>
      </c>
      <c r="H356" t="str">
        <f t="shared" si="5"/>
        <v>ACCT#68930-000/ANIMAL SERVICES</v>
      </c>
    </row>
    <row r="357" spans="1:8" x14ac:dyDescent="0.25">
      <c r="E357" t="str">
        <f>"TE63958"</f>
        <v>TE63958</v>
      </c>
      <c r="F357" t="str">
        <f>"ACCT#68930-000/ANIMAL SERVICES"</f>
        <v>ACCT#68930-000/ANIMAL SERVICES</v>
      </c>
      <c r="G357" s="4">
        <v>507.3</v>
      </c>
      <c r="H357" t="str">
        <f t="shared" si="5"/>
        <v>ACCT#68930-000/ANIMAL SERVICES</v>
      </c>
    </row>
    <row r="358" spans="1:8" x14ac:dyDescent="0.25">
      <c r="E358" t="str">
        <f>"TE89560"</f>
        <v>TE89560</v>
      </c>
      <c r="F358" t="str">
        <f>"ACCT#68930-000/ANIMAL SERVICES"</f>
        <v>ACCT#68930-000/ANIMAL SERVICES</v>
      </c>
      <c r="G358" s="4">
        <v>929.95</v>
      </c>
      <c r="H358" t="str">
        <f t="shared" si="5"/>
        <v>ACCT#68930-000/ANIMAL SERVICES</v>
      </c>
    </row>
    <row r="359" spans="1:8" x14ac:dyDescent="0.25">
      <c r="E359" t="str">
        <f>"TE97230"</f>
        <v>TE97230</v>
      </c>
      <c r="F359" t="str">
        <f>"ACCT#68930-000/ANIMAL SERVICES"</f>
        <v>ACCT#68930-000/ANIMAL SERVICES</v>
      </c>
      <c r="G359" s="4">
        <v>754.62</v>
      </c>
      <c r="H359" t="str">
        <f t="shared" si="5"/>
        <v>ACCT#68930-000/ANIMAL SERVICES</v>
      </c>
    </row>
    <row r="360" spans="1:8" x14ac:dyDescent="0.25">
      <c r="E360" t="str">
        <f>""</f>
        <v/>
      </c>
      <c r="F360" t="str">
        <f>""</f>
        <v/>
      </c>
      <c r="H360" t="str">
        <f t="shared" si="5"/>
        <v>ACCT#68930-000/ANIMAL SERVICES</v>
      </c>
    </row>
    <row r="361" spans="1:8" x14ac:dyDescent="0.25">
      <c r="E361" t="str">
        <f>""</f>
        <v/>
      </c>
      <c r="F361" t="str">
        <f>""</f>
        <v/>
      </c>
      <c r="H361" t="str">
        <f t="shared" si="5"/>
        <v>ACCT#68930-000/ANIMAL SERVICES</v>
      </c>
    </row>
    <row r="362" spans="1:8" x14ac:dyDescent="0.25">
      <c r="E362" t="str">
        <f>"TF54161"</f>
        <v>TF54161</v>
      </c>
      <c r="F362" t="str">
        <f>"ACCT#68930-000/ANIMAL SERVICES"</f>
        <v>ACCT#68930-000/ANIMAL SERVICES</v>
      </c>
      <c r="G362" s="4">
        <v>670.7</v>
      </c>
      <c r="H362" t="str">
        <f t="shared" si="5"/>
        <v>ACCT#68930-000/ANIMAL SERVICES</v>
      </c>
    </row>
    <row r="363" spans="1:8" x14ac:dyDescent="0.25">
      <c r="E363" t="str">
        <f>""</f>
        <v/>
      </c>
      <c r="F363" t="str">
        <f>""</f>
        <v/>
      </c>
      <c r="H363" t="str">
        <f t="shared" si="5"/>
        <v>ACCT#68930-000/ANIMAL SERVICES</v>
      </c>
    </row>
    <row r="364" spans="1:8" x14ac:dyDescent="0.25">
      <c r="A364" t="s">
        <v>95</v>
      </c>
      <c r="B364">
        <v>132749</v>
      </c>
      <c r="C364">
        <v>893</v>
      </c>
      <c r="D364" s="1">
        <v>44067</v>
      </c>
      <c r="E364" t="str">
        <f>"TG52761"</f>
        <v>TG52761</v>
      </c>
      <c r="F364" t="str">
        <f>"ACCT#68930-000/ANIMAL SVCS"</f>
        <v>ACCT#68930-000/ANIMAL SVCS</v>
      </c>
      <c r="G364" s="4">
        <v>235</v>
      </c>
      <c r="H364" t="str">
        <f>"ACCT#68930-000/ANIMAL SVCS"</f>
        <v>ACCT#68930-000/ANIMAL SVCS</v>
      </c>
    </row>
    <row r="365" spans="1:8" x14ac:dyDescent="0.25">
      <c r="E365" t="str">
        <f>"TG83523"</f>
        <v>TG83523</v>
      </c>
      <c r="F365" t="str">
        <f>"ACCT#68930-000/ANIMAL SVCS"</f>
        <v>ACCT#68930-000/ANIMAL SVCS</v>
      </c>
      <c r="G365" s="4">
        <v>658</v>
      </c>
      <c r="H365" t="str">
        <f>"ACCT#68930-000/ANIMAL SVCS"</f>
        <v>ACCT#68930-000/ANIMAL SVCS</v>
      </c>
    </row>
    <row r="366" spans="1:8" x14ac:dyDescent="0.25">
      <c r="E366" t="str">
        <f>""</f>
        <v/>
      </c>
      <c r="F366" t="str">
        <f>""</f>
        <v/>
      </c>
      <c r="H366" t="str">
        <f>"ACCT#68930-000/ANIMAL SVCS"</f>
        <v>ACCT#68930-000/ANIMAL SVCS</v>
      </c>
    </row>
    <row r="367" spans="1:8" x14ac:dyDescent="0.25">
      <c r="A367" t="s">
        <v>96</v>
      </c>
      <c r="B367">
        <v>132615</v>
      </c>
      <c r="C367">
        <v>750</v>
      </c>
      <c r="D367" s="1">
        <v>44053</v>
      </c>
      <c r="E367" t="str">
        <f>"202007298045"</f>
        <v>202007298045</v>
      </c>
      <c r="F367" t="str">
        <f>"PSYCH EVALUATION - B. COOKE"</f>
        <v>PSYCH EVALUATION - B. COOKE</v>
      </c>
      <c r="G367" s="4">
        <v>250</v>
      </c>
      <c r="H367" t="str">
        <f>"PSYCH EVALUATION - B. COOKE"</f>
        <v>PSYCH EVALUATION - B. COOKE</v>
      </c>
    </row>
    <row r="368" spans="1:8" x14ac:dyDescent="0.25">
      <c r="E368" t="str">
        <f>"202008048098"</f>
        <v>202008048098</v>
      </c>
      <c r="F368" t="str">
        <f>"JULY INVOICE"</f>
        <v>JULY INVOICE</v>
      </c>
      <c r="G368" s="4">
        <v>500</v>
      </c>
      <c r="H368" t="str">
        <f>"JULY INVOICE"</f>
        <v>JULY INVOICE</v>
      </c>
    </row>
    <row r="369" spans="1:8" x14ac:dyDescent="0.25">
      <c r="A369" t="s">
        <v>97</v>
      </c>
      <c r="B369">
        <v>132616</v>
      </c>
      <c r="C369">
        <v>160</v>
      </c>
      <c r="D369" s="1">
        <v>44053</v>
      </c>
      <c r="E369" t="s">
        <v>45</v>
      </c>
      <c r="F369" t="str">
        <f>"SERVICE"</f>
        <v>SERVICE</v>
      </c>
      <c r="G369" s="4">
        <v>80</v>
      </c>
      <c r="H369" t="str">
        <f>"SERVICE"</f>
        <v>SERVICE</v>
      </c>
    </row>
    <row r="370" spans="1:8" x14ac:dyDescent="0.25">
      <c r="E370" t="str">
        <f>"12967"</f>
        <v>12967</v>
      </c>
      <c r="F370" t="str">
        <f>"SERVICE"</f>
        <v>SERVICE</v>
      </c>
      <c r="G370" s="4">
        <v>80</v>
      </c>
      <c r="H370" t="str">
        <f>"SERVICE"</f>
        <v>SERVICE</v>
      </c>
    </row>
    <row r="371" spans="1:8" x14ac:dyDescent="0.25">
      <c r="A371" t="s">
        <v>97</v>
      </c>
      <c r="B371">
        <v>132750</v>
      </c>
      <c r="C371">
        <v>160</v>
      </c>
      <c r="D371" s="1">
        <v>44067</v>
      </c>
      <c r="E371" t="str">
        <f>"12195"</f>
        <v>12195</v>
      </c>
      <c r="F371" t="str">
        <f>"SERVICE"</f>
        <v>SERVICE</v>
      </c>
      <c r="G371" s="4">
        <v>80</v>
      </c>
      <c r="H371" t="str">
        <f>"SERVICE"</f>
        <v>SERVICE</v>
      </c>
    </row>
    <row r="372" spans="1:8" x14ac:dyDescent="0.25">
      <c r="E372" t="str">
        <f>"12435"</f>
        <v>12435</v>
      </c>
      <c r="F372" t="str">
        <f>"SERVICE"</f>
        <v>SERVICE</v>
      </c>
      <c r="G372" s="4">
        <v>80</v>
      </c>
      <c r="H372" t="str">
        <f>"SERVICE"</f>
        <v>SERVICE</v>
      </c>
    </row>
    <row r="373" spans="1:8" x14ac:dyDescent="0.25">
      <c r="A373" t="s">
        <v>98</v>
      </c>
      <c r="B373">
        <v>132617</v>
      </c>
      <c r="C373">
        <v>350</v>
      </c>
      <c r="D373" s="1">
        <v>44053</v>
      </c>
      <c r="E373" t="str">
        <f>"202008058141"</f>
        <v>202008058141</v>
      </c>
      <c r="F373" t="str">
        <f>"20-20171"</f>
        <v>20-20171</v>
      </c>
      <c r="G373" s="4">
        <v>100</v>
      </c>
      <c r="H373" t="str">
        <f>"20-20171"</f>
        <v>20-20171</v>
      </c>
    </row>
    <row r="374" spans="1:8" x14ac:dyDescent="0.25">
      <c r="E374" t="str">
        <f>"202008058171"</f>
        <v>202008058171</v>
      </c>
      <c r="F374" t="str">
        <f>"JP#40225208"</f>
        <v>JP#40225208</v>
      </c>
      <c r="G374" s="4">
        <v>250</v>
      </c>
      <c r="H374" t="str">
        <f>"JP#40225208"</f>
        <v>JP#40225208</v>
      </c>
    </row>
    <row r="375" spans="1:8" x14ac:dyDescent="0.25">
      <c r="A375" t="s">
        <v>99</v>
      </c>
      <c r="B375">
        <v>2978</v>
      </c>
      <c r="C375">
        <v>413.4</v>
      </c>
      <c r="D375" s="1">
        <v>44054</v>
      </c>
      <c r="E375" t="str">
        <f>"INV1206867"</f>
        <v>INV1206867</v>
      </c>
      <c r="F375" t="str">
        <f>"INV1206867"</f>
        <v>INV1206867</v>
      </c>
      <c r="G375" s="4">
        <v>413.4</v>
      </c>
      <c r="H375" t="str">
        <f>"INV1206867"</f>
        <v>INV1206867</v>
      </c>
    </row>
    <row r="376" spans="1:8" x14ac:dyDescent="0.25">
      <c r="A376" t="s">
        <v>100</v>
      </c>
      <c r="B376">
        <v>132618</v>
      </c>
      <c r="C376">
        <v>100</v>
      </c>
      <c r="D376" s="1">
        <v>44053</v>
      </c>
      <c r="E376" t="str">
        <f>"202008038073"</f>
        <v>202008038073</v>
      </c>
      <c r="F376" t="str">
        <f>"LEGAL CONSULT SCVS - JULY"</f>
        <v>LEGAL CONSULT SCVS - JULY</v>
      </c>
      <c r="G376" s="4">
        <v>100</v>
      </c>
      <c r="H376" t="str">
        <f>"LEGAL CONSULT SCVS - JULY"</f>
        <v>LEGAL CONSULT SCVS - JULY</v>
      </c>
    </row>
    <row r="377" spans="1:8" x14ac:dyDescent="0.25">
      <c r="A377" t="s">
        <v>101</v>
      </c>
      <c r="B377">
        <v>2942</v>
      </c>
      <c r="C377">
        <v>1057.5</v>
      </c>
      <c r="D377" s="1">
        <v>44054</v>
      </c>
      <c r="E377" t="str">
        <f>"202008058152"</f>
        <v>202008058152</v>
      </c>
      <c r="F377" t="str">
        <f>"17-18754"</f>
        <v>17-18754</v>
      </c>
      <c r="G377" s="4">
        <v>37.5</v>
      </c>
      <c r="H377" t="str">
        <f>"17-18754"</f>
        <v>17-18754</v>
      </c>
    </row>
    <row r="378" spans="1:8" x14ac:dyDescent="0.25">
      <c r="E378" t="str">
        <f>"202008058153"</f>
        <v>202008058153</v>
      </c>
      <c r="F378" t="str">
        <f>"20-20096"</f>
        <v>20-20096</v>
      </c>
      <c r="G378" s="4">
        <v>225</v>
      </c>
      <c r="H378" t="str">
        <f>"20-20096"</f>
        <v>20-20096</v>
      </c>
    </row>
    <row r="379" spans="1:8" x14ac:dyDescent="0.25">
      <c r="E379" t="str">
        <f>"202008058154"</f>
        <v>202008058154</v>
      </c>
      <c r="F379" t="str">
        <f>"17-17513"</f>
        <v>17-17513</v>
      </c>
      <c r="G379" s="4">
        <v>52.5</v>
      </c>
      <c r="H379" t="str">
        <f>"17-17513"</f>
        <v>17-17513</v>
      </c>
    </row>
    <row r="380" spans="1:8" x14ac:dyDescent="0.25">
      <c r="E380" t="str">
        <f>"202008058155"</f>
        <v>202008058155</v>
      </c>
      <c r="F380" t="str">
        <f>"19-19445"</f>
        <v>19-19445</v>
      </c>
      <c r="G380" s="4">
        <v>97.5</v>
      </c>
      <c r="H380" t="str">
        <f>"19-19445"</f>
        <v>19-19445</v>
      </c>
    </row>
    <row r="381" spans="1:8" x14ac:dyDescent="0.25">
      <c r="E381" t="str">
        <f>"202008058156"</f>
        <v>202008058156</v>
      </c>
      <c r="F381" t="str">
        <f>"20-20030"</f>
        <v>20-20030</v>
      </c>
      <c r="G381" s="4">
        <v>172.5</v>
      </c>
      <c r="H381" t="str">
        <f>"20-20030"</f>
        <v>20-20030</v>
      </c>
    </row>
    <row r="382" spans="1:8" x14ac:dyDescent="0.25">
      <c r="E382" t="str">
        <f>"202008058157"</f>
        <v>202008058157</v>
      </c>
      <c r="F382" t="str">
        <f>"19-19967"</f>
        <v>19-19967</v>
      </c>
      <c r="G382" s="4">
        <v>120</v>
      </c>
      <c r="H382" t="str">
        <f>"19-19967"</f>
        <v>19-19967</v>
      </c>
    </row>
    <row r="383" spans="1:8" x14ac:dyDescent="0.25">
      <c r="E383" t="str">
        <f>"202008058158"</f>
        <v>202008058158</v>
      </c>
      <c r="F383" t="str">
        <f>"20-20130"</f>
        <v>20-20130</v>
      </c>
      <c r="G383" s="4">
        <v>195</v>
      </c>
      <c r="H383" t="str">
        <f>"20-20130"</f>
        <v>20-20130</v>
      </c>
    </row>
    <row r="384" spans="1:8" x14ac:dyDescent="0.25">
      <c r="E384" t="str">
        <f>"202008058159"</f>
        <v>202008058159</v>
      </c>
      <c r="F384" t="str">
        <f>"19-19638"</f>
        <v>19-19638</v>
      </c>
      <c r="G384" s="4">
        <v>157.5</v>
      </c>
      <c r="H384" t="str">
        <f>"19-19638"</f>
        <v>19-19638</v>
      </c>
    </row>
    <row r="385" spans="1:8" x14ac:dyDescent="0.25">
      <c r="A385" t="s">
        <v>102</v>
      </c>
      <c r="B385">
        <v>132619</v>
      </c>
      <c r="C385">
        <v>1088.8800000000001</v>
      </c>
      <c r="D385" s="1">
        <v>44053</v>
      </c>
      <c r="E385" t="str">
        <f>"2001833  2004718"</f>
        <v>2001833  2004718</v>
      </c>
      <c r="F385" t="str">
        <f>"INV 2001833"</f>
        <v>INV 2001833</v>
      </c>
      <c r="G385" s="4">
        <v>1088.8800000000001</v>
      </c>
      <c r="H385" t="str">
        <f>"INV 2001833"</f>
        <v>INV 2001833</v>
      </c>
    </row>
    <row r="386" spans="1:8" x14ac:dyDescent="0.25">
      <c r="E386" t="str">
        <f>""</f>
        <v/>
      </c>
      <c r="F386" t="str">
        <f>""</f>
        <v/>
      </c>
      <c r="H386" t="str">
        <f>"INV 2004718"</f>
        <v>INV 2004718</v>
      </c>
    </row>
    <row r="387" spans="1:8" x14ac:dyDescent="0.25">
      <c r="A387" t="s">
        <v>102</v>
      </c>
      <c r="B387">
        <v>132751</v>
      </c>
      <c r="C387">
        <v>1135.2</v>
      </c>
      <c r="D387" s="1">
        <v>44067</v>
      </c>
      <c r="E387" t="str">
        <f>"2009473  2013660"</f>
        <v>2009473  2013660</v>
      </c>
      <c r="F387" t="str">
        <f>"INV 2009473"</f>
        <v>INV 2009473</v>
      </c>
      <c r="G387" s="4">
        <v>1135.2</v>
      </c>
      <c r="H387" t="str">
        <f>"INV 2009473"</f>
        <v>INV 2009473</v>
      </c>
    </row>
    <row r="388" spans="1:8" x14ac:dyDescent="0.25">
      <c r="E388" t="str">
        <f>""</f>
        <v/>
      </c>
      <c r="F388" t="str">
        <f>""</f>
        <v/>
      </c>
      <c r="H388" t="str">
        <f>"INV 2013660"</f>
        <v>INV 2013660</v>
      </c>
    </row>
    <row r="389" spans="1:8" x14ac:dyDescent="0.25">
      <c r="A389" t="s">
        <v>103</v>
      </c>
      <c r="B389">
        <v>132620</v>
      </c>
      <c r="C389">
        <v>5234.74</v>
      </c>
      <c r="D389" s="1">
        <v>44053</v>
      </c>
      <c r="E389" t="str">
        <f>"10404565161"</f>
        <v>10404565161</v>
      </c>
      <c r="F389" t="str">
        <f>"MONITORS FOR JEFF"</f>
        <v>MONITORS FOR JEFF</v>
      </c>
      <c r="G389" s="4">
        <v>356.18</v>
      </c>
      <c r="H389" t="str">
        <f>"Dell 23 Monitor – P2"</f>
        <v>Dell 23 Monitor – P2</v>
      </c>
    </row>
    <row r="390" spans="1:8" x14ac:dyDescent="0.25">
      <c r="E390" t="str">
        <f>""</f>
        <v/>
      </c>
      <c r="F390" t="str">
        <f>""</f>
        <v/>
      </c>
      <c r="H390" t="str">
        <f>"DISCOUNT"</f>
        <v>DISCOUNT</v>
      </c>
    </row>
    <row r="391" spans="1:8" x14ac:dyDescent="0.25">
      <c r="E391" t="str">
        <f>"10406303898"</f>
        <v>10406303898</v>
      </c>
      <c r="F391" t="str">
        <f>"Monitor for JP 1"</f>
        <v>Monitor for JP 1</v>
      </c>
      <c r="G391" s="4">
        <v>178.09</v>
      </c>
      <c r="H391" t="str">
        <f>"Monitor for JP 1"</f>
        <v>Monitor for JP 1</v>
      </c>
    </row>
    <row r="392" spans="1:8" x14ac:dyDescent="0.25">
      <c r="E392" t="str">
        <f>""</f>
        <v/>
      </c>
      <c r="F392" t="str">
        <f>""</f>
        <v/>
      </c>
      <c r="H392" t="str">
        <f>"discount"</f>
        <v>discount</v>
      </c>
    </row>
    <row r="393" spans="1:8" x14ac:dyDescent="0.25">
      <c r="E393" t="str">
        <f>"10412018150"</f>
        <v>10412018150</v>
      </c>
      <c r="F393" t="str">
        <f>"Dell Order"</f>
        <v>Dell Order</v>
      </c>
      <c r="G393" s="4">
        <v>4650.08</v>
      </c>
      <c r="H393" t="str">
        <f>"Docking Station"</f>
        <v>Docking Station</v>
      </c>
    </row>
    <row r="394" spans="1:8" x14ac:dyDescent="0.25">
      <c r="E394" t="str">
        <f>""</f>
        <v/>
      </c>
      <c r="F394" t="str">
        <f>""</f>
        <v/>
      </c>
      <c r="H394" t="str">
        <f>"Premier Discount"</f>
        <v>Premier Discount</v>
      </c>
    </row>
    <row r="395" spans="1:8" x14ac:dyDescent="0.25">
      <c r="E395" t="str">
        <f>""</f>
        <v/>
      </c>
      <c r="F395" t="str">
        <f>""</f>
        <v/>
      </c>
      <c r="H395" t="str">
        <f>"Latitude 5500 BTX"</f>
        <v>Latitude 5500 BTX</v>
      </c>
    </row>
    <row r="396" spans="1:8" x14ac:dyDescent="0.25">
      <c r="E396" t="str">
        <f>""</f>
        <v/>
      </c>
      <c r="F396" t="str">
        <f>""</f>
        <v/>
      </c>
      <c r="H396" t="str">
        <f>"Premier Discount"</f>
        <v>Premier Discount</v>
      </c>
    </row>
    <row r="397" spans="1:8" x14ac:dyDescent="0.25">
      <c r="E397" t="str">
        <f>""</f>
        <v/>
      </c>
      <c r="F397" t="str">
        <f>""</f>
        <v/>
      </c>
      <c r="H397" t="str">
        <f>"Dell Monitor P2319H"</f>
        <v>Dell Monitor P2319H</v>
      </c>
    </row>
    <row r="398" spans="1:8" x14ac:dyDescent="0.25">
      <c r="E398" t="str">
        <f>""</f>
        <v/>
      </c>
      <c r="F398" t="str">
        <f>""</f>
        <v/>
      </c>
      <c r="H398" t="str">
        <f>"Premier Discount"</f>
        <v>Premier Discount</v>
      </c>
    </row>
    <row r="399" spans="1:8" x14ac:dyDescent="0.25">
      <c r="E399" t="str">
        <f>"10413321396"</f>
        <v>10413321396</v>
      </c>
      <c r="F399" t="str">
        <f>"External DVD"</f>
        <v>External DVD</v>
      </c>
      <c r="G399" s="4">
        <v>50.39</v>
      </c>
      <c r="H399" t="str">
        <f>"External DVD"</f>
        <v>External DVD</v>
      </c>
    </row>
    <row r="400" spans="1:8" x14ac:dyDescent="0.25">
      <c r="E400" t="str">
        <f>""</f>
        <v/>
      </c>
      <c r="F400" t="str">
        <f>""</f>
        <v/>
      </c>
      <c r="H400" t="str">
        <f>"Premier Discount"</f>
        <v>Premier Discount</v>
      </c>
    </row>
    <row r="401" spans="1:8" x14ac:dyDescent="0.25">
      <c r="A401" t="s">
        <v>103</v>
      </c>
      <c r="B401">
        <v>132752</v>
      </c>
      <c r="C401">
        <v>139.99</v>
      </c>
      <c r="D401" s="1">
        <v>44067</v>
      </c>
      <c r="E401" t="str">
        <f>"10405896172"</f>
        <v>10405896172</v>
      </c>
      <c r="F401" t="str">
        <f>"Replacement laptop batter"</f>
        <v>Replacement laptop batter</v>
      </c>
      <c r="G401" s="4">
        <v>139.99</v>
      </c>
      <c r="H401" t="str">
        <f>"Battery"</f>
        <v>Battery</v>
      </c>
    </row>
    <row r="402" spans="1:8" x14ac:dyDescent="0.25">
      <c r="A402" t="s">
        <v>104</v>
      </c>
      <c r="B402">
        <v>3047</v>
      </c>
      <c r="C402">
        <v>1756.25</v>
      </c>
      <c r="D402" s="1">
        <v>44068</v>
      </c>
      <c r="E402" t="str">
        <f>"BATX016884"</f>
        <v>BATX016884</v>
      </c>
      <c r="F402" t="str">
        <f>"INV BATX016884"</f>
        <v>INV BATX016884</v>
      </c>
      <c r="G402" s="4">
        <v>1756.25</v>
      </c>
      <c r="H402" t="str">
        <f>"INV BATX016884"</f>
        <v>INV BATX016884</v>
      </c>
    </row>
    <row r="403" spans="1:8" x14ac:dyDescent="0.25">
      <c r="A403" t="s">
        <v>105</v>
      </c>
      <c r="B403">
        <v>132621</v>
      </c>
      <c r="C403">
        <v>446</v>
      </c>
      <c r="D403" s="1">
        <v>44053</v>
      </c>
      <c r="E403" t="str">
        <f>"26786"</f>
        <v>26786</v>
      </c>
      <c r="F403" t="str">
        <f>"DUPLICATE KEYS/ANIMAL CONTROL"</f>
        <v>DUPLICATE KEYS/ANIMAL CONTROL</v>
      </c>
      <c r="G403" s="4">
        <v>34</v>
      </c>
      <c r="H403" t="str">
        <f>"DUPLICATE KEYS/ANIMAL CONTROL"</f>
        <v>DUPLICATE KEYS/ANIMAL CONTROL</v>
      </c>
    </row>
    <row r="404" spans="1:8" x14ac:dyDescent="0.25">
      <c r="E404" t="str">
        <f>"26789"</f>
        <v>26789</v>
      </c>
      <c r="F404" t="str">
        <f>"INV 26789"</f>
        <v>INV 26789</v>
      </c>
      <c r="G404" s="4">
        <v>412</v>
      </c>
      <c r="H404" t="str">
        <f>"INV 26789"</f>
        <v>INV 26789</v>
      </c>
    </row>
    <row r="405" spans="1:8" x14ac:dyDescent="0.25">
      <c r="A405" t="s">
        <v>106</v>
      </c>
      <c r="B405">
        <v>132870</v>
      </c>
      <c r="C405">
        <v>749.4</v>
      </c>
      <c r="D405" s="1">
        <v>44070</v>
      </c>
      <c r="E405" t="str">
        <f>"202008278579"</f>
        <v>202008278579</v>
      </c>
      <c r="F405" t="str">
        <f>"ACCT#405900029213 / 09012020"</f>
        <v>ACCT#405900029213 / 09012020</v>
      </c>
      <c r="G405" s="4">
        <v>374.7</v>
      </c>
      <c r="H405" t="str">
        <f>"ACCT#405900029213 / 09012020"</f>
        <v>ACCT#405900029213 / 09012020</v>
      </c>
    </row>
    <row r="406" spans="1:8" x14ac:dyDescent="0.25">
      <c r="E406" t="str">
        <f>"202008278580"</f>
        <v>202008278580</v>
      </c>
      <c r="F406" t="str">
        <f>"ACCT#405900029225 / 09012020"</f>
        <v>ACCT#405900029225 / 09012020</v>
      </c>
      <c r="G406" s="4">
        <v>187.35</v>
      </c>
      <c r="H406" t="str">
        <f>"ACCT#405900029225 / 09012020"</f>
        <v>ACCT#405900029225 / 09012020</v>
      </c>
    </row>
    <row r="407" spans="1:8" x14ac:dyDescent="0.25">
      <c r="E407" t="str">
        <f>"202008278581"</f>
        <v>202008278581</v>
      </c>
      <c r="F407" t="str">
        <f>"ACCT#405900028789 / 09012020"</f>
        <v>ACCT#405900028789 / 09012020</v>
      </c>
      <c r="G407" s="4">
        <v>187.35</v>
      </c>
      <c r="H407" t="str">
        <f>"ACCT#405900028789 / 09012020"</f>
        <v>ACCT#405900028789 / 09012020</v>
      </c>
    </row>
    <row r="408" spans="1:8" x14ac:dyDescent="0.25">
      <c r="A408" t="s">
        <v>107</v>
      </c>
      <c r="B408">
        <v>132753</v>
      </c>
      <c r="C408">
        <v>279.5</v>
      </c>
      <c r="D408" s="1">
        <v>44067</v>
      </c>
      <c r="E408" t="str">
        <f>"SMINV250858"</f>
        <v>SMINV250858</v>
      </c>
      <c r="F408" t="str">
        <f>"ORD#SMO286274/ACCT#DCS004779"</f>
        <v>ORD#SMO286274/ACCT#DCS004779</v>
      </c>
      <c r="G408" s="4">
        <v>279.5</v>
      </c>
      <c r="H408" t="str">
        <f>"ORD#SMO286274/ACCT#DCS004779"</f>
        <v>ORD#SMO286274/ACCT#DCS004779</v>
      </c>
    </row>
    <row r="409" spans="1:8" x14ac:dyDescent="0.25">
      <c r="A409" t="s">
        <v>108</v>
      </c>
      <c r="B409">
        <v>3027</v>
      </c>
      <c r="C409">
        <v>2986.25</v>
      </c>
      <c r="D409" s="1">
        <v>44068</v>
      </c>
      <c r="E409" t="str">
        <f>"29651B"</f>
        <v>29651B</v>
      </c>
      <c r="F409" t="str">
        <f>"INV 29651B"</f>
        <v>INV 29651B</v>
      </c>
      <c r="G409" s="4">
        <v>2986.25</v>
      </c>
      <c r="H409" t="str">
        <f>"INV 29651B"</f>
        <v>INV 29651B</v>
      </c>
    </row>
    <row r="410" spans="1:8" x14ac:dyDescent="0.25">
      <c r="A410" t="s">
        <v>109</v>
      </c>
      <c r="B410">
        <v>132754</v>
      </c>
      <c r="C410">
        <v>1440</v>
      </c>
      <c r="D410" s="1">
        <v>44067</v>
      </c>
      <c r="E410" t="str">
        <f>"005"</f>
        <v>005</v>
      </c>
      <c r="F410" t="str">
        <f>"INTERPRETER SERVICES"</f>
        <v>INTERPRETER SERVICES</v>
      </c>
      <c r="G410" s="4">
        <v>1440</v>
      </c>
      <c r="H410" t="str">
        <f>"INTERPRETER SERVICES"</f>
        <v>INTERPRETER SERVICES</v>
      </c>
    </row>
    <row r="411" spans="1:8" x14ac:dyDescent="0.25">
      <c r="A411" t="s">
        <v>110</v>
      </c>
      <c r="B411">
        <v>2988</v>
      </c>
      <c r="C411">
        <v>887</v>
      </c>
      <c r="D411" s="1">
        <v>44054</v>
      </c>
      <c r="E411" t="str">
        <f>"202008058124"</f>
        <v>202008058124</v>
      </c>
      <c r="F411" t="str">
        <f>"20-20259"</f>
        <v>20-20259</v>
      </c>
      <c r="G411" s="4">
        <v>400</v>
      </c>
      <c r="H411" t="str">
        <f>"20-20259"</f>
        <v>20-20259</v>
      </c>
    </row>
    <row r="412" spans="1:8" x14ac:dyDescent="0.25">
      <c r="E412" t="str">
        <f>"202008058140"</f>
        <v>202008058140</v>
      </c>
      <c r="F412" t="str">
        <f>"20-20208"</f>
        <v>20-20208</v>
      </c>
      <c r="G412" s="4">
        <v>137</v>
      </c>
      <c r="H412" t="str">
        <f>"20-20208"</f>
        <v>20-20208</v>
      </c>
    </row>
    <row r="413" spans="1:8" x14ac:dyDescent="0.25">
      <c r="E413" t="str">
        <f>"202008058146"</f>
        <v>202008058146</v>
      </c>
      <c r="F413" t="str">
        <f>"20-20310"</f>
        <v>20-20310</v>
      </c>
      <c r="G413" s="4">
        <v>100</v>
      </c>
      <c r="H413" t="str">
        <f>"20-20310"</f>
        <v>20-20310</v>
      </c>
    </row>
    <row r="414" spans="1:8" x14ac:dyDescent="0.25">
      <c r="E414" t="str">
        <f>"202008058174"</f>
        <v>202008058174</v>
      </c>
      <c r="F414" t="str">
        <f>"AC-2020-0426"</f>
        <v>AC-2020-0426</v>
      </c>
      <c r="G414" s="4">
        <v>250</v>
      </c>
      <c r="H414" t="str">
        <f>"AC-2020-0426"</f>
        <v>AC-2020-0426</v>
      </c>
    </row>
    <row r="415" spans="1:8" x14ac:dyDescent="0.25">
      <c r="A415" t="s">
        <v>110</v>
      </c>
      <c r="B415">
        <v>3072</v>
      </c>
      <c r="C415">
        <v>5400</v>
      </c>
      <c r="D415" s="1">
        <v>44068</v>
      </c>
      <c r="E415" t="str">
        <f>"202008128307"</f>
        <v>202008128307</v>
      </c>
      <c r="F415" t="str">
        <f>"403099-4"</f>
        <v>403099-4</v>
      </c>
      <c r="G415" s="4">
        <v>400</v>
      </c>
      <c r="H415" t="str">
        <f>"403099-4"</f>
        <v>403099-4</v>
      </c>
    </row>
    <row r="416" spans="1:8" x14ac:dyDescent="0.25">
      <c r="E416" t="str">
        <f>"202008128308"</f>
        <v>202008128308</v>
      </c>
      <c r="F416" t="str">
        <f>"17184"</f>
        <v>17184</v>
      </c>
      <c r="G416" s="4">
        <v>1000</v>
      </c>
      <c r="H416" t="str">
        <f>"17184"</f>
        <v>17184</v>
      </c>
    </row>
    <row r="417" spans="1:8" x14ac:dyDescent="0.25">
      <c r="E417" t="str">
        <f>"202008128309"</f>
        <v>202008128309</v>
      </c>
      <c r="F417" t="str">
        <f>"10339"</f>
        <v>10339</v>
      </c>
      <c r="G417" s="4">
        <v>400</v>
      </c>
      <c r="H417" t="str">
        <f>"10339"</f>
        <v>10339</v>
      </c>
    </row>
    <row r="418" spans="1:8" x14ac:dyDescent="0.25">
      <c r="E418" t="str">
        <f>"202008138343"</f>
        <v>202008138343</v>
      </c>
      <c r="F418" t="str">
        <f>"14925"</f>
        <v>14925</v>
      </c>
      <c r="G418" s="4">
        <v>1000</v>
      </c>
      <c r="H418" t="str">
        <f>"14925"</f>
        <v>14925</v>
      </c>
    </row>
    <row r="419" spans="1:8" x14ac:dyDescent="0.25">
      <c r="E419" t="str">
        <f>"202008138344"</f>
        <v>202008138344</v>
      </c>
      <c r="F419" t="str">
        <f>"16594"</f>
        <v>16594</v>
      </c>
      <c r="G419" s="4">
        <v>600</v>
      </c>
      <c r="H419" t="str">
        <f>"16594"</f>
        <v>16594</v>
      </c>
    </row>
    <row r="420" spans="1:8" x14ac:dyDescent="0.25">
      <c r="E420" t="str">
        <f>"202008138360"</f>
        <v>202008138360</v>
      </c>
      <c r="F420" t="str">
        <f>"55659"</f>
        <v>55659</v>
      </c>
      <c r="G420" s="4">
        <v>250</v>
      </c>
      <c r="H420" t="str">
        <f>"55659"</f>
        <v>55659</v>
      </c>
    </row>
    <row r="421" spans="1:8" x14ac:dyDescent="0.25">
      <c r="E421" t="str">
        <f>"202008138367"</f>
        <v>202008138367</v>
      </c>
      <c r="F421" t="str">
        <f>"57446"</f>
        <v>57446</v>
      </c>
      <c r="G421" s="4">
        <v>250</v>
      </c>
      <c r="H421" t="str">
        <f>"57446"</f>
        <v>57446</v>
      </c>
    </row>
    <row r="422" spans="1:8" x14ac:dyDescent="0.25">
      <c r="E422" t="str">
        <f>"202008138368"</f>
        <v>202008138368</v>
      </c>
      <c r="F422" t="str">
        <f>"57528"</f>
        <v>57528</v>
      </c>
      <c r="G422" s="4">
        <v>250</v>
      </c>
      <c r="H422" t="str">
        <f>"57528"</f>
        <v>57528</v>
      </c>
    </row>
    <row r="423" spans="1:8" x14ac:dyDescent="0.25">
      <c r="E423" t="str">
        <f>"202008138369"</f>
        <v>202008138369</v>
      </c>
      <c r="F423" t="str">
        <f>"55659"</f>
        <v>55659</v>
      </c>
      <c r="G423" s="4">
        <v>250</v>
      </c>
      <c r="H423" t="str">
        <f>"55659"</f>
        <v>55659</v>
      </c>
    </row>
    <row r="424" spans="1:8" x14ac:dyDescent="0.25">
      <c r="E424" t="str">
        <f>"202008138370"</f>
        <v>202008138370</v>
      </c>
      <c r="F424" t="str">
        <f>"56454"</f>
        <v>56454</v>
      </c>
      <c r="G424" s="4">
        <v>250</v>
      </c>
      <c r="H424" t="str">
        <f>"56454"</f>
        <v>56454</v>
      </c>
    </row>
    <row r="425" spans="1:8" x14ac:dyDescent="0.25">
      <c r="E425" t="str">
        <f>"202008138371"</f>
        <v>202008138371</v>
      </c>
      <c r="F425" t="str">
        <f>"53378"</f>
        <v>53378</v>
      </c>
      <c r="G425" s="4">
        <v>250</v>
      </c>
      <c r="H425" t="str">
        <f>"53378"</f>
        <v>53378</v>
      </c>
    </row>
    <row r="426" spans="1:8" x14ac:dyDescent="0.25">
      <c r="E426" t="str">
        <f>"202008138372"</f>
        <v>202008138372</v>
      </c>
      <c r="F426" t="str">
        <f>"02-0509-6"</f>
        <v>02-0509-6</v>
      </c>
      <c r="G426" s="4">
        <v>250</v>
      </c>
      <c r="H426" t="str">
        <f>"02-0509-6"</f>
        <v>02-0509-6</v>
      </c>
    </row>
    <row r="427" spans="1:8" x14ac:dyDescent="0.25">
      <c r="E427" t="str">
        <f>"202008138373"</f>
        <v>202008138373</v>
      </c>
      <c r="F427" t="str">
        <f>"AC-2020-0426"</f>
        <v>AC-2020-0426</v>
      </c>
      <c r="G427" s="4">
        <v>250</v>
      </c>
      <c r="H427" t="str">
        <f>"AC-2020-0426"</f>
        <v>AC-2020-0426</v>
      </c>
    </row>
    <row r="428" spans="1:8" x14ac:dyDescent="0.25">
      <c r="A428" t="s">
        <v>111</v>
      </c>
      <c r="B428">
        <v>132622</v>
      </c>
      <c r="C428">
        <v>7700</v>
      </c>
      <c r="D428" s="1">
        <v>44053</v>
      </c>
      <c r="E428" t="str">
        <f>"013"</f>
        <v>013</v>
      </c>
      <c r="F428" t="str">
        <f>"12 LOADS 1  COMMERCIAL BASE/P3"</f>
        <v>12 LOADS 1  COMMERCIAL BASE/P3</v>
      </c>
      <c r="G428" s="4">
        <v>2640</v>
      </c>
      <c r="H428" t="str">
        <f>"12 LOADS 1  COMMERCIAL BASE/P3"</f>
        <v>12 LOADS 1  COMMERCIAL BASE/P3</v>
      </c>
    </row>
    <row r="429" spans="1:8" x14ac:dyDescent="0.25">
      <c r="E429" t="str">
        <f>"014"</f>
        <v>014</v>
      </c>
      <c r="F429" t="str">
        <f>"10 LOADS COMMERCIAL RD BASE/P3"</f>
        <v>10 LOADS COMMERCIAL RD BASE/P3</v>
      </c>
      <c r="G429" s="4">
        <v>2200</v>
      </c>
      <c r="H429" t="str">
        <f>"10 LOADS COMMERCIAL RD BASE/P3"</f>
        <v>10 LOADS COMMERCIAL RD BASE/P3</v>
      </c>
    </row>
    <row r="430" spans="1:8" x14ac:dyDescent="0.25">
      <c r="E430" t="str">
        <f>"015"</f>
        <v>015</v>
      </c>
      <c r="F430" t="str">
        <f>"13 LOADS 1  ROAD BASE/PCT#3"</f>
        <v>13 LOADS 1  ROAD BASE/PCT#3</v>
      </c>
      <c r="G430" s="4">
        <v>2860</v>
      </c>
      <c r="H430" t="str">
        <f>"13 LOADS 1  ROAD BASE/PCT#3"</f>
        <v>13 LOADS 1  ROAD BASE/PCT#3</v>
      </c>
    </row>
    <row r="431" spans="1:8" x14ac:dyDescent="0.25">
      <c r="A431" t="s">
        <v>111</v>
      </c>
      <c r="B431">
        <v>132755</v>
      </c>
      <c r="C431">
        <v>2200</v>
      </c>
      <c r="D431" s="1">
        <v>44067</v>
      </c>
      <c r="E431" t="str">
        <f>"016"</f>
        <v>016</v>
      </c>
      <c r="F431" t="str">
        <f>"10 LDS COMM RD BASE/PCT#3"</f>
        <v>10 LDS COMM RD BASE/PCT#3</v>
      </c>
      <c r="G431" s="4">
        <v>2200</v>
      </c>
      <c r="H431" t="str">
        <f>"10 LDS COMM RD BASE/PCT#3"</f>
        <v>10 LDS COMM RD BASE/PCT#3</v>
      </c>
    </row>
    <row r="432" spans="1:8" x14ac:dyDescent="0.25">
      <c r="A432" t="s">
        <v>112</v>
      </c>
      <c r="B432">
        <v>3048</v>
      </c>
      <c r="C432">
        <v>5247.45</v>
      </c>
      <c r="D432" s="1">
        <v>44068</v>
      </c>
      <c r="E432" t="str">
        <f>"6256718612"</f>
        <v>6256718612</v>
      </c>
      <c r="F432" t="str">
        <f>"INV 6256718612"</f>
        <v>INV 6256718612</v>
      </c>
      <c r="G432" s="4">
        <v>1107.6500000000001</v>
      </c>
      <c r="H432" t="str">
        <f>"INV 6256718612"</f>
        <v>INV 6256718612</v>
      </c>
    </row>
    <row r="433" spans="1:8" x14ac:dyDescent="0.25">
      <c r="E433" t="str">
        <f>"6256718614"</f>
        <v>6256718614</v>
      </c>
      <c r="F433" t="str">
        <f>"INV 6256718614"</f>
        <v>INV 6256718614</v>
      </c>
      <c r="G433" s="4">
        <v>2069.9</v>
      </c>
      <c r="H433" t="str">
        <f>"INV 6256718614"</f>
        <v>INV 6256718614</v>
      </c>
    </row>
    <row r="434" spans="1:8" x14ac:dyDescent="0.25">
      <c r="E434" t="str">
        <f>"6256718616"</f>
        <v>6256718616</v>
      </c>
      <c r="F434" t="str">
        <f>"INV 6256718616"</f>
        <v>INV 6256718616</v>
      </c>
      <c r="G434" s="4">
        <v>2069.9</v>
      </c>
      <c r="H434" t="str">
        <f>"INV 6256718616"</f>
        <v>INV 6256718616</v>
      </c>
    </row>
    <row r="435" spans="1:8" x14ac:dyDescent="0.25">
      <c r="A435" t="s">
        <v>113</v>
      </c>
      <c r="B435">
        <v>132756</v>
      </c>
      <c r="C435">
        <v>145</v>
      </c>
      <c r="D435" s="1">
        <v>44067</v>
      </c>
      <c r="E435" t="str">
        <f>"12195"</f>
        <v>12195</v>
      </c>
      <c r="F435" t="str">
        <f>"SERVICE"</f>
        <v>SERVICE</v>
      </c>
      <c r="G435" s="4">
        <v>145</v>
      </c>
      <c r="H435" t="str">
        <f>"SERVICE"</f>
        <v>SERVICE</v>
      </c>
    </row>
    <row r="436" spans="1:8" x14ac:dyDescent="0.25">
      <c r="A436" t="s">
        <v>114</v>
      </c>
      <c r="B436">
        <v>2968</v>
      </c>
      <c r="C436">
        <v>475</v>
      </c>
      <c r="D436" s="1">
        <v>44054</v>
      </c>
      <c r="E436" t="str">
        <f>"52421-24098 52421-"</f>
        <v>52421-24098 52421-</v>
      </c>
      <c r="F436" t="str">
        <f>"Public Notice"</f>
        <v>Public Notice</v>
      </c>
      <c r="G436" s="4">
        <v>190</v>
      </c>
      <c r="H436" t="str">
        <f>"Public Notice"</f>
        <v>Public Notice</v>
      </c>
    </row>
    <row r="437" spans="1:8" x14ac:dyDescent="0.25">
      <c r="E437" t="str">
        <f>"52421-24256"</f>
        <v>52421-24256</v>
      </c>
      <c r="F437" t="str">
        <f>"BLACKLANDS PUBLICATIONS INC"</f>
        <v>BLACKLANDS PUBLICATIONS INC</v>
      </c>
      <c r="G437" s="4">
        <v>285</v>
      </c>
      <c r="H437" t="str">
        <f>"Public Notice"</f>
        <v>Public Notice</v>
      </c>
    </row>
    <row r="438" spans="1:8" x14ac:dyDescent="0.25">
      <c r="A438" t="s">
        <v>115</v>
      </c>
      <c r="B438">
        <v>132581</v>
      </c>
      <c r="C438">
        <v>1157.3800000000001</v>
      </c>
      <c r="D438" s="1">
        <v>44049</v>
      </c>
      <c r="E438" t="str">
        <f>"202008058207"</f>
        <v>202008058207</v>
      </c>
      <c r="F438" t="str">
        <f>"ACCT#007-0008410-002/07312020"</f>
        <v>ACCT#007-0008410-002/07312020</v>
      </c>
      <c r="G438" s="4">
        <v>227.32</v>
      </c>
      <c r="H438" t="str">
        <f>"ACCT#007-0008410-002/07312020"</f>
        <v>ACCT#007-0008410-002/07312020</v>
      </c>
    </row>
    <row r="439" spans="1:8" x14ac:dyDescent="0.25">
      <c r="E439" t="str">
        <f>"202008058208"</f>
        <v>202008058208</v>
      </c>
      <c r="F439" t="str">
        <f>"ACCT#007-0011501-000/07312020"</f>
        <v>ACCT#007-0011501-000/07312020</v>
      </c>
      <c r="G439" s="4">
        <v>178.12</v>
      </c>
      <c r="H439" t="str">
        <f>"ACCT#007-0011501-000/07312020"</f>
        <v>ACCT#007-0011501-000/07312020</v>
      </c>
    </row>
    <row r="440" spans="1:8" x14ac:dyDescent="0.25">
      <c r="E440" t="str">
        <f>"202008058209"</f>
        <v>202008058209</v>
      </c>
      <c r="F440" t="str">
        <f>"ACCT#007-0011510-000/07312020"</f>
        <v>ACCT#007-0011510-000/07312020</v>
      </c>
      <c r="G440" s="4">
        <v>240.58</v>
      </c>
      <c r="H440" t="str">
        <f>"ACCT#007-0011510-000/07312020"</f>
        <v>ACCT#007-0011510-000/07312020</v>
      </c>
    </row>
    <row r="441" spans="1:8" x14ac:dyDescent="0.25">
      <c r="E441" t="str">
        <f>"202008058210"</f>
        <v>202008058210</v>
      </c>
      <c r="F441" t="str">
        <f>"ACCT#007-0011530-000/07312020"</f>
        <v>ACCT#007-0011530-000/07312020</v>
      </c>
      <c r="G441" s="4">
        <v>98.12</v>
      </c>
      <c r="H441" t="str">
        <f>"ACCT#007-0011530-000/07312020"</f>
        <v>ACCT#007-0011530-000/07312020</v>
      </c>
    </row>
    <row r="442" spans="1:8" x14ac:dyDescent="0.25">
      <c r="E442" t="str">
        <f>"202008058211"</f>
        <v>202008058211</v>
      </c>
      <c r="F442" t="str">
        <f>"ACCT#007-0011534-001/07312020"</f>
        <v>ACCT#007-0011534-001/07312020</v>
      </c>
      <c r="G442" s="4">
        <v>169.3</v>
      </c>
      <c r="H442" t="str">
        <f>"ACCT#007-0011534-001/07312020"</f>
        <v>ACCT#007-0011534-001/07312020</v>
      </c>
    </row>
    <row r="443" spans="1:8" x14ac:dyDescent="0.25">
      <c r="E443" t="str">
        <f>"202008058212"</f>
        <v>202008058212</v>
      </c>
      <c r="F443" t="str">
        <f>"ACCT#007-0011535-000/07312020"</f>
        <v>ACCT#007-0011535-000/07312020</v>
      </c>
      <c r="G443" s="4">
        <v>112.62</v>
      </c>
      <c r="H443" t="str">
        <f>"ACCT#007-0011535-000/07312020"</f>
        <v>ACCT#007-0011535-000/07312020</v>
      </c>
    </row>
    <row r="444" spans="1:8" x14ac:dyDescent="0.25">
      <c r="E444" t="str">
        <f>"202008058213"</f>
        <v>202008058213</v>
      </c>
      <c r="F444" t="str">
        <f>"ACCT#007-0011544-001/07312020"</f>
        <v>ACCT#007-0011544-001/07312020</v>
      </c>
      <c r="G444" s="4">
        <v>131.32</v>
      </c>
      <c r="H444" t="str">
        <f>"ACCT#007-0011544-001/07312020"</f>
        <v>ACCT#007-0011544-001/07312020</v>
      </c>
    </row>
    <row r="445" spans="1:8" x14ac:dyDescent="0.25">
      <c r="A445" t="s">
        <v>116</v>
      </c>
      <c r="B445">
        <v>132757</v>
      </c>
      <c r="C445">
        <v>135</v>
      </c>
      <c r="D445" s="1">
        <v>44067</v>
      </c>
      <c r="E445" t="str">
        <f>"202008188418"</f>
        <v>202008188418</v>
      </c>
      <c r="F445" t="str">
        <f>"PER DIEM"</f>
        <v>PER DIEM</v>
      </c>
      <c r="G445" s="4">
        <v>135</v>
      </c>
      <c r="H445" t="str">
        <f>"PER DIEM"</f>
        <v>PER DIEM</v>
      </c>
    </row>
    <row r="446" spans="1:8" x14ac:dyDescent="0.25">
      <c r="A446" t="s">
        <v>117</v>
      </c>
      <c r="B446">
        <v>132623</v>
      </c>
      <c r="C446">
        <v>92.84</v>
      </c>
      <c r="D446" s="1">
        <v>44053</v>
      </c>
      <c r="E446" t="str">
        <f>"145-40381-01"</f>
        <v>145-40381-01</v>
      </c>
      <c r="F446" t="str">
        <f>"INV 145-40381-01"</f>
        <v>INV 145-40381-01</v>
      </c>
      <c r="G446" s="4">
        <v>92.84</v>
      </c>
      <c r="H446" t="str">
        <f>"INV 145-40381-01"</f>
        <v>INV 145-40381-01</v>
      </c>
    </row>
    <row r="447" spans="1:8" x14ac:dyDescent="0.25">
      <c r="A447" t="s">
        <v>117</v>
      </c>
      <c r="B447">
        <v>132758</v>
      </c>
      <c r="C447">
        <v>279.33999999999997</v>
      </c>
      <c r="D447" s="1">
        <v>44067</v>
      </c>
      <c r="E447" t="str">
        <f>"145-40484-02"</f>
        <v>145-40484-02</v>
      </c>
      <c r="F447" t="str">
        <f>"CUST#0888336/AIR SCRUBBER"</f>
        <v>CUST#0888336/AIR SCRUBBER</v>
      </c>
      <c r="G447" s="4">
        <v>159.34</v>
      </c>
      <c r="H447" t="str">
        <f>"CUST#0888336/AIR SCRUBBER"</f>
        <v>CUST#0888336/AIR SCRUBBER</v>
      </c>
    </row>
    <row r="448" spans="1:8" x14ac:dyDescent="0.25">
      <c r="E448" t="str">
        <f>"145-40716-01"</f>
        <v>145-40716-01</v>
      </c>
      <c r="F448" t="str">
        <f>"CUST#0888336/COURTHOUSE"</f>
        <v>CUST#0888336/COURTHOUSE</v>
      </c>
      <c r="G448" s="4">
        <v>120</v>
      </c>
      <c r="H448" t="str">
        <f>"CUST#0888336/COURTHOUSE"</f>
        <v>CUST#0888336/COURTHOUSE</v>
      </c>
    </row>
    <row r="449" spans="1:8" x14ac:dyDescent="0.25">
      <c r="A449" t="s">
        <v>118</v>
      </c>
      <c r="B449">
        <v>132624</v>
      </c>
      <c r="C449">
        <v>8339.7000000000007</v>
      </c>
      <c r="D449" s="1">
        <v>44053</v>
      </c>
      <c r="E449" t="str">
        <f>"9402296852"</f>
        <v>9402296852</v>
      </c>
      <c r="F449" t="str">
        <f>"ACCT#912922/BOL#27009/PCT#1"</f>
        <v>ACCT#912922/BOL#27009/PCT#1</v>
      </c>
      <c r="G449" s="4">
        <v>494.7</v>
      </c>
      <c r="H449" t="str">
        <f>"ACCT#912922/BOL#27009/PCT#1"</f>
        <v>ACCT#912922/BOL#27009/PCT#1</v>
      </c>
    </row>
    <row r="450" spans="1:8" x14ac:dyDescent="0.25">
      <c r="E450" t="str">
        <f>"9402296853"</f>
        <v>9402296853</v>
      </c>
      <c r="F450" t="str">
        <f>"ACCT#912922/BOL#27012/PCT#1"</f>
        <v>ACCT#912922/BOL#27012/PCT#1</v>
      </c>
      <c r="G450" s="4">
        <v>3820</v>
      </c>
      <c r="H450" t="str">
        <f>"ACCT#912922/BOL#27012/PCT#1"</f>
        <v>ACCT#912922/BOL#27012/PCT#1</v>
      </c>
    </row>
    <row r="451" spans="1:8" x14ac:dyDescent="0.25">
      <c r="E451" t="str">
        <f>"9402300324"</f>
        <v>9402300324</v>
      </c>
      <c r="F451" t="str">
        <f>"ACCT#912922/BOL#27045/PCT#1"</f>
        <v>ACCT#912922/BOL#27045/PCT#1</v>
      </c>
      <c r="G451" s="4">
        <v>4025</v>
      </c>
      <c r="H451" t="str">
        <f>"ACCT#912922/BOL#27045/PCT#1"</f>
        <v>ACCT#912922/BOL#27045/PCT#1</v>
      </c>
    </row>
    <row r="452" spans="1:8" x14ac:dyDescent="0.25">
      <c r="A452" t="s">
        <v>118</v>
      </c>
      <c r="B452">
        <v>132759</v>
      </c>
      <c r="C452">
        <v>31467.03</v>
      </c>
      <c r="D452" s="1">
        <v>44067</v>
      </c>
      <c r="E452" t="str">
        <f>"9402270130"</f>
        <v>9402270130</v>
      </c>
      <c r="F452" t="str">
        <f>"ACCT#912922/BOL#26731/PCT#1"</f>
        <v>ACCT#912922/BOL#26731/PCT#1</v>
      </c>
      <c r="G452" s="4">
        <v>828.24</v>
      </c>
      <c r="H452" t="str">
        <f>"ACCT#912922/BOL#26731/PCT#1"</f>
        <v>ACCT#912922/BOL#26731/PCT#1</v>
      </c>
    </row>
    <row r="453" spans="1:8" x14ac:dyDescent="0.25">
      <c r="E453" t="str">
        <f>"9402307490"</f>
        <v>9402307490</v>
      </c>
      <c r="F453" t="str">
        <f>"ACCT#912897/BOL#27105/PCT#3"</f>
        <v>ACCT#912897/BOL#27105/PCT#3</v>
      </c>
      <c r="G453" s="4">
        <v>15005.76</v>
      </c>
      <c r="H453" t="str">
        <f>"ACCT#912897/BOL#27105/PCT#3"</f>
        <v>ACCT#912897/BOL#27105/PCT#3</v>
      </c>
    </row>
    <row r="454" spans="1:8" x14ac:dyDescent="0.25">
      <c r="E454" t="str">
        <f>"9402308566"</f>
        <v>9402308566</v>
      </c>
      <c r="F454" t="str">
        <f>"ACCT#912897/BOL#27108/PCT#3"</f>
        <v>ACCT#912897/BOL#27108/PCT#3</v>
      </c>
      <c r="G454" s="4">
        <v>15633.03</v>
      </c>
      <c r="H454" t="str">
        <f>"ACCT#912897/BOL#27108/PCT#3"</f>
        <v>ACCT#912897/BOL#27108/PCT#3</v>
      </c>
    </row>
    <row r="455" spans="1:8" x14ac:dyDescent="0.25">
      <c r="A455" t="s">
        <v>119</v>
      </c>
      <c r="B455">
        <v>2961</v>
      </c>
      <c r="C455">
        <v>3076</v>
      </c>
      <c r="D455" s="1">
        <v>44054</v>
      </c>
      <c r="E455" t="str">
        <f>"4005427"</f>
        <v>4005427</v>
      </c>
      <c r="F455" t="str">
        <f>"INV 4005427"</f>
        <v>INV 4005427</v>
      </c>
      <c r="G455" s="4">
        <v>3076</v>
      </c>
      <c r="H455" t="str">
        <f>"INV 4005427"</f>
        <v>INV 4005427</v>
      </c>
    </row>
    <row r="456" spans="1:8" x14ac:dyDescent="0.25">
      <c r="E456" t="str">
        <f>""</f>
        <v/>
      </c>
      <c r="F456" t="str">
        <f>""</f>
        <v/>
      </c>
      <c r="H456" t="str">
        <f>"INV 4005427"</f>
        <v>INV 4005427</v>
      </c>
    </row>
    <row r="457" spans="1:8" x14ac:dyDescent="0.25">
      <c r="A457" t="s">
        <v>120</v>
      </c>
      <c r="B457">
        <v>3063</v>
      </c>
      <c r="C457">
        <v>165.1</v>
      </c>
      <c r="D457" s="1">
        <v>44068</v>
      </c>
      <c r="E457" t="str">
        <f>"3428793"</f>
        <v>3428793</v>
      </c>
      <c r="F457" t="str">
        <f>"ACCT#00405/FILTER/PCT#2"</f>
        <v>ACCT#00405/FILTER/PCT#2</v>
      </c>
      <c r="G457" s="4">
        <v>165.1</v>
      </c>
      <c r="H457" t="str">
        <f>"ACCT#00405/FILTER/PCT#2"</f>
        <v>ACCT#00405/FILTER/PCT#2</v>
      </c>
    </row>
    <row r="458" spans="1:8" x14ac:dyDescent="0.25">
      <c r="A458" t="s">
        <v>121</v>
      </c>
      <c r="B458">
        <v>3038</v>
      </c>
      <c r="C458">
        <v>5999.7</v>
      </c>
      <c r="D458" s="1">
        <v>44068</v>
      </c>
      <c r="E458" t="str">
        <f>"202008198459"</f>
        <v>202008198459</v>
      </c>
      <c r="F458" t="str">
        <f>"JULY 20TH-AUGUST 20TH/PID WORK"</f>
        <v>JULY 20TH-AUGUST 20TH/PID WORK</v>
      </c>
      <c r="G458" s="4">
        <v>5999.7</v>
      </c>
      <c r="H458" t="str">
        <f>"JULY 20TH-AUGUST 20TH/PID WORK"</f>
        <v>JULY 20TH-AUGUST 20TH/PID WORK</v>
      </c>
    </row>
    <row r="459" spans="1:8" x14ac:dyDescent="0.25">
      <c r="A459" t="s">
        <v>122</v>
      </c>
      <c r="B459">
        <v>3049</v>
      </c>
      <c r="C459">
        <v>17675.66</v>
      </c>
      <c r="D459" s="1">
        <v>44068</v>
      </c>
      <c r="E459" t="str">
        <f>"202008198449"</f>
        <v>202008198449</v>
      </c>
      <c r="F459" t="str">
        <f>"GRANT REIMBURSEMENT"</f>
        <v>GRANT REIMBURSEMENT</v>
      </c>
      <c r="G459" s="4">
        <v>17675.66</v>
      </c>
      <c r="H459" t="str">
        <f>"GRANT REIMBURSEMENT"</f>
        <v>GRANT REIMBURSEMENT</v>
      </c>
    </row>
    <row r="460" spans="1:8" x14ac:dyDescent="0.25">
      <c r="A460" t="s">
        <v>123</v>
      </c>
      <c r="B460">
        <v>3002</v>
      </c>
      <c r="C460">
        <v>311.39999999999998</v>
      </c>
      <c r="D460" s="1">
        <v>44068</v>
      </c>
      <c r="E460" t="str">
        <f>"202008178380"</f>
        <v>202008178380</v>
      </c>
      <c r="F460" t="str">
        <f>"INDIGENT HEALTH"</f>
        <v>INDIGENT HEALTH</v>
      </c>
      <c r="G460" s="4">
        <v>311.39999999999998</v>
      </c>
      <c r="H460" t="str">
        <f>"INDIGENT HEALTH"</f>
        <v>INDIGENT HEALTH</v>
      </c>
    </row>
    <row r="461" spans="1:8" x14ac:dyDescent="0.25">
      <c r="A461" t="s">
        <v>124</v>
      </c>
      <c r="B461">
        <v>132625</v>
      </c>
      <c r="C461">
        <v>253.03</v>
      </c>
      <c r="D461" s="1">
        <v>44053</v>
      </c>
      <c r="E461" t="str">
        <f>"56262251"</f>
        <v>56262251</v>
      </c>
      <c r="F461" t="str">
        <f>"ACCT#80975-001/PCT#3"</f>
        <v>ACCT#80975-001/PCT#3</v>
      </c>
      <c r="G461" s="4">
        <v>253.03</v>
      </c>
      <c r="H461" t="str">
        <f>"ACCT#80975-001/PCT#3"</f>
        <v>ACCT#80975-001/PCT#3</v>
      </c>
    </row>
    <row r="462" spans="1:8" x14ac:dyDescent="0.25">
      <c r="A462" t="s">
        <v>124</v>
      </c>
      <c r="B462">
        <v>132760</v>
      </c>
      <c r="C462">
        <v>34.200000000000003</v>
      </c>
      <c r="D462" s="1">
        <v>44067</v>
      </c>
      <c r="E462" t="str">
        <f>"57273478"</f>
        <v>57273478</v>
      </c>
      <c r="F462" t="str">
        <f>"ACCT#80975-001/PCT#3"</f>
        <v>ACCT#80975-001/PCT#3</v>
      </c>
      <c r="G462" s="4">
        <v>34.200000000000003</v>
      </c>
      <c r="H462" t="str">
        <f>"ACCT#80975-001/PCT#3"</f>
        <v>ACCT#80975-001/PCT#3</v>
      </c>
    </row>
    <row r="463" spans="1:8" x14ac:dyDescent="0.25">
      <c r="A463" t="s">
        <v>125</v>
      </c>
      <c r="B463">
        <v>3003</v>
      </c>
      <c r="C463">
        <v>210</v>
      </c>
      <c r="D463" s="1">
        <v>44068</v>
      </c>
      <c r="E463" t="str">
        <f>"202008128304"</f>
        <v>202008128304</v>
      </c>
      <c r="F463" t="str">
        <f>"REIMBURSE BAIL BOND COUPONS"</f>
        <v>REIMBURSE BAIL BOND COUPONS</v>
      </c>
      <c r="G463" s="4">
        <v>210</v>
      </c>
      <c r="H463" t="str">
        <f>"REIMBURSE BAIL BOND COUPONS"</f>
        <v>REIMBURSE BAIL BOND COUPONS</v>
      </c>
    </row>
    <row r="464" spans="1:8" x14ac:dyDescent="0.25">
      <c r="A464" t="s">
        <v>126</v>
      </c>
      <c r="B464">
        <v>3050</v>
      </c>
      <c r="C464">
        <v>750</v>
      </c>
      <c r="D464" s="1">
        <v>44068</v>
      </c>
      <c r="E464" t="str">
        <f>"202008138363"</f>
        <v>202008138363</v>
      </c>
      <c r="F464" t="str">
        <f>"180057"</f>
        <v>180057</v>
      </c>
      <c r="G464" s="4">
        <v>250</v>
      </c>
      <c r="H464" t="str">
        <f>"180057"</f>
        <v>180057</v>
      </c>
    </row>
    <row r="465" spans="1:8" x14ac:dyDescent="0.25">
      <c r="E465" t="str">
        <f>"202008138364"</f>
        <v>202008138364</v>
      </c>
      <c r="F465" t="str">
        <f>"0207241"</f>
        <v>0207241</v>
      </c>
      <c r="G465" s="4">
        <v>250</v>
      </c>
      <c r="H465" t="str">
        <f>"0207241"</f>
        <v>0207241</v>
      </c>
    </row>
    <row r="466" spans="1:8" x14ac:dyDescent="0.25">
      <c r="E466" t="str">
        <f>"202008138365"</f>
        <v>202008138365</v>
      </c>
      <c r="F466" t="str">
        <f>"JP101152020J"</f>
        <v>JP101152020J</v>
      </c>
      <c r="G466" s="4">
        <v>250</v>
      </c>
      <c r="H466" t="str">
        <f>"JP101152020J"</f>
        <v>JP101152020J</v>
      </c>
    </row>
    <row r="467" spans="1:8" x14ac:dyDescent="0.25">
      <c r="A467" t="s">
        <v>127</v>
      </c>
      <c r="B467">
        <v>132761</v>
      </c>
      <c r="C467">
        <v>80</v>
      </c>
      <c r="D467" s="1">
        <v>44067</v>
      </c>
      <c r="E467" t="str">
        <f>"13485"</f>
        <v>13485</v>
      </c>
      <c r="F467" t="str">
        <f>"SERVICE"</f>
        <v>SERVICE</v>
      </c>
      <c r="G467" s="4">
        <v>80</v>
      </c>
      <c r="H467" t="str">
        <f>"SERVICE"</f>
        <v>SERVICE</v>
      </c>
    </row>
    <row r="468" spans="1:8" x14ac:dyDescent="0.25">
      <c r="A468" t="s">
        <v>128</v>
      </c>
      <c r="B468">
        <v>3035</v>
      </c>
      <c r="C468">
        <v>93.15</v>
      </c>
      <c r="D468" s="1">
        <v>44068</v>
      </c>
      <c r="E468" t="str">
        <f>"202008188404"</f>
        <v>202008188404</v>
      </c>
      <c r="F468" t="str">
        <f>"MILEAGE REIMBURSEMENT"</f>
        <v>MILEAGE REIMBURSEMENT</v>
      </c>
      <c r="G468" s="4">
        <v>93.15</v>
      </c>
      <c r="H468" t="str">
        <f>"MILEAGE REIMBURSEMENT"</f>
        <v>MILEAGE REIMBURSEMENT</v>
      </c>
    </row>
    <row r="469" spans="1:8" x14ac:dyDescent="0.25">
      <c r="A469" t="s">
        <v>129</v>
      </c>
      <c r="B469">
        <v>132626</v>
      </c>
      <c r="C469">
        <v>240</v>
      </c>
      <c r="D469" s="1">
        <v>44053</v>
      </c>
      <c r="E469" t="str">
        <f>"5712"</f>
        <v>5712</v>
      </c>
      <c r="F469" t="str">
        <f>"INV 5712"</f>
        <v>INV 5712</v>
      </c>
      <c r="G469" s="4">
        <v>240</v>
      </c>
      <c r="H469" t="str">
        <f>"INV 5712"</f>
        <v>INV 5712</v>
      </c>
    </row>
    <row r="470" spans="1:8" x14ac:dyDescent="0.25">
      <c r="A470" t="s">
        <v>130</v>
      </c>
      <c r="B470">
        <v>2963</v>
      </c>
      <c r="C470">
        <v>104.15</v>
      </c>
      <c r="D470" s="1">
        <v>44054</v>
      </c>
      <c r="E470" t="str">
        <f>"46068AP"</f>
        <v>46068AP</v>
      </c>
      <c r="F470" t="str">
        <f>"ACCT#3326/PCT#4"</f>
        <v>ACCT#3326/PCT#4</v>
      </c>
      <c r="G470" s="4">
        <v>61.09</v>
      </c>
      <c r="H470" t="str">
        <f>"ACCT#3326/PCT#4"</f>
        <v>ACCT#3326/PCT#4</v>
      </c>
    </row>
    <row r="471" spans="1:8" x14ac:dyDescent="0.25">
      <c r="E471" t="str">
        <f>"46079AP"</f>
        <v>46079AP</v>
      </c>
      <c r="F471" t="str">
        <f>"ACCT#3326/PCT#4"</f>
        <v>ACCT#3326/PCT#4</v>
      </c>
      <c r="G471" s="4">
        <v>29.6</v>
      </c>
      <c r="H471" t="str">
        <f>"ACCT#3326/PCT#4"</f>
        <v>ACCT#3326/PCT#4</v>
      </c>
    </row>
    <row r="472" spans="1:8" x14ac:dyDescent="0.25">
      <c r="E472" t="str">
        <f>"46189AP"</f>
        <v>46189AP</v>
      </c>
      <c r="F472" t="str">
        <f>"ACCT#3326/PCT#4"</f>
        <v>ACCT#3326/PCT#4</v>
      </c>
      <c r="G472" s="4">
        <v>13.46</v>
      </c>
      <c r="H472" t="str">
        <f>"ACCT#3326/PCT#4"</f>
        <v>ACCT#3326/PCT#4</v>
      </c>
    </row>
    <row r="473" spans="1:8" x14ac:dyDescent="0.25">
      <c r="A473" t="s">
        <v>130</v>
      </c>
      <c r="B473">
        <v>3042</v>
      </c>
      <c r="C473">
        <v>1300.6099999999999</v>
      </c>
      <c r="D473" s="1">
        <v>44068</v>
      </c>
      <c r="E473" t="str">
        <f>"46736AP"</f>
        <v>46736AP</v>
      </c>
      <c r="F473" t="str">
        <f>"ACCT#3324/PCT#3"</f>
        <v>ACCT#3324/PCT#3</v>
      </c>
      <c r="G473" s="4">
        <v>957.93</v>
      </c>
      <c r="H473" t="str">
        <f>"ACCT#3324/PCT#3"</f>
        <v>ACCT#3324/PCT#3</v>
      </c>
    </row>
    <row r="474" spans="1:8" x14ac:dyDescent="0.25">
      <c r="E474" t="str">
        <f>"47279AP"</f>
        <v>47279AP</v>
      </c>
      <c r="F474" t="str">
        <f>"ACCT#3326/PCT#4"</f>
        <v>ACCT#3326/PCT#4</v>
      </c>
      <c r="G474" s="4">
        <v>342.68</v>
      </c>
      <c r="H474" t="str">
        <f>"ACCT#3326/PCT#4"</f>
        <v>ACCT#3326/PCT#4</v>
      </c>
    </row>
    <row r="475" spans="1:8" x14ac:dyDescent="0.25">
      <c r="A475" t="s">
        <v>131</v>
      </c>
      <c r="B475">
        <v>2969</v>
      </c>
      <c r="C475">
        <v>384.19</v>
      </c>
      <c r="D475" s="1">
        <v>44054</v>
      </c>
      <c r="E475" t="str">
        <f>"112190"</f>
        <v>112190</v>
      </c>
      <c r="F475" t="str">
        <f>"WINDOW ENVELOPES/DEVLPMT SVCS"</f>
        <v>WINDOW ENVELOPES/DEVLPMT SVCS</v>
      </c>
      <c r="G475" s="4">
        <v>128.97</v>
      </c>
      <c r="H475" t="str">
        <f>"WINDOW ENVELOPES/DEVLPMT SVCS"</f>
        <v>WINDOW ENVELOPES/DEVLPMT SVCS</v>
      </c>
    </row>
    <row r="476" spans="1:8" x14ac:dyDescent="0.25">
      <c r="E476" t="str">
        <f>"GC 112129"</f>
        <v>GC 112129</v>
      </c>
      <c r="F476" t="str">
        <f>"INV GC 112129"</f>
        <v>INV GC 112129</v>
      </c>
      <c r="G476" s="4">
        <v>255.22</v>
      </c>
      <c r="H476" t="str">
        <f>"INV GC 112129"</f>
        <v>INV GC 112129</v>
      </c>
    </row>
    <row r="477" spans="1:8" x14ac:dyDescent="0.25">
      <c r="A477" t="s">
        <v>131</v>
      </c>
      <c r="B477">
        <v>3051</v>
      </c>
      <c r="C477">
        <v>359.37</v>
      </c>
      <c r="D477" s="1">
        <v>44068</v>
      </c>
      <c r="E477" t="str">
        <f>"112298"</f>
        <v>112298</v>
      </c>
      <c r="F477" t="str">
        <f>"FOOD INSP REPORT/ENV&amp;SANIT SVC"</f>
        <v>FOOD INSP REPORT/ENV&amp;SANIT SVC</v>
      </c>
      <c r="G477" s="4">
        <v>192.04</v>
      </c>
      <c r="H477" t="str">
        <f>"FOOD INSP REPORT/ENV&amp;SANIT SVC"</f>
        <v>FOOD INSP REPORT/ENV&amp;SANIT SVC</v>
      </c>
    </row>
    <row r="478" spans="1:8" x14ac:dyDescent="0.25">
      <c r="E478" t="str">
        <f>"112306"</f>
        <v>112306</v>
      </c>
      <c r="F478" t="str">
        <f>"ENVELOPES/DEVELOPMENT SVCS"</f>
        <v>ENVELOPES/DEVELOPMENT SVCS</v>
      </c>
      <c r="G478" s="4">
        <v>167.33</v>
      </c>
      <c r="H478" t="str">
        <f>"ENVELOPES/DEVELOPMENT SVCS"</f>
        <v>ENVELOPES/DEVELOPMENT SVCS</v>
      </c>
    </row>
    <row r="479" spans="1:8" x14ac:dyDescent="0.25">
      <c r="A479" t="s">
        <v>132</v>
      </c>
      <c r="B479">
        <v>132627</v>
      </c>
      <c r="C479">
        <v>4544.95</v>
      </c>
      <c r="D479" s="1">
        <v>44053</v>
      </c>
      <c r="E479" t="str">
        <f>"014791217"</f>
        <v>014791217</v>
      </c>
      <c r="F479" t="str">
        <f>"INV 014791217"</f>
        <v>INV 014791217</v>
      </c>
      <c r="G479" s="4">
        <v>289.5</v>
      </c>
      <c r="H479" t="str">
        <f>"INV 014791217"</f>
        <v>INV 014791217</v>
      </c>
    </row>
    <row r="480" spans="1:8" x14ac:dyDescent="0.25">
      <c r="E480" t="str">
        <f>"016013861"</f>
        <v>016013861</v>
      </c>
      <c r="F480" t="str">
        <f>"INV 016013861"</f>
        <v>INV 016013861</v>
      </c>
      <c r="G480" s="4">
        <v>12</v>
      </c>
      <c r="H480" t="str">
        <f>"INV 016013861"</f>
        <v>INV 016013861</v>
      </c>
    </row>
    <row r="481" spans="1:8" x14ac:dyDescent="0.25">
      <c r="E481" t="str">
        <f>"016126085  26086"</f>
        <v>016126085  26086</v>
      </c>
      <c r="F481" t="str">
        <f>"INV 016126085"</f>
        <v>INV 016126085</v>
      </c>
      <c r="G481" s="4">
        <v>3266.5</v>
      </c>
      <c r="H481" t="str">
        <f>"INV 016126085"</f>
        <v>INV 016126085</v>
      </c>
    </row>
    <row r="482" spans="1:8" x14ac:dyDescent="0.25">
      <c r="E482" t="str">
        <f>""</f>
        <v/>
      </c>
      <c r="F482" t="str">
        <f>""</f>
        <v/>
      </c>
      <c r="H482" t="str">
        <f>"INV 016126086"</f>
        <v>INV 016126086</v>
      </c>
    </row>
    <row r="483" spans="1:8" x14ac:dyDescent="0.25">
      <c r="E483" t="str">
        <f>"016152264"</f>
        <v>016152264</v>
      </c>
      <c r="F483" t="str">
        <f>"INV 016152264"</f>
        <v>INV 016152264</v>
      </c>
      <c r="G483" s="4">
        <v>12</v>
      </c>
      <c r="H483" t="str">
        <f>"INV 016152264"</f>
        <v>INV 016152264</v>
      </c>
    </row>
    <row r="484" spans="1:8" x14ac:dyDescent="0.25">
      <c r="E484" t="str">
        <f>"202008048095"</f>
        <v>202008048095</v>
      </c>
      <c r="F484" t="str">
        <f>"INV 014449837/014705454/E"</f>
        <v>INV 014449837/014705454/E</v>
      </c>
      <c r="G484" s="4">
        <v>549.45000000000005</v>
      </c>
      <c r="H484" t="str">
        <f>"INV 014449837"</f>
        <v>INV 014449837</v>
      </c>
    </row>
    <row r="485" spans="1:8" x14ac:dyDescent="0.25">
      <c r="E485" t="str">
        <f>""</f>
        <v/>
      </c>
      <c r="F485" t="str">
        <f>""</f>
        <v/>
      </c>
      <c r="H485" t="str">
        <f>"INV 014705454"</f>
        <v>INV 014705454</v>
      </c>
    </row>
    <row r="486" spans="1:8" x14ac:dyDescent="0.25">
      <c r="E486" t="str">
        <f>""</f>
        <v/>
      </c>
      <c r="F486" t="str">
        <f>""</f>
        <v/>
      </c>
      <c r="H486" t="str">
        <f>"INV 014791219"</f>
        <v>INV 014791219</v>
      </c>
    </row>
    <row r="487" spans="1:8" x14ac:dyDescent="0.25">
      <c r="E487" t="str">
        <f>""</f>
        <v/>
      </c>
      <c r="F487" t="str">
        <f>""</f>
        <v/>
      </c>
      <c r="H487" t="str">
        <f>"INV 014791228"</f>
        <v>INV 014791228</v>
      </c>
    </row>
    <row r="488" spans="1:8" x14ac:dyDescent="0.25">
      <c r="E488" t="str">
        <f>"202008048096"</f>
        <v>202008048096</v>
      </c>
      <c r="F488" t="str">
        <f>"INV 015112642/015112715"</f>
        <v>INV 015112642/015112715</v>
      </c>
      <c r="G488" s="4">
        <v>415.5</v>
      </c>
      <c r="H488" t="str">
        <f>"INV 015112642"</f>
        <v>INV 015112642</v>
      </c>
    </row>
    <row r="489" spans="1:8" x14ac:dyDescent="0.25">
      <c r="E489" t="str">
        <f>""</f>
        <v/>
      </c>
      <c r="F489" t="str">
        <f>""</f>
        <v/>
      </c>
      <c r="H489" t="str">
        <f>"INV 015112715"</f>
        <v>INV 015112715</v>
      </c>
    </row>
    <row r="490" spans="1:8" x14ac:dyDescent="0.25">
      <c r="E490" t="str">
        <f>""</f>
        <v/>
      </c>
      <c r="F490" t="str">
        <f>""</f>
        <v/>
      </c>
      <c r="H490" t="str">
        <f>"INV 016050867"</f>
        <v>INV 016050867</v>
      </c>
    </row>
    <row r="491" spans="1:8" x14ac:dyDescent="0.25">
      <c r="A491" t="s">
        <v>132</v>
      </c>
      <c r="B491">
        <v>132762</v>
      </c>
      <c r="C491">
        <v>2225.4699999999998</v>
      </c>
      <c r="D491" s="1">
        <v>44067</v>
      </c>
      <c r="E491" t="str">
        <f>"015964930  0161821"</f>
        <v>015964930  0161821</v>
      </c>
      <c r="F491" t="str">
        <f>"INV 015964930"</f>
        <v>INV 015964930</v>
      </c>
      <c r="G491" s="4">
        <v>1918.47</v>
      </c>
      <c r="H491" t="str">
        <f>"INV 015964930"</f>
        <v>INV 015964930</v>
      </c>
    </row>
    <row r="492" spans="1:8" x14ac:dyDescent="0.25">
      <c r="E492" t="str">
        <f>""</f>
        <v/>
      </c>
      <c r="F492" t="str">
        <f>""</f>
        <v/>
      </c>
      <c r="H492" t="str">
        <f>"INV 016182147"</f>
        <v>INV 016182147</v>
      </c>
    </row>
    <row r="493" spans="1:8" x14ac:dyDescent="0.25">
      <c r="E493" t="str">
        <f>"016220938"</f>
        <v>016220938</v>
      </c>
      <c r="F493" t="str">
        <f>"INV 016220938"</f>
        <v>INV 016220938</v>
      </c>
      <c r="G493" s="4">
        <v>307</v>
      </c>
      <c r="H493" t="str">
        <f>"INV 016220938"</f>
        <v>INV 016220938</v>
      </c>
    </row>
    <row r="494" spans="1:8" x14ac:dyDescent="0.25">
      <c r="A494" t="s">
        <v>133</v>
      </c>
      <c r="B494">
        <v>132763</v>
      </c>
      <c r="C494">
        <v>425</v>
      </c>
      <c r="D494" s="1">
        <v>44067</v>
      </c>
      <c r="E494" t="str">
        <f>"1111"</f>
        <v>1111</v>
      </c>
      <c r="F494" t="str">
        <f>"TRANSPORT - J.B. HERNANDEZ"</f>
        <v>TRANSPORT - J.B. HERNANDEZ</v>
      </c>
      <c r="G494" s="4">
        <v>425</v>
      </c>
      <c r="H494" t="str">
        <f>"TRANSPORT - J.B. HERNANDEZ"</f>
        <v>TRANSPORT - J.B. HERNANDEZ</v>
      </c>
    </row>
    <row r="495" spans="1:8" x14ac:dyDescent="0.25">
      <c r="A495" t="s">
        <v>134</v>
      </c>
      <c r="B495">
        <v>3030</v>
      </c>
      <c r="C495">
        <v>137.80000000000001</v>
      </c>
      <c r="D495" s="1">
        <v>44068</v>
      </c>
      <c r="E495" t="str">
        <f>"0322371"</f>
        <v>0322371</v>
      </c>
      <c r="F495" t="str">
        <f>"JOB#023012/COUNTY CLERK"</f>
        <v>JOB#023012/COUNTY CLERK</v>
      </c>
      <c r="G495" s="4">
        <v>137.80000000000001</v>
      </c>
      <c r="H495" t="str">
        <f>"JOB#023012/COUNTY CLERK"</f>
        <v>JOB#023012/COUNTY CLERK</v>
      </c>
    </row>
    <row r="496" spans="1:8" x14ac:dyDescent="0.25">
      <c r="A496" t="s">
        <v>135</v>
      </c>
      <c r="B496">
        <v>132628</v>
      </c>
      <c r="C496">
        <v>363.4</v>
      </c>
      <c r="D496" s="1">
        <v>44053</v>
      </c>
      <c r="E496" t="str">
        <f>"9597782235"</f>
        <v>9597782235</v>
      </c>
      <c r="F496" t="str">
        <f>"INV 9597782235"</f>
        <v>INV 9597782235</v>
      </c>
      <c r="G496" s="4">
        <v>363.4</v>
      </c>
      <c r="H496" t="str">
        <f>"INV 9597782235"</f>
        <v>INV 9597782235</v>
      </c>
    </row>
    <row r="497" spans="1:8" x14ac:dyDescent="0.25">
      <c r="A497" t="s">
        <v>135</v>
      </c>
      <c r="B497">
        <v>132764</v>
      </c>
      <c r="C497">
        <v>666.24</v>
      </c>
      <c r="D497" s="1">
        <v>44067</v>
      </c>
      <c r="E497" t="str">
        <f>"9611745671"</f>
        <v>9611745671</v>
      </c>
      <c r="F497" t="str">
        <f>"INV 9611745671"</f>
        <v>INV 9611745671</v>
      </c>
      <c r="G497" s="4">
        <v>64.5</v>
      </c>
      <c r="H497" t="str">
        <f>"9611745671"</f>
        <v>9611745671</v>
      </c>
    </row>
    <row r="498" spans="1:8" x14ac:dyDescent="0.25">
      <c r="E498" t="str">
        <f>"9616521010"</f>
        <v>9616521010</v>
      </c>
      <c r="F498" t="str">
        <f>"Shovels and Piks"</f>
        <v>Shovels and Piks</v>
      </c>
      <c r="G498" s="4">
        <v>601.74</v>
      </c>
      <c r="H498" t="str">
        <f>"Pike Pole"</f>
        <v>Pike Pole</v>
      </c>
    </row>
    <row r="499" spans="1:8" x14ac:dyDescent="0.25">
      <c r="E499" t="str">
        <f>""</f>
        <v/>
      </c>
      <c r="F499" t="str">
        <f>""</f>
        <v/>
      </c>
      <c r="H499" t="str">
        <f>"Roof Ventilation Hoo"</f>
        <v>Roof Ventilation Hoo</v>
      </c>
    </row>
    <row r="500" spans="1:8" x14ac:dyDescent="0.25">
      <c r="E500" t="str">
        <f>""</f>
        <v/>
      </c>
      <c r="F500" t="str">
        <f>""</f>
        <v/>
      </c>
      <c r="H500" t="str">
        <f>"Eastern Scoop Hand"</f>
        <v>Eastern Scoop Hand</v>
      </c>
    </row>
    <row r="501" spans="1:8" x14ac:dyDescent="0.25">
      <c r="A501" t="s">
        <v>136</v>
      </c>
      <c r="B501">
        <v>132765</v>
      </c>
      <c r="C501">
        <v>240</v>
      </c>
      <c r="D501" s="1">
        <v>44067</v>
      </c>
      <c r="E501" t="str">
        <f>"202008138345"</f>
        <v>202008138345</v>
      </c>
      <c r="F501" t="str">
        <f>"REIMBURSE STATE BAR DUES"</f>
        <v>REIMBURSE STATE BAR DUES</v>
      </c>
      <c r="G501" s="4">
        <v>240</v>
      </c>
      <c r="H501" t="str">
        <f>"REIMBURSE STATE BAR DUES"</f>
        <v>REIMBURSE STATE BAR DUES</v>
      </c>
    </row>
    <row r="502" spans="1:8" x14ac:dyDescent="0.25">
      <c r="A502" t="s">
        <v>137</v>
      </c>
      <c r="B502">
        <v>2935</v>
      </c>
      <c r="C502">
        <v>3802.5</v>
      </c>
      <c r="D502" s="1">
        <v>44054</v>
      </c>
      <c r="E502" t="str">
        <f>"456426"</f>
        <v>456426</v>
      </c>
      <c r="F502" t="str">
        <f>"CLIENT#3366/OPEB VAL/PROJ#3366"</f>
        <v>CLIENT#3366/OPEB VAL/PROJ#3366</v>
      </c>
      <c r="G502" s="4">
        <v>3802.5</v>
      </c>
      <c r="H502" t="str">
        <f>"CLIENT#3366/OPEB VAL/PROJ#3366"</f>
        <v>CLIENT#3366/OPEB VAL/PROJ#3366</v>
      </c>
    </row>
    <row r="503" spans="1:8" x14ac:dyDescent="0.25">
      <c r="A503" t="s">
        <v>138</v>
      </c>
      <c r="B503">
        <v>2979</v>
      </c>
      <c r="C503">
        <v>1604.45</v>
      </c>
      <c r="D503" s="1">
        <v>44054</v>
      </c>
      <c r="E503" t="str">
        <f>"1895198  1901330"</f>
        <v>1895198  1901330</v>
      </c>
      <c r="F503" t="str">
        <f>"INV 1895198"</f>
        <v>INV 1895198</v>
      </c>
      <c r="G503" s="4">
        <v>354.1</v>
      </c>
      <c r="H503" t="str">
        <f>"INV 1895198"</f>
        <v>INV 1895198</v>
      </c>
    </row>
    <row r="504" spans="1:8" x14ac:dyDescent="0.25">
      <c r="E504" t="str">
        <f>""</f>
        <v/>
      </c>
      <c r="F504" t="str">
        <f>""</f>
        <v/>
      </c>
      <c r="H504" t="str">
        <f>"INV 1901330"</f>
        <v>INV 1901330</v>
      </c>
    </row>
    <row r="505" spans="1:8" x14ac:dyDescent="0.25">
      <c r="E505" t="str">
        <f>"1898269"</f>
        <v>1898269</v>
      </c>
      <c r="F505" t="str">
        <f>"INV 1898269"</f>
        <v>INV 1898269</v>
      </c>
      <c r="G505" s="4">
        <v>198.05</v>
      </c>
      <c r="H505" t="str">
        <f>"INV 1898269"</f>
        <v>INV 1898269</v>
      </c>
    </row>
    <row r="506" spans="1:8" x14ac:dyDescent="0.25">
      <c r="E506" t="str">
        <f>"1901332"</f>
        <v>1901332</v>
      </c>
      <c r="F506" t="str">
        <f>"INV 1901332"</f>
        <v>INV 1901332</v>
      </c>
      <c r="G506" s="4">
        <v>1052.3</v>
      </c>
      <c r="H506" t="str">
        <f>"INV 1901332"</f>
        <v>INV 1901332</v>
      </c>
    </row>
    <row r="507" spans="1:8" x14ac:dyDescent="0.25">
      <c r="A507" t="s">
        <v>138</v>
      </c>
      <c r="B507">
        <v>3064</v>
      </c>
      <c r="C507">
        <v>9046.61</v>
      </c>
      <c r="D507" s="1">
        <v>44068</v>
      </c>
      <c r="E507" t="str">
        <f>"1844066"</f>
        <v>1844066</v>
      </c>
      <c r="F507" t="str">
        <f>"INV# 1844066"</f>
        <v>INV# 1844066</v>
      </c>
      <c r="G507" s="4">
        <v>356.1</v>
      </c>
      <c r="H507" t="str">
        <f>"INV# 1844066"</f>
        <v>INV# 1844066</v>
      </c>
    </row>
    <row r="508" spans="1:8" x14ac:dyDescent="0.25">
      <c r="E508" t="str">
        <f>"1854309 1858330 18"</f>
        <v>1854309 1858330 18</v>
      </c>
      <c r="F508" t="str">
        <f>"Supplies"</f>
        <v>Supplies</v>
      </c>
      <c r="G508" s="4">
        <v>3538.1</v>
      </c>
      <c r="H508" t="str">
        <f>"GP89480"</f>
        <v>GP89480</v>
      </c>
    </row>
    <row r="509" spans="1:8" x14ac:dyDescent="0.25">
      <c r="E509" t="str">
        <f>""</f>
        <v/>
      </c>
      <c r="F509" t="str">
        <f>""</f>
        <v/>
      </c>
      <c r="H509" t="str">
        <f>"GP89420"</f>
        <v>GP89420</v>
      </c>
    </row>
    <row r="510" spans="1:8" x14ac:dyDescent="0.25">
      <c r="E510" t="str">
        <f>""</f>
        <v/>
      </c>
      <c r="F510" t="str">
        <f>""</f>
        <v/>
      </c>
      <c r="H510" t="str">
        <f>"GP19371"</f>
        <v>GP19371</v>
      </c>
    </row>
    <row r="511" spans="1:8" x14ac:dyDescent="0.25">
      <c r="E511" t="str">
        <f>""</f>
        <v/>
      </c>
      <c r="F511" t="str">
        <f>""</f>
        <v/>
      </c>
      <c r="H511" t="str">
        <f>"GP42714"</f>
        <v>GP42714</v>
      </c>
    </row>
    <row r="512" spans="1:8" x14ac:dyDescent="0.25">
      <c r="E512" t="str">
        <f>""</f>
        <v/>
      </c>
      <c r="F512" t="str">
        <f>""</f>
        <v/>
      </c>
      <c r="H512" t="str">
        <f>"GP42334"</f>
        <v>GP42334</v>
      </c>
    </row>
    <row r="513" spans="5:8" x14ac:dyDescent="0.25">
      <c r="E513" t="str">
        <f>""</f>
        <v/>
      </c>
      <c r="F513" t="str">
        <f>""</f>
        <v/>
      </c>
      <c r="H513" t="str">
        <f>"GP20389"</f>
        <v>GP20389</v>
      </c>
    </row>
    <row r="514" spans="5:8" x14ac:dyDescent="0.25">
      <c r="E514" t="str">
        <f>""</f>
        <v/>
      </c>
      <c r="F514" t="str">
        <f>""</f>
        <v/>
      </c>
      <c r="H514" t="str">
        <f>"PGC92379PK"</f>
        <v>PGC92379PK</v>
      </c>
    </row>
    <row r="515" spans="5:8" x14ac:dyDescent="0.25">
      <c r="E515" t="str">
        <f>""</f>
        <v/>
      </c>
      <c r="F515" t="str">
        <f>""</f>
        <v/>
      </c>
      <c r="H515" t="str">
        <f>"63CL"</f>
        <v>63CL</v>
      </c>
    </row>
    <row r="516" spans="5:8" x14ac:dyDescent="0.25">
      <c r="E516" t="str">
        <f>""</f>
        <v/>
      </c>
      <c r="F516" t="str">
        <f>""</f>
        <v/>
      </c>
      <c r="H516" t="str">
        <f>"32ROUNDC"</f>
        <v>32ROUNDC</v>
      </c>
    </row>
    <row r="517" spans="5:8" x14ac:dyDescent="0.25">
      <c r="E517" t="str">
        <f>""</f>
        <v/>
      </c>
      <c r="F517" t="str">
        <f>""</f>
        <v/>
      </c>
      <c r="H517" t="str">
        <f>"13TOFFC"</f>
        <v>13TOFFC</v>
      </c>
    </row>
    <row r="518" spans="5:8" x14ac:dyDescent="0.25">
      <c r="E518" t="str">
        <f>""</f>
        <v/>
      </c>
      <c r="F518" t="str">
        <f>""</f>
        <v/>
      </c>
      <c r="H518" t="str">
        <f>"HS6141"</f>
        <v>HS6141</v>
      </c>
    </row>
    <row r="519" spans="5:8" x14ac:dyDescent="0.25">
      <c r="E519" t="str">
        <f>""</f>
        <v/>
      </c>
      <c r="F519" t="str">
        <f>""</f>
        <v/>
      </c>
      <c r="H519" t="str">
        <f>"NABC"</f>
        <v>NABC</v>
      </c>
    </row>
    <row r="520" spans="5:8" x14ac:dyDescent="0.25">
      <c r="E520" t="str">
        <f>""</f>
        <v/>
      </c>
      <c r="F520" t="str">
        <f>""</f>
        <v/>
      </c>
      <c r="H520" t="str">
        <f>"CREWBOWLCLN"</f>
        <v>CREWBOWLCLN</v>
      </c>
    </row>
    <row r="521" spans="5:8" x14ac:dyDescent="0.25">
      <c r="E521" t="str">
        <f>""</f>
        <v/>
      </c>
      <c r="F521" t="str">
        <f>""</f>
        <v/>
      </c>
      <c r="H521" t="str">
        <f>"SIG5"</f>
        <v>SIG5</v>
      </c>
    </row>
    <row r="522" spans="5:8" x14ac:dyDescent="0.25">
      <c r="E522" t="str">
        <f>""</f>
        <v/>
      </c>
      <c r="F522" t="str">
        <f>""</f>
        <v/>
      </c>
      <c r="H522" t="str">
        <f>"SHINEEP5"</f>
        <v>SHINEEP5</v>
      </c>
    </row>
    <row r="523" spans="5:8" x14ac:dyDescent="0.25">
      <c r="E523" t="str">
        <f>""</f>
        <v/>
      </c>
      <c r="F523" t="str">
        <f>""</f>
        <v/>
      </c>
      <c r="H523" t="str">
        <f>"20MSTRP"</f>
        <v>20MSTRP</v>
      </c>
    </row>
    <row r="524" spans="5:8" x14ac:dyDescent="0.25">
      <c r="E524" t="str">
        <f>""</f>
        <v/>
      </c>
      <c r="F524" t="str">
        <f>""</f>
        <v/>
      </c>
      <c r="H524" t="str">
        <f>"20C"</f>
        <v>20C</v>
      </c>
    </row>
    <row r="525" spans="5:8" x14ac:dyDescent="0.25">
      <c r="E525" t="str">
        <f>""</f>
        <v/>
      </c>
      <c r="F525" t="str">
        <f>""</f>
        <v/>
      </c>
      <c r="H525" t="str">
        <f>"EX1"</f>
        <v>EX1</v>
      </c>
    </row>
    <row r="526" spans="5:8" x14ac:dyDescent="0.25">
      <c r="E526" t="str">
        <f>"1895194"</f>
        <v>1895194</v>
      </c>
      <c r="F526" t="str">
        <f>"INV# 1895194"</f>
        <v>INV# 1895194</v>
      </c>
      <c r="G526" s="4">
        <v>414.4</v>
      </c>
      <c r="H526" t="str">
        <f>"INV# 1895194"</f>
        <v>INV# 1895194</v>
      </c>
    </row>
    <row r="527" spans="5:8" x14ac:dyDescent="0.25">
      <c r="E527" t="str">
        <f>"1908365"</f>
        <v>1908365</v>
      </c>
      <c r="F527" t="str">
        <f>"INV 1908365"</f>
        <v>INV 1908365</v>
      </c>
      <c r="G527" s="4">
        <v>1739</v>
      </c>
      <c r="H527" t="str">
        <f>"INV 1908365"</f>
        <v>INV 1908365</v>
      </c>
    </row>
    <row r="528" spans="5:8" x14ac:dyDescent="0.25">
      <c r="E528" t="str">
        <f>"202008198444"</f>
        <v>202008198444</v>
      </c>
      <c r="F528" t="str">
        <f>"1885772 1885674 1908363"</f>
        <v>1885772 1885674 1908363</v>
      </c>
      <c r="G528" s="4">
        <v>2999.01</v>
      </c>
      <c r="H528" t="str">
        <f>"1885772"</f>
        <v>1885772</v>
      </c>
    </row>
    <row r="529" spans="1:8" x14ac:dyDescent="0.25">
      <c r="E529" t="str">
        <f>""</f>
        <v/>
      </c>
      <c r="F529" t="str">
        <f>""</f>
        <v/>
      </c>
      <c r="H529" t="str">
        <f>"1885674"</f>
        <v>1885674</v>
      </c>
    </row>
    <row r="530" spans="1:8" x14ac:dyDescent="0.25">
      <c r="E530" t="str">
        <f>""</f>
        <v/>
      </c>
      <c r="F530" t="str">
        <f>""</f>
        <v/>
      </c>
      <c r="H530" t="str">
        <f>"1908363"</f>
        <v>1908363</v>
      </c>
    </row>
    <row r="531" spans="1:8" x14ac:dyDescent="0.25">
      <c r="A531" t="s">
        <v>139</v>
      </c>
      <c r="B531">
        <v>132766</v>
      </c>
      <c r="C531">
        <v>85</v>
      </c>
      <c r="D531" s="1">
        <v>44067</v>
      </c>
      <c r="E531" t="str">
        <f>"1015914"</f>
        <v>1015914</v>
      </c>
      <c r="F531" t="str">
        <f>"ACCT#41985/TRANSPORT FEE/PCT#3"</f>
        <v>ACCT#41985/TRANSPORT FEE/PCT#3</v>
      </c>
      <c r="G531" s="4">
        <v>85</v>
      </c>
      <c r="H531" t="str">
        <f>"ACCT#41985/TRANSPORT FEE/PCT#3"</f>
        <v>ACCT#41985/TRANSPORT FEE/PCT#3</v>
      </c>
    </row>
    <row r="532" spans="1:8" x14ac:dyDescent="0.25">
      <c r="A532" t="s">
        <v>140</v>
      </c>
      <c r="B532">
        <v>132629</v>
      </c>
      <c r="C532">
        <v>677.56</v>
      </c>
      <c r="D532" s="1">
        <v>44053</v>
      </c>
      <c r="E532" t="str">
        <f>"0000280333"</f>
        <v>0000280333</v>
      </c>
      <c r="F532" t="str">
        <f>"ACCT#BAS001/WING AXLE/PCT#3"</f>
        <v>ACCT#BAS001/WING AXLE/PCT#3</v>
      </c>
      <c r="G532" s="4">
        <v>677.56</v>
      </c>
      <c r="H532" t="str">
        <f>"WING AXLE/PCT#3"</f>
        <v>WING AXLE/PCT#3</v>
      </c>
    </row>
    <row r="533" spans="1:8" x14ac:dyDescent="0.25">
      <c r="A533" t="s">
        <v>141</v>
      </c>
      <c r="B533">
        <v>132585</v>
      </c>
      <c r="C533">
        <v>225</v>
      </c>
      <c r="D533" s="1">
        <v>44049</v>
      </c>
      <c r="E533" t="str">
        <f>"202008068278"</f>
        <v>202008068278</v>
      </c>
      <c r="F533" t="str">
        <f>"SERVICE CAUSE #13000"</f>
        <v>SERVICE CAUSE #13000</v>
      </c>
      <c r="G533" s="4">
        <v>225</v>
      </c>
      <c r="H533" t="str">
        <f>"SERVICE CAUSE #13000"</f>
        <v>SERVICE CAUSE #13000</v>
      </c>
    </row>
    <row r="534" spans="1:8" x14ac:dyDescent="0.25">
      <c r="A534" t="s">
        <v>142</v>
      </c>
      <c r="B534">
        <v>132767</v>
      </c>
      <c r="C534">
        <v>75</v>
      </c>
      <c r="D534" s="1">
        <v>44067</v>
      </c>
      <c r="E534" t="str">
        <f>"202008188402"</f>
        <v>202008188402</v>
      </c>
      <c r="F534" t="str">
        <f>"REIMBURSE VIRTUAL CONVENTION"</f>
        <v>REIMBURSE VIRTUAL CONVENTION</v>
      </c>
      <c r="G534" s="4">
        <v>75</v>
      </c>
      <c r="H534" t="str">
        <f>"REIMBURSE VIRTUAL CONVENTION"</f>
        <v>REIMBURSE VIRTUAL CONVENTION</v>
      </c>
    </row>
    <row r="535" spans="1:8" x14ac:dyDescent="0.25">
      <c r="A535" t="s">
        <v>143</v>
      </c>
      <c r="B535">
        <v>132630</v>
      </c>
      <c r="C535">
        <v>116.57</v>
      </c>
      <c r="D535" s="1">
        <v>44053</v>
      </c>
      <c r="E535" t="str">
        <f>"2976687"</f>
        <v>2976687</v>
      </c>
      <c r="F535" t="str">
        <f>"INV 2976687"</f>
        <v>INV 2976687</v>
      </c>
      <c r="G535" s="4">
        <v>116.57</v>
      </c>
      <c r="H535" t="str">
        <f>"INV 2976687"</f>
        <v>INV 2976687</v>
      </c>
    </row>
    <row r="536" spans="1:8" x14ac:dyDescent="0.25">
      <c r="A536" t="s">
        <v>144</v>
      </c>
      <c r="B536">
        <v>132631</v>
      </c>
      <c r="C536">
        <v>15000</v>
      </c>
      <c r="D536" s="1">
        <v>44053</v>
      </c>
      <c r="E536" t="str">
        <f>"202007298042"</f>
        <v>202007298042</v>
      </c>
      <c r="F536" t="str">
        <f>"FY 2019-2020"</f>
        <v>FY 2019-2020</v>
      </c>
      <c r="G536" s="4">
        <v>15000</v>
      </c>
      <c r="H536" t="str">
        <f>"FY 2019-2020"</f>
        <v>FY 2019-2020</v>
      </c>
    </row>
    <row r="537" spans="1:8" x14ac:dyDescent="0.25">
      <c r="A537" t="s">
        <v>145</v>
      </c>
      <c r="B537">
        <v>132768</v>
      </c>
      <c r="C537">
        <v>2038.2</v>
      </c>
      <c r="D537" s="1">
        <v>44067</v>
      </c>
      <c r="E537" t="str">
        <f>"570346-01"</f>
        <v>570346-01</v>
      </c>
      <c r="F537" t="str">
        <f>"CUST#180474-C/PCT#3"</f>
        <v>CUST#180474-C/PCT#3</v>
      </c>
      <c r="G537" s="4">
        <v>2038.2</v>
      </c>
      <c r="H537" t="str">
        <f>"CUST#180474-C/PCT#3"</f>
        <v>CUST#180474-C/PCT#3</v>
      </c>
    </row>
    <row r="538" spans="1:8" x14ac:dyDescent="0.25">
      <c r="A538" t="s">
        <v>146</v>
      </c>
      <c r="B538">
        <v>132769</v>
      </c>
      <c r="C538">
        <v>85</v>
      </c>
      <c r="D538" s="1">
        <v>44067</v>
      </c>
      <c r="E538" t="str">
        <f>"12195"</f>
        <v>12195</v>
      </c>
      <c r="F538" t="str">
        <f>"SERVICE"</f>
        <v>SERVICE</v>
      </c>
      <c r="G538" s="4">
        <v>85</v>
      </c>
      <c r="H538" t="str">
        <f>"SERVICE"</f>
        <v>SERVICE</v>
      </c>
    </row>
    <row r="539" spans="1:8" x14ac:dyDescent="0.25">
      <c r="A539" t="s">
        <v>147</v>
      </c>
      <c r="B539">
        <v>132770</v>
      </c>
      <c r="C539">
        <v>350</v>
      </c>
      <c r="D539" s="1">
        <v>44067</v>
      </c>
      <c r="E539" t="s">
        <v>148</v>
      </c>
      <c r="F539" t="str">
        <f>"RESTITUTION - M. FELTS"</f>
        <v>RESTITUTION - M. FELTS</v>
      </c>
      <c r="G539" s="4">
        <v>150</v>
      </c>
      <c r="H539" t="str">
        <f>"RESTITUTION - M. FELTS"</f>
        <v>RESTITUTION - M. FELTS</v>
      </c>
    </row>
    <row r="540" spans="1:8" x14ac:dyDescent="0.25">
      <c r="E540" t="s">
        <v>149</v>
      </c>
      <c r="F540" t="str">
        <f>"RESTITUTION - M. FELTS"</f>
        <v>RESTITUTION - M. FELTS</v>
      </c>
      <c r="G540" s="4">
        <v>200</v>
      </c>
      <c r="H540" t="str">
        <f>"RESTITUTION - M. FELTS"</f>
        <v>RESTITUTION - M. FELTS</v>
      </c>
    </row>
    <row r="541" spans="1:8" x14ac:dyDescent="0.25">
      <c r="A541" t="s">
        <v>150</v>
      </c>
      <c r="B541">
        <v>132771</v>
      </c>
      <c r="C541">
        <v>235.34</v>
      </c>
      <c r="D541" s="1">
        <v>44067</v>
      </c>
      <c r="E541" t="str">
        <f>"10792833"</f>
        <v>10792833</v>
      </c>
      <c r="F541" t="str">
        <f>"ACCT#0083705/CUST#3324/PCT#4"</f>
        <v>ACCT#0083705/CUST#3324/PCT#4</v>
      </c>
      <c r="G541" s="4">
        <v>235.34</v>
      </c>
      <c r="H541" t="str">
        <f>"ACCT#0083705/CUST#3324/PCT#4"</f>
        <v>ACCT#0083705/CUST#3324/PCT#4</v>
      </c>
    </row>
    <row r="542" spans="1:8" x14ac:dyDescent="0.25">
      <c r="A542" t="s">
        <v>151</v>
      </c>
      <c r="B542">
        <v>132772</v>
      </c>
      <c r="C542">
        <v>2184.7199999999998</v>
      </c>
      <c r="D542" s="1">
        <v>44067</v>
      </c>
      <c r="E542" t="str">
        <f>"202008188414"</f>
        <v>202008188414</v>
      </c>
      <c r="F542" t="str">
        <f>"LODGING"</f>
        <v>LODGING</v>
      </c>
      <c r="G542" s="4">
        <v>2184.7199999999998</v>
      </c>
      <c r="H542" t="str">
        <f>"LODGING-MILLER"</f>
        <v>LODGING-MILLER</v>
      </c>
    </row>
    <row r="543" spans="1:8" x14ac:dyDescent="0.25">
      <c r="E543" t="str">
        <f>""</f>
        <v/>
      </c>
      <c r="F543" t="str">
        <f>""</f>
        <v/>
      </c>
      <c r="H543" t="str">
        <f>"LODGING-GOMEZ"</f>
        <v>LODGING-GOMEZ</v>
      </c>
    </row>
    <row r="544" spans="1:8" x14ac:dyDescent="0.25">
      <c r="E544" t="str">
        <f>""</f>
        <v/>
      </c>
      <c r="F544" t="str">
        <f>""</f>
        <v/>
      </c>
      <c r="H544" t="str">
        <f>"LODGING-CARTER"</f>
        <v>LODGING-CARTER</v>
      </c>
    </row>
    <row r="545" spans="1:8" x14ac:dyDescent="0.25">
      <c r="A545" t="s">
        <v>152</v>
      </c>
      <c r="B545">
        <v>3053</v>
      </c>
      <c r="C545">
        <v>650</v>
      </c>
      <c r="D545" s="1">
        <v>44068</v>
      </c>
      <c r="E545" t="str">
        <f>"202008188422"</f>
        <v>202008188422</v>
      </c>
      <c r="F545" t="str">
        <f>"BASCOM L HODGES JR"</f>
        <v>BASCOM L HODGES JR</v>
      </c>
      <c r="G545" s="4">
        <v>650</v>
      </c>
      <c r="H545" t="str">
        <f>""</f>
        <v/>
      </c>
    </row>
    <row r="546" spans="1:8" x14ac:dyDescent="0.25">
      <c r="A546" t="s">
        <v>153</v>
      </c>
      <c r="B546">
        <v>132632</v>
      </c>
      <c r="C546">
        <v>412.5</v>
      </c>
      <c r="D546" s="1">
        <v>44053</v>
      </c>
      <c r="E546" t="str">
        <f>"202008058136"</f>
        <v>202008058136</v>
      </c>
      <c r="F546" t="str">
        <f>"19-19456"</f>
        <v>19-19456</v>
      </c>
      <c r="G546" s="4">
        <v>75</v>
      </c>
      <c r="H546" t="str">
        <f>"19-19456"</f>
        <v>19-19456</v>
      </c>
    </row>
    <row r="547" spans="1:8" x14ac:dyDescent="0.25">
      <c r="E547" t="str">
        <f>"202008058137"</f>
        <v>202008058137</v>
      </c>
      <c r="F547" t="str">
        <f>"19-19703"</f>
        <v>19-19703</v>
      </c>
      <c r="G547" s="4">
        <v>150</v>
      </c>
      <c r="H547" t="str">
        <f>"19-19703"</f>
        <v>19-19703</v>
      </c>
    </row>
    <row r="548" spans="1:8" x14ac:dyDescent="0.25">
      <c r="E548" t="str">
        <f>"202008058144"</f>
        <v>202008058144</v>
      </c>
      <c r="F548" t="str">
        <f>"19-19591"</f>
        <v>19-19591</v>
      </c>
      <c r="G548" s="4">
        <v>37.5</v>
      </c>
      <c r="H548" t="str">
        <f>"19-19591"</f>
        <v>19-19591</v>
      </c>
    </row>
    <row r="549" spans="1:8" x14ac:dyDescent="0.25">
      <c r="E549" t="str">
        <f>"202008058145"</f>
        <v>202008058145</v>
      </c>
      <c r="F549" t="str">
        <f>"16-17978"</f>
        <v>16-17978</v>
      </c>
      <c r="G549" s="4">
        <v>150</v>
      </c>
      <c r="H549" t="str">
        <f>"16-17978"</f>
        <v>16-17978</v>
      </c>
    </row>
    <row r="550" spans="1:8" x14ac:dyDescent="0.25">
      <c r="A550" t="s">
        <v>153</v>
      </c>
      <c r="B550">
        <v>132773</v>
      </c>
      <c r="C550">
        <v>275</v>
      </c>
      <c r="D550" s="1">
        <v>44067</v>
      </c>
      <c r="E550" t="str">
        <f>"202008138353"</f>
        <v>202008138353</v>
      </c>
      <c r="F550" t="str">
        <f>"19-19718"</f>
        <v>19-19718</v>
      </c>
      <c r="G550" s="4">
        <v>175</v>
      </c>
      <c r="H550" t="str">
        <f>"19-19718"</f>
        <v>19-19718</v>
      </c>
    </row>
    <row r="551" spans="1:8" x14ac:dyDescent="0.25">
      <c r="E551" t="str">
        <f>"202008138357"</f>
        <v>202008138357</v>
      </c>
      <c r="F551" t="str">
        <f>"19-19680"</f>
        <v>19-19680</v>
      </c>
      <c r="G551" s="4">
        <v>100</v>
      </c>
      <c r="H551" t="str">
        <f>"19-19680"</f>
        <v>19-19680</v>
      </c>
    </row>
    <row r="552" spans="1:8" x14ac:dyDescent="0.25">
      <c r="A552" t="s">
        <v>154</v>
      </c>
      <c r="B552">
        <v>2970</v>
      </c>
      <c r="C552">
        <v>258.10000000000002</v>
      </c>
      <c r="D552" s="1">
        <v>44054</v>
      </c>
      <c r="E552" t="str">
        <f>"PIM60030468"</f>
        <v>PIM60030468</v>
      </c>
      <c r="F552" t="str">
        <f>"CUST#0129200/PCT#4"</f>
        <v>CUST#0129200/PCT#4</v>
      </c>
      <c r="G552" s="4">
        <v>120.51</v>
      </c>
      <c r="H552" t="str">
        <f>"CUST#0129200/PCT#4"</f>
        <v>CUST#0129200/PCT#4</v>
      </c>
    </row>
    <row r="553" spans="1:8" x14ac:dyDescent="0.25">
      <c r="E553" t="str">
        <f>"PIM60031119"</f>
        <v>PIM60031119</v>
      </c>
      <c r="F553" t="str">
        <f>"CUST#0129200/BELT SET/PCT#4"</f>
        <v>CUST#0129200/BELT SET/PCT#4</v>
      </c>
      <c r="G553" s="4">
        <v>48.65</v>
      </c>
      <c r="H553" t="str">
        <f>"CUST#0129200/BELT SET/PCT#4"</f>
        <v>CUST#0129200/BELT SET/PCT#4</v>
      </c>
    </row>
    <row r="554" spans="1:8" x14ac:dyDescent="0.25">
      <c r="E554" t="str">
        <f>"PIMA0335288"</f>
        <v>PIMA0335288</v>
      </c>
      <c r="F554" t="str">
        <f>"CUST#0129150/PCT#3"</f>
        <v>CUST#0129150/PCT#3</v>
      </c>
      <c r="G554" s="4">
        <v>88.94</v>
      </c>
      <c r="H554" t="str">
        <f>"CUST#0129150/PCT#3"</f>
        <v>CUST#0129150/PCT#3</v>
      </c>
    </row>
    <row r="555" spans="1:8" x14ac:dyDescent="0.25">
      <c r="A555" t="s">
        <v>154</v>
      </c>
      <c r="B555">
        <v>3052</v>
      </c>
      <c r="C555">
        <v>2076.7399999999998</v>
      </c>
      <c r="D555" s="1">
        <v>44068</v>
      </c>
      <c r="E555" t="str">
        <f>"PIKP0092942"</f>
        <v>PIKP0092942</v>
      </c>
      <c r="F555" t="str">
        <f>"CUST#0129200/PCT#4"</f>
        <v>CUST#0129200/PCT#4</v>
      </c>
      <c r="G555" s="4">
        <v>727.57</v>
      </c>
      <c r="H555" t="str">
        <f>"CUST#0129200/PCT#4"</f>
        <v>CUST#0129200/PCT#4</v>
      </c>
    </row>
    <row r="556" spans="1:8" x14ac:dyDescent="0.25">
      <c r="E556" t="str">
        <f>"PIMA0336438"</f>
        <v>PIMA0336438</v>
      </c>
      <c r="F556" t="str">
        <f>"CUST#0129200/PCT#4"</f>
        <v>CUST#0129200/PCT#4</v>
      </c>
      <c r="G556" s="4">
        <v>22.87</v>
      </c>
      <c r="H556" t="str">
        <f>"CUST#0129200/PCT#4"</f>
        <v>CUST#0129200/PCT#4</v>
      </c>
    </row>
    <row r="557" spans="1:8" x14ac:dyDescent="0.25">
      <c r="E557" t="str">
        <f>"WIUS0139873"</f>
        <v>WIUS0139873</v>
      </c>
      <c r="F557" t="str">
        <f>"CUST#0129200/PCT#4"</f>
        <v>CUST#0129200/PCT#4</v>
      </c>
      <c r="G557" s="4">
        <v>1326.3</v>
      </c>
      <c r="H557" t="str">
        <f>"CUST#0129200/PCT#4"</f>
        <v>CUST#0129200/PCT#4</v>
      </c>
    </row>
    <row r="558" spans="1:8" x14ac:dyDescent="0.25">
      <c r="A558" t="s">
        <v>155</v>
      </c>
      <c r="B558">
        <v>132633</v>
      </c>
      <c r="C558">
        <v>1335.85</v>
      </c>
      <c r="D558" s="1">
        <v>44053</v>
      </c>
      <c r="E558" t="str">
        <f>"202008058109"</f>
        <v>202008058109</v>
      </c>
      <c r="F558" t="str">
        <f>"acct# 0130"</f>
        <v>acct# 0130</v>
      </c>
      <c r="G558" s="4">
        <v>1335.85</v>
      </c>
      <c r="H558" t="str">
        <f>"inv# 6020794"</f>
        <v>inv# 6020794</v>
      </c>
    </row>
    <row r="559" spans="1:8" x14ac:dyDescent="0.25">
      <c r="E559" t="str">
        <f>""</f>
        <v/>
      </c>
      <c r="F559" t="str">
        <f>""</f>
        <v/>
      </c>
      <c r="H559" t="str">
        <f>"inv# 3140614"</f>
        <v>inv# 3140614</v>
      </c>
    </row>
    <row r="560" spans="1:8" x14ac:dyDescent="0.25">
      <c r="E560" t="str">
        <f>""</f>
        <v/>
      </c>
      <c r="F560" t="str">
        <f>""</f>
        <v/>
      </c>
      <c r="H560" t="str">
        <f>"inv# 93922"</f>
        <v>inv# 93922</v>
      </c>
    </row>
    <row r="561" spans="5:8" x14ac:dyDescent="0.25">
      <c r="E561" t="str">
        <f>""</f>
        <v/>
      </c>
      <c r="F561" t="str">
        <f>""</f>
        <v/>
      </c>
      <c r="H561" t="str">
        <f>"inv# 9544812"</f>
        <v>inv# 9544812</v>
      </c>
    </row>
    <row r="562" spans="5:8" x14ac:dyDescent="0.25">
      <c r="E562" t="str">
        <f>""</f>
        <v/>
      </c>
      <c r="F562" t="str">
        <f>""</f>
        <v/>
      </c>
      <c r="H562" t="str">
        <f>"inv# 15206"</f>
        <v>inv# 15206</v>
      </c>
    </row>
    <row r="563" spans="5:8" x14ac:dyDescent="0.25">
      <c r="E563" t="str">
        <f>""</f>
        <v/>
      </c>
      <c r="F563" t="str">
        <f>""</f>
        <v/>
      </c>
      <c r="H563" t="str">
        <f>"inv# 9023263"</f>
        <v>inv# 9023263</v>
      </c>
    </row>
    <row r="564" spans="5:8" x14ac:dyDescent="0.25">
      <c r="E564" t="str">
        <f>""</f>
        <v/>
      </c>
      <c r="F564" t="str">
        <f>""</f>
        <v/>
      </c>
      <c r="H564" t="str">
        <f>"inv# 7101670"</f>
        <v>inv# 7101670</v>
      </c>
    </row>
    <row r="565" spans="5:8" x14ac:dyDescent="0.25">
      <c r="E565" t="str">
        <f>""</f>
        <v/>
      </c>
      <c r="F565" t="str">
        <f>""</f>
        <v/>
      </c>
      <c r="H565" t="str">
        <f>"inv# 3542815"</f>
        <v>inv# 3542815</v>
      </c>
    </row>
    <row r="566" spans="5:8" x14ac:dyDescent="0.25">
      <c r="E566" t="str">
        <f>""</f>
        <v/>
      </c>
      <c r="F566" t="str">
        <f>""</f>
        <v/>
      </c>
      <c r="H566" t="str">
        <f>"inv# 5525151"</f>
        <v>inv# 5525151</v>
      </c>
    </row>
    <row r="567" spans="5:8" x14ac:dyDescent="0.25">
      <c r="E567" t="str">
        <f>""</f>
        <v/>
      </c>
      <c r="F567" t="str">
        <f>""</f>
        <v/>
      </c>
      <c r="H567" t="str">
        <f>"inv# 2150229"</f>
        <v>inv# 2150229</v>
      </c>
    </row>
    <row r="568" spans="5:8" x14ac:dyDescent="0.25">
      <c r="E568" t="str">
        <f>""</f>
        <v/>
      </c>
      <c r="F568" t="str">
        <f>""</f>
        <v/>
      </c>
      <c r="H568" t="str">
        <f>"inv# 4544316"</f>
        <v>inv# 4544316</v>
      </c>
    </row>
    <row r="569" spans="5:8" x14ac:dyDescent="0.25">
      <c r="E569" t="str">
        <f>""</f>
        <v/>
      </c>
      <c r="F569" t="str">
        <f>""</f>
        <v/>
      </c>
      <c r="H569" t="str">
        <f>"inv# 101943"</f>
        <v>inv# 101943</v>
      </c>
    </row>
    <row r="570" spans="5:8" x14ac:dyDescent="0.25">
      <c r="E570" t="str">
        <f>""</f>
        <v/>
      </c>
      <c r="F570" t="str">
        <f>""</f>
        <v/>
      </c>
      <c r="H570" t="str">
        <f>"inv# 7021557"</f>
        <v>inv# 7021557</v>
      </c>
    </row>
    <row r="571" spans="5:8" x14ac:dyDescent="0.25">
      <c r="E571" t="str">
        <f>""</f>
        <v/>
      </c>
      <c r="F571" t="str">
        <f>""</f>
        <v/>
      </c>
      <c r="H571" t="str">
        <f>"inv# 5094153"</f>
        <v>inv# 5094153</v>
      </c>
    </row>
    <row r="572" spans="5:8" x14ac:dyDescent="0.25">
      <c r="E572" t="str">
        <f>""</f>
        <v/>
      </c>
      <c r="F572" t="str">
        <f>""</f>
        <v/>
      </c>
      <c r="H572" t="str">
        <f>"inv# 9093495"</f>
        <v>inv# 9093495</v>
      </c>
    </row>
    <row r="573" spans="5:8" x14ac:dyDescent="0.25">
      <c r="E573" t="str">
        <f>""</f>
        <v/>
      </c>
      <c r="F573" t="str">
        <f>""</f>
        <v/>
      </c>
      <c r="H573" t="str">
        <f>"inv# 6534000"</f>
        <v>inv# 6534000</v>
      </c>
    </row>
    <row r="574" spans="5:8" x14ac:dyDescent="0.25">
      <c r="E574" t="str">
        <f>""</f>
        <v/>
      </c>
      <c r="F574" t="str">
        <f>""</f>
        <v/>
      </c>
      <c r="H574" t="str">
        <f>"inv# 4093167"</f>
        <v>inv# 4093167</v>
      </c>
    </row>
    <row r="575" spans="5:8" x14ac:dyDescent="0.25">
      <c r="E575" t="str">
        <f>""</f>
        <v/>
      </c>
      <c r="F575" t="str">
        <f>""</f>
        <v/>
      </c>
      <c r="H575" t="str">
        <f>"inv# 4534130"</f>
        <v>inv# 4534130</v>
      </c>
    </row>
    <row r="576" spans="5:8" x14ac:dyDescent="0.25">
      <c r="E576" t="str">
        <f>""</f>
        <v/>
      </c>
      <c r="F576" t="str">
        <f>""</f>
        <v/>
      </c>
      <c r="H576" t="str">
        <f>"inv# 8021463"</f>
        <v>inv# 8021463</v>
      </c>
    </row>
    <row r="577" spans="1:8" x14ac:dyDescent="0.25">
      <c r="E577" t="str">
        <f>""</f>
        <v/>
      </c>
      <c r="F577" t="str">
        <f>""</f>
        <v/>
      </c>
      <c r="H577" t="str">
        <f>"inv# 7021531"</f>
        <v>inv# 7021531</v>
      </c>
    </row>
    <row r="578" spans="1:8" x14ac:dyDescent="0.25">
      <c r="E578" t="str">
        <f>""</f>
        <v/>
      </c>
      <c r="F578" t="str">
        <f>""</f>
        <v/>
      </c>
      <c r="H578" t="str">
        <f>"inv# 6010097"</f>
        <v>inv# 6010097</v>
      </c>
    </row>
    <row r="579" spans="1:8" x14ac:dyDescent="0.25">
      <c r="E579" t="str">
        <f>""</f>
        <v/>
      </c>
      <c r="F579" t="str">
        <f>""</f>
        <v/>
      </c>
      <c r="H579" t="str">
        <f>"inv# 5022678"</f>
        <v>inv# 5022678</v>
      </c>
    </row>
    <row r="580" spans="1:8" x14ac:dyDescent="0.25">
      <c r="E580" t="str">
        <f>""</f>
        <v/>
      </c>
      <c r="F580" t="str">
        <f>""</f>
        <v/>
      </c>
      <c r="H580" t="str">
        <f>"inv# 4022818"</f>
        <v>inv# 4022818</v>
      </c>
    </row>
    <row r="581" spans="1:8" x14ac:dyDescent="0.25">
      <c r="E581" t="str">
        <f>""</f>
        <v/>
      </c>
      <c r="F581" t="str">
        <f>""</f>
        <v/>
      </c>
      <c r="H581" t="str">
        <f>"inv# 3022936"</f>
        <v>inv# 3022936</v>
      </c>
    </row>
    <row r="582" spans="1:8" x14ac:dyDescent="0.25">
      <c r="E582" t="str">
        <f>""</f>
        <v/>
      </c>
      <c r="F582" t="str">
        <f>""</f>
        <v/>
      </c>
      <c r="H582" t="str">
        <f>"inv# 6102133"</f>
        <v>inv# 6102133</v>
      </c>
    </row>
    <row r="583" spans="1:8" x14ac:dyDescent="0.25">
      <c r="E583" t="str">
        <f>""</f>
        <v/>
      </c>
      <c r="F583" t="str">
        <f>""</f>
        <v/>
      </c>
      <c r="H583" t="str">
        <f>"inv# 93911"</f>
        <v>inv# 93911</v>
      </c>
    </row>
    <row r="584" spans="1:8" x14ac:dyDescent="0.25">
      <c r="A584" t="s">
        <v>156</v>
      </c>
      <c r="B584">
        <v>132634</v>
      </c>
      <c r="C584">
        <v>305</v>
      </c>
      <c r="D584" s="1">
        <v>44053</v>
      </c>
      <c r="E584" t="str">
        <f>"0551644686"</f>
        <v>0551644686</v>
      </c>
      <c r="F584" t="str">
        <f>"CUST#212645/601 COOL WATER"</f>
        <v>CUST#212645/601 COOL WATER</v>
      </c>
      <c r="G584" s="4">
        <v>90</v>
      </c>
      <c r="H584" t="str">
        <f>"CUST#212645/601 COOL WATER"</f>
        <v>CUST#212645/601 COOL WATER</v>
      </c>
    </row>
    <row r="585" spans="1:8" x14ac:dyDescent="0.25">
      <c r="E585" t="str">
        <f>"0551646593"</f>
        <v>0551646593</v>
      </c>
      <c r="F585" t="str">
        <f>"CUST#212645/375 RIVERSIDE"</f>
        <v>CUST#212645/375 RIVERSIDE</v>
      </c>
      <c r="G585" s="4">
        <v>215</v>
      </c>
      <c r="H585" t="str">
        <f>"CUST#212645/375 RIVERSIDE"</f>
        <v>CUST#212645/375 RIVERSIDE</v>
      </c>
    </row>
    <row r="586" spans="1:8" x14ac:dyDescent="0.25">
      <c r="A586" t="s">
        <v>157</v>
      </c>
      <c r="B586">
        <v>132774</v>
      </c>
      <c r="C586">
        <v>28</v>
      </c>
      <c r="D586" s="1">
        <v>44067</v>
      </c>
      <c r="E586" t="str">
        <f>"14260"</f>
        <v>14260</v>
      </c>
      <c r="F586" t="str">
        <f>"SPORT TEK TEE SHIRT/PCT#1"</f>
        <v>SPORT TEK TEE SHIRT/PCT#1</v>
      </c>
      <c r="G586" s="4">
        <v>28</v>
      </c>
      <c r="H586" t="str">
        <f>"SPORT TEK TEE SHIRT/PCT#1"</f>
        <v>SPORT TEK TEE SHIRT/PCT#1</v>
      </c>
    </row>
    <row r="587" spans="1:8" x14ac:dyDescent="0.25">
      <c r="A587" t="s">
        <v>158</v>
      </c>
      <c r="B587">
        <v>132635</v>
      </c>
      <c r="C587">
        <v>2100</v>
      </c>
      <c r="D587" s="1">
        <v>44053</v>
      </c>
      <c r="E587" t="str">
        <f>"1004"</f>
        <v>1004</v>
      </c>
      <c r="F587" t="str">
        <f>"MICROCHIPS/ANIMAL SHELTER"</f>
        <v>MICROCHIPS/ANIMAL SHELTER</v>
      </c>
      <c r="G587" s="4">
        <v>2100</v>
      </c>
      <c r="H587" t="str">
        <f>"MICROCHIPS/ANIMAL SHELTER"</f>
        <v>MICROCHIPS/ANIMAL SHELTER</v>
      </c>
    </row>
    <row r="588" spans="1:8" x14ac:dyDescent="0.25">
      <c r="A588" t="s">
        <v>159</v>
      </c>
      <c r="B588">
        <v>2985</v>
      </c>
      <c r="C588">
        <v>5595.12</v>
      </c>
      <c r="D588" s="1">
        <v>44054</v>
      </c>
      <c r="E588" t="str">
        <f>"105351"</f>
        <v>105351</v>
      </c>
      <c r="F588" t="str">
        <f>"RS EQUIPMENT CO"</f>
        <v>RS EQUIPMENT CO</v>
      </c>
      <c r="G588" s="4">
        <v>5595.12</v>
      </c>
      <c r="H588" t="str">
        <f>"Pressure Washer"</f>
        <v>Pressure Washer</v>
      </c>
    </row>
    <row r="589" spans="1:8" x14ac:dyDescent="0.25">
      <c r="A589" t="s">
        <v>160</v>
      </c>
      <c r="B589">
        <v>132775</v>
      </c>
      <c r="C589">
        <v>687.5</v>
      </c>
      <c r="D589" s="1">
        <v>44067</v>
      </c>
      <c r="E589" t="str">
        <f>"SL2020-07_00295"</f>
        <v>SL2020-07_00295</v>
      </c>
      <c r="F589" t="str">
        <f>"SHELTERLUV SOFTWARE"</f>
        <v>SHELTERLUV SOFTWARE</v>
      </c>
      <c r="G589" s="4">
        <v>687.5</v>
      </c>
      <c r="H589" t="str">
        <f>"SHELTERLUV SOFTWARE"</f>
        <v>SHELTERLUV SOFTWARE</v>
      </c>
    </row>
    <row r="590" spans="1:8" x14ac:dyDescent="0.25">
      <c r="A590" t="s">
        <v>161</v>
      </c>
      <c r="B590">
        <v>132776</v>
      </c>
      <c r="C590">
        <v>134.13999999999999</v>
      </c>
      <c r="D590" s="1">
        <v>44067</v>
      </c>
      <c r="E590" t="str">
        <f>"0269491-IN"</f>
        <v>0269491-IN</v>
      </c>
      <c r="F590" t="str">
        <f>"INV 0269491-IN"</f>
        <v>INV 0269491-IN</v>
      </c>
      <c r="G590" s="4">
        <v>134.13999999999999</v>
      </c>
      <c r="H590" t="str">
        <f>"INV 0269491-IN"</f>
        <v>INV 0269491-IN</v>
      </c>
    </row>
    <row r="591" spans="1:8" x14ac:dyDescent="0.25">
      <c r="A591" t="s">
        <v>162</v>
      </c>
      <c r="B591">
        <v>2943</v>
      </c>
      <c r="C591">
        <v>240.85</v>
      </c>
      <c r="D591" s="1">
        <v>44054</v>
      </c>
      <c r="E591" t="str">
        <f>"204018"</f>
        <v>204018</v>
      </c>
      <c r="F591" t="str">
        <f>"WIRE BRAID HOSE/OEM"</f>
        <v>WIRE BRAID HOSE/OEM</v>
      </c>
      <c r="G591" s="4">
        <v>36.49</v>
      </c>
      <c r="H591" t="str">
        <f>"WIRE BRAID HOSE/OEM"</f>
        <v>WIRE BRAID HOSE/OEM</v>
      </c>
    </row>
    <row r="592" spans="1:8" x14ac:dyDescent="0.25">
      <c r="E592" t="str">
        <f>"204248"</f>
        <v>204248</v>
      </c>
      <c r="F592" t="str">
        <f>"WIRE BRAIDED HOSE/PCT#3"</f>
        <v>WIRE BRAIDED HOSE/PCT#3</v>
      </c>
      <c r="G592" s="4">
        <v>204.36</v>
      </c>
      <c r="H592" t="str">
        <f>"WIRE BRAIDED HOSE/PCT#3"</f>
        <v>WIRE BRAIDED HOSE/PCT#3</v>
      </c>
    </row>
    <row r="593" spans="1:8" x14ac:dyDescent="0.25">
      <c r="A593" t="s">
        <v>162</v>
      </c>
      <c r="B593">
        <v>3015</v>
      </c>
      <c r="C593">
        <v>165</v>
      </c>
      <c r="D593" s="1">
        <v>44068</v>
      </c>
      <c r="E593" t="str">
        <f>"204388"</f>
        <v>204388</v>
      </c>
      <c r="F593" t="str">
        <f>"TUBE BRAZE/PCT#3"</f>
        <v>TUBE BRAZE/PCT#3</v>
      </c>
      <c r="G593" s="4">
        <v>15</v>
      </c>
      <c r="H593" t="str">
        <f>"TUBE BRAZE/PCT#3"</f>
        <v>TUBE BRAZE/PCT#3</v>
      </c>
    </row>
    <row r="594" spans="1:8" x14ac:dyDescent="0.25">
      <c r="E594" t="str">
        <f>"204458"</f>
        <v>204458</v>
      </c>
      <c r="F594" t="str">
        <f>"HYDRAULIC/CYLINDER REPAIR/P3"</f>
        <v>HYDRAULIC/CYLINDER REPAIR/P3</v>
      </c>
      <c r="G594" s="4">
        <v>150</v>
      </c>
      <c r="H594" t="str">
        <f>"HYDRAULIC/CYLINDER REPAIR/P3"</f>
        <v>HYDRAULIC/CYLINDER REPAIR/P3</v>
      </c>
    </row>
    <row r="595" spans="1:8" x14ac:dyDescent="0.25">
      <c r="A595" t="s">
        <v>163</v>
      </c>
      <c r="B595">
        <v>2976</v>
      </c>
      <c r="C595">
        <v>2430</v>
      </c>
      <c r="D595" s="1">
        <v>44054</v>
      </c>
      <c r="E595" t="str">
        <f>"70219"</f>
        <v>70219</v>
      </c>
      <c r="F595" t="str">
        <f>"PROF SVCS-SEPT 2020"</f>
        <v>PROF SVCS-SEPT 2020</v>
      </c>
      <c r="G595" s="4">
        <v>2430</v>
      </c>
      <c r="H595" t="str">
        <f>"PROF SVCS-SEPT 2020"</f>
        <v>PROF SVCS-SEPT 2020</v>
      </c>
    </row>
    <row r="596" spans="1:8" x14ac:dyDescent="0.25">
      <c r="E596" t="str">
        <f>""</f>
        <v/>
      </c>
      <c r="F596" t="str">
        <f>""</f>
        <v/>
      </c>
      <c r="H596" t="str">
        <f>"PROF SVCS-SEPT 2020"</f>
        <v>PROF SVCS-SEPT 2020</v>
      </c>
    </row>
    <row r="597" spans="1:8" x14ac:dyDescent="0.25">
      <c r="A597" t="s">
        <v>164</v>
      </c>
      <c r="B597">
        <v>132636</v>
      </c>
      <c r="C597">
        <v>79.03</v>
      </c>
      <c r="D597" s="1">
        <v>44053</v>
      </c>
      <c r="E597" t="str">
        <f>"CVMY108"</f>
        <v>CVMY108</v>
      </c>
      <c r="F597" t="str">
        <f>"CUST ID:AX773/COUNTY CLERK"</f>
        <v>CUST ID:AX773/COUNTY CLERK</v>
      </c>
      <c r="G597" s="4">
        <v>79.03</v>
      </c>
      <c r="H597" t="str">
        <f>"CUST ID:AX773/COUNTY CLERK"</f>
        <v>CUST ID:AX773/COUNTY CLERK</v>
      </c>
    </row>
    <row r="598" spans="1:8" x14ac:dyDescent="0.25">
      <c r="A598" t="s">
        <v>165</v>
      </c>
      <c r="B598">
        <v>3025</v>
      </c>
      <c r="C598">
        <v>94.41</v>
      </c>
      <c r="D598" s="1">
        <v>44068</v>
      </c>
      <c r="E598" t="str">
        <f>"202008128310"</f>
        <v>202008128310</v>
      </c>
      <c r="F598" t="str">
        <f>"MILEAGE REIMBURSEMENT"</f>
        <v>MILEAGE REIMBURSEMENT</v>
      </c>
      <c r="G598" s="4">
        <v>94.41</v>
      </c>
      <c r="H598" t="str">
        <f>"MILEAGE REIMBURSEMENT"</f>
        <v>MILEAGE REIMBURSEMENT</v>
      </c>
    </row>
    <row r="599" spans="1:8" x14ac:dyDescent="0.25">
      <c r="A599" t="s">
        <v>166</v>
      </c>
      <c r="B599">
        <v>132637</v>
      </c>
      <c r="C599">
        <v>500</v>
      </c>
      <c r="D599" s="1">
        <v>44053</v>
      </c>
      <c r="E599" t="str">
        <f>"202008058178"</f>
        <v>202008058178</v>
      </c>
      <c r="F599" t="str">
        <f>"018005"</f>
        <v>018005</v>
      </c>
      <c r="G599" s="4">
        <v>250</v>
      </c>
      <c r="H599" t="str">
        <f>"018005"</f>
        <v>018005</v>
      </c>
    </row>
    <row r="600" spans="1:8" x14ac:dyDescent="0.25">
      <c r="E600" t="str">
        <f>"202008058188"</f>
        <v>202008058188</v>
      </c>
      <c r="F600" t="str">
        <f>"57 251"</f>
        <v>57 251</v>
      </c>
      <c r="G600" s="4">
        <v>250</v>
      </c>
      <c r="H600" t="str">
        <f>"57 251"</f>
        <v>57 251</v>
      </c>
    </row>
    <row r="601" spans="1:8" x14ac:dyDescent="0.25">
      <c r="A601" t="s">
        <v>167</v>
      </c>
      <c r="B601">
        <v>132638</v>
      </c>
      <c r="C601">
        <v>50</v>
      </c>
      <c r="D601" s="1">
        <v>44053</v>
      </c>
      <c r="E601" t="str">
        <f>"202008048099"</f>
        <v>202008048099</v>
      </c>
      <c r="F601" t="str">
        <f>"PER DIEM"</f>
        <v>PER DIEM</v>
      </c>
      <c r="G601" s="4">
        <v>50</v>
      </c>
      <c r="H601" t="str">
        <f>"PER DIEM"</f>
        <v>PER DIEM</v>
      </c>
    </row>
    <row r="602" spans="1:8" x14ac:dyDescent="0.25">
      <c r="A602" t="s">
        <v>168</v>
      </c>
      <c r="B602">
        <v>132777</v>
      </c>
      <c r="C602">
        <v>135</v>
      </c>
      <c r="D602" s="1">
        <v>44067</v>
      </c>
      <c r="E602" t="str">
        <f>"202008188416"</f>
        <v>202008188416</v>
      </c>
      <c r="F602" t="str">
        <f>"PER DIEM"</f>
        <v>PER DIEM</v>
      </c>
      <c r="G602" s="4">
        <v>135</v>
      </c>
      <c r="H602" t="str">
        <f>"PER DIEM"</f>
        <v>PER DIEM</v>
      </c>
    </row>
    <row r="603" spans="1:8" x14ac:dyDescent="0.25">
      <c r="A603" t="s">
        <v>169</v>
      </c>
      <c r="B603">
        <v>2984</v>
      </c>
      <c r="C603">
        <v>750</v>
      </c>
      <c r="D603" s="1">
        <v>44054</v>
      </c>
      <c r="E603" t="s">
        <v>45</v>
      </c>
      <c r="F603" t="str">
        <f>"AD LITEM FEE"</f>
        <v>AD LITEM FEE</v>
      </c>
      <c r="G603" s="4">
        <v>150</v>
      </c>
      <c r="H603" t="str">
        <f>"AD LITEM FEE"</f>
        <v>AD LITEM FEE</v>
      </c>
    </row>
    <row r="604" spans="1:8" x14ac:dyDescent="0.25">
      <c r="E604" t="str">
        <f>"12902"</f>
        <v>12902</v>
      </c>
      <c r="F604" t="str">
        <f>"AD LITEM FEE"</f>
        <v>AD LITEM FEE</v>
      </c>
      <c r="G604" s="4">
        <v>150</v>
      </c>
      <c r="H604" t="str">
        <f>"AD LITEM FEE"</f>
        <v>AD LITEM FEE</v>
      </c>
    </row>
    <row r="605" spans="1:8" x14ac:dyDescent="0.25">
      <c r="E605" t="str">
        <f>"13003"</f>
        <v>13003</v>
      </c>
      <c r="F605" t="str">
        <f>"AD LITEM FEE"</f>
        <v>AD LITEM FEE</v>
      </c>
      <c r="G605" s="4">
        <v>150</v>
      </c>
      <c r="H605" t="str">
        <f>"AD LITEM FEE"</f>
        <v>AD LITEM FEE</v>
      </c>
    </row>
    <row r="606" spans="1:8" x14ac:dyDescent="0.25">
      <c r="E606" t="str">
        <f>"202008058160"</f>
        <v>202008058160</v>
      </c>
      <c r="F606" t="str">
        <f>"19-19465"</f>
        <v>19-19465</v>
      </c>
      <c r="G606" s="4">
        <v>300</v>
      </c>
      <c r="H606" t="str">
        <f>"19-19465"</f>
        <v>19-19465</v>
      </c>
    </row>
    <row r="607" spans="1:8" x14ac:dyDescent="0.25">
      <c r="A607" t="s">
        <v>169</v>
      </c>
      <c r="B607">
        <v>3069</v>
      </c>
      <c r="C607">
        <v>550</v>
      </c>
      <c r="D607" s="1">
        <v>44068</v>
      </c>
      <c r="E607" t="str">
        <f>"12195"</f>
        <v>12195</v>
      </c>
      <c r="F607" t="str">
        <f>"AD LITEM FEE"</f>
        <v>AD LITEM FEE</v>
      </c>
      <c r="G607" s="4">
        <v>150</v>
      </c>
      <c r="H607" t="str">
        <f>"AD LITEM FEE"</f>
        <v>AD LITEM FEE</v>
      </c>
    </row>
    <row r="608" spans="1:8" x14ac:dyDescent="0.25">
      <c r="E608" t="str">
        <f>"12283"</f>
        <v>12283</v>
      </c>
      <c r="F608" t="str">
        <f>"AD LITEM FEE"</f>
        <v>AD LITEM FEE</v>
      </c>
      <c r="G608" s="4">
        <v>150</v>
      </c>
      <c r="H608" t="str">
        <f>"AD LITEM FEE"</f>
        <v>AD LITEM FEE</v>
      </c>
    </row>
    <row r="609" spans="1:8" x14ac:dyDescent="0.25">
      <c r="E609" t="str">
        <f>"202008138366"</f>
        <v>202008138366</v>
      </c>
      <c r="F609" t="str">
        <f>"303182020A 20-S-01632"</f>
        <v>303182020A 20-S-01632</v>
      </c>
      <c r="G609" s="4">
        <v>250</v>
      </c>
      <c r="H609" t="str">
        <f>"303182020A 20-S-01632"</f>
        <v>303182020A 20-S-01632</v>
      </c>
    </row>
    <row r="610" spans="1:8" x14ac:dyDescent="0.25">
      <c r="A610" t="s">
        <v>170</v>
      </c>
      <c r="B610">
        <v>132639</v>
      </c>
      <c r="C610">
        <v>450</v>
      </c>
      <c r="D610" s="1">
        <v>44053</v>
      </c>
      <c r="E610" t="str">
        <f>"1272"</f>
        <v>1272</v>
      </c>
      <c r="F610" t="str">
        <f>"INV 1272 / UNIT 0123"</f>
        <v>INV 1272 / UNIT 0123</v>
      </c>
      <c r="G610" s="4">
        <v>450</v>
      </c>
      <c r="H610" t="str">
        <f>"INV 1272 / UNIT 0123"</f>
        <v>INV 1272 / UNIT 0123</v>
      </c>
    </row>
    <row r="611" spans="1:8" x14ac:dyDescent="0.25">
      <c r="A611" t="s">
        <v>171</v>
      </c>
      <c r="B611">
        <v>132640</v>
      </c>
      <c r="C611">
        <v>9463.74</v>
      </c>
      <c r="D611" s="1">
        <v>44053</v>
      </c>
      <c r="E611" t="str">
        <f>"07265050"</f>
        <v>07265050</v>
      </c>
      <c r="F611" t="str">
        <f>"Mower"</f>
        <v>Mower</v>
      </c>
      <c r="G611" s="4">
        <v>9463.74</v>
      </c>
      <c r="H611" t="str">
        <f>"2145TC"</f>
        <v>2145TC</v>
      </c>
    </row>
    <row r="612" spans="1:8" x14ac:dyDescent="0.25">
      <c r="E612" t="str">
        <f>""</f>
        <v/>
      </c>
      <c r="F612" t="str">
        <f>""</f>
        <v/>
      </c>
      <c r="H612" t="str">
        <f>"1038"</f>
        <v>1038</v>
      </c>
    </row>
    <row r="613" spans="1:8" x14ac:dyDescent="0.25">
      <c r="E613" t="str">
        <f>""</f>
        <v/>
      </c>
      <c r="F613" t="str">
        <f>""</f>
        <v/>
      </c>
      <c r="H613" t="str">
        <f>"1504"</f>
        <v>1504</v>
      </c>
    </row>
    <row r="614" spans="1:8" x14ac:dyDescent="0.25">
      <c r="E614" t="str">
        <f>""</f>
        <v/>
      </c>
      <c r="F614" t="str">
        <f>""</f>
        <v/>
      </c>
      <c r="H614" t="str">
        <f>"2092"</f>
        <v>2092</v>
      </c>
    </row>
    <row r="615" spans="1:8" x14ac:dyDescent="0.25">
      <c r="A615" t="s">
        <v>172</v>
      </c>
      <c r="B615">
        <v>132641</v>
      </c>
      <c r="C615">
        <v>50</v>
      </c>
      <c r="D615" s="1">
        <v>44053</v>
      </c>
      <c r="E615" t="str">
        <f>"202008048100"</f>
        <v>202008048100</v>
      </c>
      <c r="F615" t="str">
        <f>"PER DIEM"</f>
        <v>PER DIEM</v>
      </c>
      <c r="G615" s="4">
        <v>50</v>
      </c>
      <c r="H615" t="str">
        <f>"PER DIEM"</f>
        <v>PER DIEM</v>
      </c>
    </row>
    <row r="616" spans="1:8" x14ac:dyDescent="0.25">
      <c r="A616" t="s">
        <v>173</v>
      </c>
      <c r="B616">
        <v>132642</v>
      </c>
      <c r="C616">
        <v>3375</v>
      </c>
      <c r="D616" s="1">
        <v>44053</v>
      </c>
      <c r="E616" t="str">
        <f>"202008058147"</f>
        <v>202008058147</v>
      </c>
      <c r="F616" t="str">
        <f>"19-19864"</f>
        <v>19-19864</v>
      </c>
      <c r="G616" s="4">
        <v>750</v>
      </c>
      <c r="H616" t="str">
        <f>"19-19864"</f>
        <v>19-19864</v>
      </c>
    </row>
    <row r="617" spans="1:8" x14ac:dyDescent="0.25">
      <c r="E617" t="str">
        <f>"202008058148"</f>
        <v>202008058148</v>
      </c>
      <c r="F617" t="str">
        <f>"19-19862"</f>
        <v>19-19862</v>
      </c>
      <c r="G617" s="4">
        <v>600</v>
      </c>
      <c r="H617" t="str">
        <f>"19-19862"</f>
        <v>19-19862</v>
      </c>
    </row>
    <row r="618" spans="1:8" x14ac:dyDescent="0.25">
      <c r="E618" t="str">
        <f>"202008058149"</f>
        <v>202008058149</v>
      </c>
      <c r="F618" t="str">
        <f>"20-20110"</f>
        <v>20-20110</v>
      </c>
      <c r="G618" s="4">
        <v>600</v>
      </c>
      <c r="H618" t="str">
        <f>"20-20110"</f>
        <v>20-20110</v>
      </c>
    </row>
    <row r="619" spans="1:8" x14ac:dyDescent="0.25">
      <c r="E619" t="str">
        <f>"202008058150"</f>
        <v>202008058150</v>
      </c>
      <c r="F619" t="str">
        <f>"19-19632"</f>
        <v>19-19632</v>
      </c>
      <c r="G619" s="4">
        <v>600</v>
      </c>
      <c r="H619" t="str">
        <f>"19-19632"</f>
        <v>19-19632</v>
      </c>
    </row>
    <row r="620" spans="1:8" x14ac:dyDescent="0.25">
      <c r="E620" t="str">
        <f>"202008058151"</f>
        <v>202008058151</v>
      </c>
      <c r="F620" t="str">
        <f>"19-19967"</f>
        <v>19-19967</v>
      </c>
      <c r="G620" s="4">
        <v>825</v>
      </c>
      <c r="H620" t="str">
        <f>"19-19967"</f>
        <v>19-19967</v>
      </c>
    </row>
    <row r="621" spans="1:8" x14ac:dyDescent="0.25">
      <c r="A621" t="s">
        <v>174</v>
      </c>
      <c r="B621">
        <v>2938</v>
      </c>
      <c r="C621">
        <v>400</v>
      </c>
      <c r="D621" s="1">
        <v>44054</v>
      </c>
      <c r="E621" t="str">
        <f>"202008048084"</f>
        <v>202008048084</v>
      </c>
      <c r="F621" t="str">
        <f>"TOWER MOWINF MAINTENANCE"</f>
        <v>TOWER MOWINF MAINTENANCE</v>
      </c>
      <c r="G621" s="4">
        <v>400</v>
      </c>
      <c r="H621" t="str">
        <f>"TOWER MOWINF MAINTENANCE"</f>
        <v>TOWER MOWINF MAINTENANCE</v>
      </c>
    </row>
    <row r="622" spans="1:8" x14ac:dyDescent="0.25">
      <c r="A622" t="s">
        <v>175</v>
      </c>
      <c r="B622">
        <v>132778</v>
      </c>
      <c r="C622">
        <v>135</v>
      </c>
      <c r="D622" s="1">
        <v>44067</v>
      </c>
      <c r="E622" t="str">
        <f>"202008188417"</f>
        <v>202008188417</v>
      </c>
      <c r="F622" t="str">
        <f>"PER DIEM"</f>
        <v>PER DIEM</v>
      </c>
      <c r="G622" s="4">
        <v>135</v>
      </c>
      <c r="H622" t="str">
        <f>"PER DIEM"</f>
        <v>PER DIEM</v>
      </c>
    </row>
    <row r="623" spans="1:8" x14ac:dyDescent="0.25">
      <c r="A623" t="s">
        <v>176</v>
      </c>
      <c r="B623">
        <v>132643</v>
      </c>
      <c r="C623">
        <v>307</v>
      </c>
      <c r="D623" s="1">
        <v>44053</v>
      </c>
      <c r="E623" t="str">
        <f>"202007298043"</f>
        <v>202007298043</v>
      </c>
      <c r="F623" t="str">
        <f>"20-20104"</f>
        <v>20-20104</v>
      </c>
      <c r="G623" s="4">
        <v>307</v>
      </c>
      <c r="H623" t="str">
        <f t="shared" ref="H623:H637" si="6">"20-20104"</f>
        <v>20-20104</v>
      </c>
    </row>
    <row r="624" spans="1:8" x14ac:dyDescent="0.25">
      <c r="E624" t="str">
        <f>""</f>
        <v/>
      </c>
      <c r="F624" t="str">
        <f>""</f>
        <v/>
      </c>
      <c r="H624" t="str">
        <f t="shared" si="6"/>
        <v>20-20104</v>
      </c>
    </row>
    <row r="625" spans="1:8" x14ac:dyDescent="0.25">
      <c r="E625" t="str">
        <f>""</f>
        <v/>
      </c>
      <c r="F625" t="str">
        <f>""</f>
        <v/>
      </c>
      <c r="H625" t="str">
        <f t="shared" si="6"/>
        <v>20-20104</v>
      </c>
    </row>
    <row r="626" spans="1:8" x14ac:dyDescent="0.25">
      <c r="E626" t="str">
        <f>""</f>
        <v/>
      </c>
      <c r="F626" t="str">
        <f>""</f>
        <v/>
      </c>
      <c r="H626" t="str">
        <f t="shared" si="6"/>
        <v>20-20104</v>
      </c>
    </row>
    <row r="627" spans="1:8" x14ac:dyDescent="0.25">
      <c r="E627" t="str">
        <f>""</f>
        <v/>
      </c>
      <c r="F627" t="str">
        <f>""</f>
        <v/>
      </c>
      <c r="H627" t="str">
        <f t="shared" si="6"/>
        <v>20-20104</v>
      </c>
    </row>
    <row r="628" spans="1:8" x14ac:dyDescent="0.25">
      <c r="E628" t="str">
        <f>""</f>
        <v/>
      </c>
      <c r="F628" t="str">
        <f>""</f>
        <v/>
      </c>
      <c r="H628" t="str">
        <f t="shared" si="6"/>
        <v>20-20104</v>
      </c>
    </row>
    <row r="629" spans="1:8" x14ac:dyDescent="0.25">
      <c r="E629" t="str">
        <f>""</f>
        <v/>
      </c>
      <c r="F629" t="str">
        <f>""</f>
        <v/>
      </c>
      <c r="H629" t="str">
        <f t="shared" si="6"/>
        <v>20-20104</v>
      </c>
    </row>
    <row r="630" spans="1:8" x14ac:dyDescent="0.25">
      <c r="E630" t="str">
        <f>""</f>
        <v/>
      </c>
      <c r="F630" t="str">
        <f>""</f>
        <v/>
      </c>
      <c r="H630" t="str">
        <f t="shared" si="6"/>
        <v>20-20104</v>
      </c>
    </row>
    <row r="631" spans="1:8" x14ac:dyDescent="0.25">
      <c r="E631" t="str">
        <f>""</f>
        <v/>
      </c>
      <c r="F631" t="str">
        <f>""</f>
        <v/>
      </c>
      <c r="H631" t="str">
        <f t="shared" si="6"/>
        <v>20-20104</v>
      </c>
    </row>
    <row r="632" spans="1:8" x14ac:dyDescent="0.25">
      <c r="E632" t="str">
        <f>""</f>
        <v/>
      </c>
      <c r="F632" t="str">
        <f>""</f>
        <v/>
      </c>
      <c r="H632" t="str">
        <f t="shared" si="6"/>
        <v>20-20104</v>
      </c>
    </row>
    <row r="633" spans="1:8" x14ac:dyDescent="0.25">
      <c r="E633" t="str">
        <f>""</f>
        <v/>
      </c>
      <c r="F633" t="str">
        <f>""</f>
        <v/>
      </c>
      <c r="H633" t="str">
        <f t="shared" si="6"/>
        <v>20-20104</v>
      </c>
    </row>
    <row r="634" spans="1:8" x14ac:dyDescent="0.25">
      <c r="E634" t="str">
        <f>""</f>
        <v/>
      </c>
      <c r="F634" t="str">
        <f>""</f>
        <v/>
      </c>
      <c r="H634" t="str">
        <f t="shared" si="6"/>
        <v>20-20104</v>
      </c>
    </row>
    <row r="635" spans="1:8" x14ac:dyDescent="0.25">
      <c r="E635" t="str">
        <f>""</f>
        <v/>
      </c>
      <c r="F635" t="str">
        <f>""</f>
        <v/>
      </c>
      <c r="H635" t="str">
        <f t="shared" si="6"/>
        <v>20-20104</v>
      </c>
    </row>
    <row r="636" spans="1:8" x14ac:dyDescent="0.25">
      <c r="E636" t="str">
        <f>""</f>
        <v/>
      </c>
      <c r="F636" t="str">
        <f>""</f>
        <v/>
      </c>
      <c r="H636" t="str">
        <f t="shared" si="6"/>
        <v>20-20104</v>
      </c>
    </row>
    <row r="637" spans="1:8" x14ac:dyDescent="0.25">
      <c r="E637" t="str">
        <f>""</f>
        <v/>
      </c>
      <c r="F637" t="str">
        <f>""</f>
        <v/>
      </c>
      <c r="H637" t="str">
        <f t="shared" si="6"/>
        <v>20-20104</v>
      </c>
    </row>
    <row r="638" spans="1:8" x14ac:dyDescent="0.25">
      <c r="A638" t="s">
        <v>177</v>
      </c>
      <c r="B638">
        <v>132779</v>
      </c>
      <c r="C638">
        <v>25</v>
      </c>
      <c r="D638" s="1">
        <v>44067</v>
      </c>
      <c r="E638" t="s">
        <v>178</v>
      </c>
      <c r="F638" t="str">
        <f>"RESTITUTION - J. HOFFMAN"</f>
        <v>RESTITUTION - J. HOFFMAN</v>
      </c>
      <c r="G638" s="4">
        <v>25</v>
      </c>
      <c r="H638" t="str">
        <f>"RESTITUTION - J. HOFFMAN"</f>
        <v>RESTITUTION - J. HOFFMAN</v>
      </c>
    </row>
    <row r="639" spans="1:8" x14ac:dyDescent="0.25">
      <c r="A639" t="s">
        <v>179</v>
      </c>
      <c r="B639">
        <v>132780</v>
      </c>
      <c r="C639">
        <v>1533.5</v>
      </c>
      <c r="D639" s="1">
        <v>44067</v>
      </c>
      <c r="E639" t="str">
        <f>"202008138347"</f>
        <v>202008138347</v>
      </c>
      <c r="F639" t="str">
        <f>"02.0309.2"</f>
        <v>02.0309.2</v>
      </c>
      <c r="G639" s="4">
        <v>125</v>
      </c>
      <c r="H639" t="str">
        <f>"02.0309.2"</f>
        <v>02.0309.2</v>
      </c>
    </row>
    <row r="640" spans="1:8" x14ac:dyDescent="0.25">
      <c r="E640" t="str">
        <f>"202008138349"</f>
        <v>202008138349</v>
      </c>
      <c r="F640" t="str">
        <f>"20-20060"</f>
        <v>20-20060</v>
      </c>
      <c r="G640" s="4">
        <v>224.25</v>
      </c>
      <c r="H640" t="str">
        <f>"20-20060"</f>
        <v>20-20060</v>
      </c>
    </row>
    <row r="641" spans="1:8" x14ac:dyDescent="0.25">
      <c r="E641" t="str">
        <f>"202008138350"</f>
        <v>202008138350</v>
      </c>
      <c r="F641" t="str">
        <f>"19-19465"</f>
        <v>19-19465</v>
      </c>
      <c r="G641" s="4">
        <v>488.25</v>
      </c>
      <c r="H641" t="str">
        <f>"19-19465"</f>
        <v>19-19465</v>
      </c>
    </row>
    <row r="642" spans="1:8" x14ac:dyDescent="0.25">
      <c r="E642" t="str">
        <f>"202008138351"</f>
        <v>202008138351</v>
      </c>
      <c r="F642" t="str">
        <f>"19-19967"</f>
        <v>19-19967</v>
      </c>
      <c r="G642" s="4">
        <v>117</v>
      </c>
      <c r="H642" t="str">
        <f>"19-19967"</f>
        <v>19-19967</v>
      </c>
    </row>
    <row r="643" spans="1:8" x14ac:dyDescent="0.25">
      <c r="E643" t="str">
        <f>"202008138352"</f>
        <v>202008138352</v>
      </c>
      <c r="F643" t="str">
        <f>"19-20022"</f>
        <v>19-20022</v>
      </c>
      <c r="G643" s="4">
        <v>579</v>
      </c>
      <c r="H643" t="str">
        <f>"19-20022"</f>
        <v>19-20022</v>
      </c>
    </row>
    <row r="644" spans="1:8" x14ac:dyDescent="0.25">
      <c r="A644" t="s">
        <v>180</v>
      </c>
      <c r="B644">
        <v>132781</v>
      </c>
      <c r="C644">
        <v>240</v>
      </c>
      <c r="D644" s="1">
        <v>44067</v>
      </c>
      <c r="E644" t="str">
        <f>"202008128325"</f>
        <v>202008128325</v>
      </c>
      <c r="F644" t="str">
        <f>"REIMBURSE STATE BAR DUES"</f>
        <v>REIMBURSE STATE BAR DUES</v>
      </c>
      <c r="G644" s="4">
        <v>240</v>
      </c>
      <c r="H644" t="str">
        <f>"REIMBURSE STATE BAR DUES"</f>
        <v>REIMBURSE STATE BAR DUES</v>
      </c>
    </row>
    <row r="645" spans="1:8" x14ac:dyDescent="0.25">
      <c r="A645" t="s">
        <v>181</v>
      </c>
      <c r="B645">
        <v>132644</v>
      </c>
      <c r="C645">
        <v>655</v>
      </c>
      <c r="D645" s="1">
        <v>44053</v>
      </c>
      <c r="E645" t="str">
        <f>"868407"</f>
        <v>868407</v>
      </c>
      <c r="F645" t="str">
        <f>"TRASH P/U / PCT#1"</f>
        <v>TRASH P/U / PCT#1</v>
      </c>
      <c r="G645" s="4">
        <v>340</v>
      </c>
      <c r="H645" t="str">
        <f>"TRASH P/U / PCT#1"</f>
        <v>TRASH P/U / PCT#1</v>
      </c>
    </row>
    <row r="646" spans="1:8" x14ac:dyDescent="0.25">
      <c r="E646" t="str">
        <f>"868409"</f>
        <v>868409</v>
      </c>
      <c r="F646" t="str">
        <f>"TRASH P/U / PCT#1"</f>
        <v>TRASH P/U / PCT#1</v>
      </c>
      <c r="G646" s="4">
        <v>315</v>
      </c>
      <c r="H646" t="str">
        <f>"TRASH P/U / PCT#1"</f>
        <v>TRASH P/U / PCT#1</v>
      </c>
    </row>
    <row r="647" spans="1:8" x14ac:dyDescent="0.25">
      <c r="A647" t="s">
        <v>182</v>
      </c>
      <c r="B647">
        <v>2971</v>
      </c>
      <c r="C647">
        <v>2717</v>
      </c>
      <c r="D647" s="1">
        <v>44054</v>
      </c>
      <c r="E647" t="str">
        <f>"342"</f>
        <v>342</v>
      </c>
      <c r="F647" t="str">
        <f>"TOWER RENT"</f>
        <v>TOWER RENT</v>
      </c>
      <c r="G647" s="4">
        <v>2717</v>
      </c>
      <c r="H647" t="str">
        <f>"TOWER RENT"</f>
        <v>TOWER RENT</v>
      </c>
    </row>
    <row r="648" spans="1:8" x14ac:dyDescent="0.25">
      <c r="A648" t="s">
        <v>183</v>
      </c>
      <c r="B648">
        <v>2946</v>
      </c>
      <c r="C648">
        <v>16</v>
      </c>
      <c r="D648" s="1">
        <v>44054</v>
      </c>
      <c r="E648" t="str">
        <f>"202007308052"</f>
        <v>202007308052</v>
      </c>
      <c r="F648" t="str">
        <f>"REIMBURSE-TRUCK WASH"</f>
        <v>REIMBURSE-TRUCK WASH</v>
      </c>
      <c r="G648" s="4">
        <v>16</v>
      </c>
      <c r="H648" t="str">
        <f>"REIMBURSE-TRUCK WASH"</f>
        <v>REIMBURSE-TRUCK WASH</v>
      </c>
    </row>
    <row r="649" spans="1:8" x14ac:dyDescent="0.25">
      <c r="A649" t="s">
        <v>184</v>
      </c>
      <c r="B649">
        <v>132645</v>
      </c>
      <c r="C649">
        <v>210</v>
      </c>
      <c r="D649" s="1">
        <v>44053</v>
      </c>
      <c r="E649" t="str">
        <f>"3509"</f>
        <v>3509</v>
      </c>
      <c r="F649" t="str">
        <f>"CONSTRUCTION UNIT RENTAL"</f>
        <v>CONSTRUCTION UNIT RENTAL</v>
      </c>
      <c r="G649" s="4">
        <v>210</v>
      </c>
      <c r="H649" t="str">
        <f>"CONSTRUCTION UNIT RENTAL"</f>
        <v>CONSTRUCTION UNIT RENTAL</v>
      </c>
    </row>
    <row r="650" spans="1:8" x14ac:dyDescent="0.25">
      <c r="A650" t="s">
        <v>185</v>
      </c>
      <c r="B650">
        <v>132646</v>
      </c>
      <c r="C650">
        <v>9.82</v>
      </c>
      <c r="D650" s="1">
        <v>44053</v>
      </c>
      <c r="E650" t="str">
        <f>"267352"</f>
        <v>267352</v>
      </c>
      <c r="F650" t="str">
        <f>"ACCT#BASC01/WASHER SEALING/P1"</f>
        <v>ACCT#BASC01/WASHER SEALING/P1</v>
      </c>
      <c r="G650" s="4">
        <v>9.82</v>
      </c>
      <c r="H650" t="str">
        <f>"ACCT#BASC01/WASHER SEALING/P1"</f>
        <v>ACCT#BASC01/WASHER SEALING/P1</v>
      </c>
    </row>
    <row r="651" spans="1:8" x14ac:dyDescent="0.25">
      <c r="A651" t="s">
        <v>185</v>
      </c>
      <c r="B651">
        <v>132782</v>
      </c>
      <c r="C651">
        <v>83.16</v>
      </c>
      <c r="D651" s="1">
        <v>44067</v>
      </c>
      <c r="E651" t="str">
        <f>"267062"</f>
        <v>267062</v>
      </c>
      <c r="F651" t="str">
        <f>"ACCT#BASCO3/PCT#3"</f>
        <v>ACCT#BASCO3/PCT#3</v>
      </c>
      <c r="G651" s="4">
        <v>83.16</v>
      </c>
      <c r="H651" t="str">
        <f>"ACCT#BASCO3/PCT#3"</f>
        <v>ACCT#BASCO3/PCT#3</v>
      </c>
    </row>
    <row r="652" spans="1:8" x14ac:dyDescent="0.25">
      <c r="A652" t="s">
        <v>186</v>
      </c>
      <c r="B652">
        <v>3018</v>
      </c>
      <c r="C652">
        <v>1850</v>
      </c>
      <c r="D652" s="1">
        <v>44068</v>
      </c>
      <c r="E652" t="str">
        <f>"276813"</f>
        <v>276813</v>
      </c>
      <c r="F652" t="str">
        <f>"ORD#19382222/FIRE ALARM MONITO"</f>
        <v>ORD#19382222/FIRE ALARM MONITO</v>
      </c>
      <c r="G652" s="4">
        <v>1060</v>
      </c>
      <c r="H652" t="str">
        <f>"ORD#19382222/FIRE ALARM MONITO"</f>
        <v>ORD#19382222/FIRE ALARM MONITO</v>
      </c>
    </row>
    <row r="653" spans="1:8" x14ac:dyDescent="0.25">
      <c r="E653" t="str">
        <f>"276814"</f>
        <v>276814</v>
      </c>
      <c r="F653" t="str">
        <f>"ORD#19382219/FIRE ALARM MONITO"</f>
        <v>ORD#19382219/FIRE ALARM MONITO</v>
      </c>
      <c r="G653" s="4">
        <v>790</v>
      </c>
      <c r="H653" t="str">
        <f>"ORD#19382219/FIRE ALARM MONITO"</f>
        <v>ORD#19382219/FIRE ALARM MONITO</v>
      </c>
    </row>
    <row r="654" spans="1:8" x14ac:dyDescent="0.25">
      <c r="A654" t="s">
        <v>187</v>
      </c>
      <c r="B654">
        <v>132783</v>
      </c>
      <c r="C654">
        <v>146154.75</v>
      </c>
      <c r="D654" s="1">
        <v>44067</v>
      </c>
      <c r="E654" t="str">
        <f>"36304  36376"</f>
        <v>36304  36376</v>
      </c>
      <c r="F654" t="str">
        <f>"Fitness Equipment"</f>
        <v>Fitness Equipment</v>
      </c>
      <c r="G654" s="4">
        <v>146154.75</v>
      </c>
      <c r="H654" t="str">
        <f>"GR2005-1-22-SM"</f>
        <v>GR2005-1-22-SM</v>
      </c>
    </row>
    <row r="655" spans="1:8" x14ac:dyDescent="0.25">
      <c r="E655" t="str">
        <f>""</f>
        <v/>
      </c>
      <c r="F655" t="str">
        <f>""</f>
        <v/>
      </c>
      <c r="H655" t="str">
        <f>"GR2005-1-42-SM"</f>
        <v>GR2005-1-42-SM</v>
      </c>
    </row>
    <row r="656" spans="1:8" x14ac:dyDescent="0.25">
      <c r="E656" t="str">
        <f>""</f>
        <v/>
      </c>
      <c r="F656" t="str">
        <f>""</f>
        <v/>
      </c>
      <c r="H656" t="str">
        <f>"GR2005-1-48A-W-SM"</f>
        <v>GR2005-1-48A-W-SM</v>
      </c>
    </row>
    <row r="657" spans="5:8" x14ac:dyDescent="0.25">
      <c r="E657" t="str">
        <f>""</f>
        <v/>
      </c>
      <c r="F657" t="str">
        <f>""</f>
        <v/>
      </c>
      <c r="H657" t="str">
        <f>"GR2005-1-48C-SM"</f>
        <v>GR2005-1-48C-SM</v>
      </c>
    </row>
    <row r="658" spans="5:8" x14ac:dyDescent="0.25">
      <c r="E658" t="str">
        <f>""</f>
        <v/>
      </c>
      <c r="F658" t="str">
        <f>""</f>
        <v/>
      </c>
      <c r="H658" t="str">
        <f>"GR2005-1-71-SM"</f>
        <v>GR2005-1-71-SM</v>
      </c>
    </row>
    <row r="659" spans="5:8" x14ac:dyDescent="0.25">
      <c r="E659" t="str">
        <f>""</f>
        <v/>
      </c>
      <c r="F659" t="str">
        <f>""</f>
        <v/>
      </c>
      <c r="H659" t="str">
        <f>"GR2005-1-91-SM"</f>
        <v>GR2005-1-91-SM</v>
      </c>
    </row>
    <row r="660" spans="5:8" x14ac:dyDescent="0.25">
      <c r="E660" t="str">
        <f>""</f>
        <v/>
      </c>
      <c r="F660" t="str">
        <f>""</f>
        <v/>
      </c>
      <c r="H660" t="str">
        <f>"GR2005-1-104N"</f>
        <v>GR2005-1-104N</v>
      </c>
    </row>
    <row r="661" spans="5:8" x14ac:dyDescent="0.25">
      <c r="E661" t="str">
        <f>""</f>
        <v/>
      </c>
      <c r="F661" t="str">
        <f>""</f>
        <v/>
      </c>
      <c r="H661" t="str">
        <f>"KSHADEHIP"</f>
        <v>KSHADEHIP</v>
      </c>
    </row>
    <row r="662" spans="5:8" x14ac:dyDescent="0.25">
      <c r="E662" t="str">
        <f>""</f>
        <v/>
      </c>
      <c r="F662" t="str">
        <f>""</f>
        <v/>
      </c>
      <c r="H662" t="str">
        <f>"PIERS36X084"</f>
        <v>PIERS36X084</v>
      </c>
    </row>
    <row r="663" spans="5:8" x14ac:dyDescent="0.25">
      <c r="E663" t="str">
        <f>""</f>
        <v/>
      </c>
      <c r="F663" t="str">
        <f>""</f>
        <v/>
      </c>
      <c r="H663" t="str">
        <f>"ENG622"</f>
        <v>ENG622</v>
      </c>
    </row>
    <row r="664" spans="5:8" x14ac:dyDescent="0.25">
      <c r="E664" t="str">
        <f>""</f>
        <v/>
      </c>
      <c r="F664" t="str">
        <f>""</f>
        <v/>
      </c>
      <c r="H664" t="str">
        <f>"CONC4RB"</f>
        <v>CONC4RB</v>
      </c>
    </row>
    <row r="665" spans="5:8" x14ac:dyDescent="0.25">
      <c r="E665" t="str">
        <f>""</f>
        <v/>
      </c>
      <c r="F665" t="str">
        <f>""</f>
        <v/>
      </c>
      <c r="H665" t="str">
        <f>"GR2005-1-89SM"</f>
        <v>GR2005-1-89SM</v>
      </c>
    </row>
    <row r="666" spans="5:8" x14ac:dyDescent="0.25">
      <c r="E666" t="str">
        <f>""</f>
        <v/>
      </c>
      <c r="F666" t="str">
        <f>""</f>
        <v/>
      </c>
      <c r="H666" t="str">
        <f>"GR2005-1-19-SM"</f>
        <v>GR2005-1-19-SM</v>
      </c>
    </row>
    <row r="667" spans="5:8" x14ac:dyDescent="0.25">
      <c r="E667" t="str">
        <f>""</f>
        <v/>
      </c>
      <c r="F667" t="str">
        <f>""</f>
        <v/>
      </c>
      <c r="H667" t="str">
        <f>"GR2005-1-98-SM"</f>
        <v>GR2005-1-98-SM</v>
      </c>
    </row>
    <row r="668" spans="5:8" x14ac:dyDescent="0.25">
      <c r="E668" t="str">
        <f>""</f>
        <v/>
      </c>
      <c r="F668" t="str">
        <f>""</f>
        <v/>
      </c>
      <c r="H668" t="str">
        <f>"HP2009-7-24-SM"</f>
        <v>HP2009-7-24-SM</v>
      </c>
    </row>
    <row r="669" spans="5:8" x14ac:dyDescent="0.25">
      <c r="E669" t="str">
        <f>""</f>
        <v/>
      </c>
      <c r="F669" t="str">
        <f>""</f>
        <v/>
      </c>
      <c r="H669" t="str">
        <f>"UBX-360"</f>
        <v>UBX-360</v>
      </c>
    </row>
    <row r="670" spans="5:8" x14ac:dyDescent="0.25">
      <c r="E670" t="str">
        <f>""</f>
        <v/>
      </c>
      <c r="F670" t="str">
        <f>""</f>
        <v/>
      </c>
      <c r="H670" t="str">
        <f>"GR2005-1-92-SM"</f>
        <v>GR2005-1-92-SM</v>
      </c>
    </row>
    <row r="671" spans="5:8" x14ac:dyDescent="0.25">
      <c r="E671" t="str">
        <f>""</f>
        <v/>
      </c>
      <c r="F671" t="str">
        <f>""</f>
        <v/>
      </c>
      <c r="H671" t="str">
        <f>"UBX-303"</f>
        <v>UBX-303</v>
      </c>
    </row>
    <row r="672" spans="5:8" x14ac:dyDescent="0.25">
      <c r="E672" t="str">
        <f>""</f>
        <v/>
      </c>
      <c r="F672" t="str">
        <f>""</f>
        <v/>
      </c>
      <c r="H672" t="str">
        <f>"CONC4RB"</f>
        <v>CONC4RB</v>
      </c>
    </row>
    <row r="673" spans="1:8" x14ac:dyDescent="0.25">
      <c r="E673" t="str">
        <f>""</f>
        <v/>
      </c>
      <c r="F673" t="str">
        <f>""</f>
        <v/>
      </c>
      <c r="H673" t="str">
        <f>"BOND1"</f>
        <v>BOND1</v>
      </c>
    </row>
    <row r="674" spans="1:8" x14ac:dyDescent="0.25">
      <c r="E674" t="str">
        <f>""</f>
        <v/>
      </c>
      <c r="F674" t="str">
        <f>""</f>
        <v/>
      </c>
      <c r="H674" t="str">
        <f>"Shipping"</f>
        <v>Shipping</v>
      </c>
    </row>
    <row r="675" spans="1:8" x14ac:dyDescent="0.25">
      <c r="E675" t="str">
        <f>""</f>
        <v/>
      </c>
      <c r="F675" t="str">
        <f>""</f>
        <v/>
      </c>
      <c r="H675" t="str">
        <f>"Discount"</f>
        <v>Discount</v>
      </c>
    </row>
    <row r="676" spans="1:8" x14ac:dyDescent="0.25">
      <c r="E676" t="str">
        <f>""</f>
        <v/>
      </c>
      <c r="F676" t="str">
        <f>""</f>
        <v/>
      </c>
      <c r="H676" t="str">
        <f>"Install"</f>
        <v>Install</v>
      </c>
    </row>
    <row r="677" spans="1:8" x14ac:dyDescent="0.25">
      <c r="A677" t="s">
        <v>188</v>
      </c>
      <c r="B677">
        <v>132647</v>
      </c>
      <c r="C677">
        <v>902.12</v>
      </c>
      <c r="D677" s="1">
        <v>44053</v>
      </c>
      <c r="E677" t="str">
        <f>"202008048085"</f>
        <v>202008048085</v>
      </c>
      <c r="F677" t="str">
        <f>"ACCT#1645/WILDFIRE MITIGATION"</f>
        <v>ACCT#1645/WILDFIRE MITIGATION</v>
      </c>
      <c r="G677" s="4">
        <v>116.92</v>
      </c>
      <c r="H677" t="str">
        <f>"ACCT#1645/WILDFIRE MITIGATION"</f>
        <v>ACCT#1645/WILDFIRE MITIGATION</v>
      </c>
    </row>
    <row r="678" spans="1:8" x14ac:dyDescent="0.25">
      <c r="E678" t="str">
        <f>"202008048088"</f>
        <v>202008048088</v>
      </c>
      <c r="F678" t="str">
        <f>"ACCT#1650/PCT#1"</f>
        <v>ACCT#1650/PCT#1</v>
      </c>
      <c r="G678" s="4">
        <v>27.67</v>
      </c>
      <c r="H678" t="str">
        <f>"ACCT#1650/PCT#1"</f>
        <v>ACCT#1650/PCT#1</v>
      </c>
    </row>
    <row r="679" spans="1:8" x14ac:dyDescent="0.25">
      <c r="E679" t="str">
        <f>"202008048089"</f>
        <v>202008048089</v>
      </c>
      <c r="F679" t="str">
        <f>"ACCT#1700/PCT#2"</f>
        <v>ACCT#1700/PCT#2</v>
      </c>
      <c r="G679" s="4">
        <v>18.88</v>
      </c>
      <c r="H679" t="str">
        <f>"ACCT#1700/PCT#2"</f>
        <v>ACCT#1700/PCT#2</v>
      </c>
    </row>
    <row r="680" spans="1:8" x14ac:dyDescent="0.25">
      <c r="E680" t="str">
        <f>"202008058110"</f>
        <v>202008058110</v>
      </c>
      <c r="F680" t="str">
        <f>"ACCT#1750 / PCT#3"</f>
        <v>ACCT#1750 / PCT#3</v>
      </c>
      <c r="G680" s="4">
        <v>266.52</v>
      </c>
      <c r="H680" t="str">
        <f>"ACCT#1750 / PCT#3"</f>
        <v>ACCT#1750 / PCT#3</v>
      </c>
    </row>
    <row r="681" spans="1:8" x14ac:dyDescent="0.25">
      <c r="E681" t="str">
        <f>"202008058113"</f>
        <v>202008058113</v>
      </c>
      <c r="F681" t="str">
        <f>"ACCT#1800/PCT#4"</f>
        <v>ACCT#1800/PCT#4</v>
      </c>
      <c r="G681" s="4">
        <v>472.13</v>
      </c>
      <c r="H681" t="str">
        <f>"ACCT#1800/PCT#4"</f>
        <v>ACCT#1800/PCT#4</v>
      </c>
    </row>
    <row r="682" spans="1:8" x14ac:dyDescent="0.25">
      <c r="A682" t="s">
        <v>189</v>
      </c>
      <c r="B682">
        <v>2936</v>
      </c>
      <c r="C682">
        <v>2191.46</v>
      </c>
      <c r="D682" s="1">
        <v>44054</v>
      </c>
      <c r="E682" t="str">
        <f>"07221546  07291606"</f>
        <v>07221546  07291606</v>
      </c>
      <c r="F682" t="str">
        <f>"INV 07221546"</f>
        <v>INV 07221546</v>
      </c>
      <c r="G682" s="4">
        <v>2191.46</v>
      </c>
      <c r="H682" t="str">
        <f>"INV 07221546"</f>
        <v>INV 07221546</v>
      </c>
    </row>
    <row r="683" spans="1:8" x14ac:dyDescent="0.25">
      <c r="E683" t="str">
        <f>""</f>
        <v/>
      </c>
      <c r="F683" t="str">
        <f>""</f>
        <v/>
      </c>
      <c r="H683" t="str">
        <f>"INV 07291606"</f>
        <v>INV 07291606</v>
      </c>
    </row>
    <row r="684" spans="1:8" x14ac:dyDescent="0.25">
      <c r="A684" t="s">
        <v>189</v>
      </c>
      <c r="B684">
        <v>3006</v>
      </c>
      <c r="C684">
        <v>2508.73</v>
      </c>
      <c r="D684" s="1">
        <v>44068</v>
      </c>
      <c r="E684" t="str">
        <f>"20-25676"</f>
        <v>20-25676</v>
      </c>
      <c r="F684" t="str">
        <f>"INV 08053476"</f>
        <v>INV 08053476</v>
      </c>
      <c r="G684" s="4">
        <v>2508.73</v>
      </c>
      <c r="H684" t="str">
        <f>"INV 08053476"</f>
        <v>INV 08053476</v>
      </c>
    </row>
    <row r="685" spans="1:8" x14ac:dyDescent="0.25">
      <c r="E685" t="str">
        <f>""</f>
        <v/>
      </c>
      <c r="F685" t="str">
        <f>""</f>
        <v/>
      </c>
      <c r="H685" t="str">
        <f>"INV 08127707"</f>
        <v>INV 08127707</v>
      </c>
    </row>
    <row r="686" spans="1:8" x14ac:dyDescent="0.25">
      <c r="A686" t="s">
        <v>190</v>
      </c>
      <c r="B686">
        <v>132648</v>
      </c>
      <c r="C686">
        <v>8500</v>
      </c>
      <c r="D686" s="1">
        <v>44053</v>
      </c>
      <c r="E686" t="str">
        <f>"4019"</f>
        <v>4019</v>
      </c>
      <c r="F686" t="str">
        <f>"ENVIRONMENTAL REVIEW/2/21-7/8"</f>
        <v>ENVIRONMENTAL REVIEW/2/21-7/8</v>
      </c>
      <c r="G686" s="4">
        <v>8500</v>
      </c>
      <c r="H686" t="str">
        <f>"ENVIRONMENTAL REVIEW/2/21-7/8"</f>
        <v>ENVIRONMENTAL REVIEW/2/21-7/8</v>
      </c>
    </row>
    <row r="687" spans="1:8" x14ac:dyDescent="0.25">
      <c r="A687" t="s">
        <v>191</v>
      </c>
      <c r="B687">
        <v>132649</v>
      </c>
      <c r="C687">
        <v>65</v>
      </c>
      <c r="D687" s="1">
        <v>44053</v>
      </c>
      <c r="E687" t="str">
        <f>"202008038078"</f>
        <v>202008038078</v>
      </c>
      <c r="F687" t="str">
        <f>"REFUND - RETURNED PET"</f>
        <v>REFUND - RETURNED PET</v>
      </c>
      <c r="G687" s="4">
        <v>65</v>
      </c>
      <c r="H687" t="str">
        <f>"REFUND - RETURNED PET"</f>
        <v>REFUND - RETURNED PET</v>
      </c>
    </row>
    <row r="688" spans="1:8" x14ac:dyDescent="0.25">
      <c r="A688" t="s">
        <v>192</v>
      </c>
      <c r="B688">
        <v>2959</v>
      </c>
      <c r="C688">
        <v>150</v>
      </c>
      <c r="D688" s="1">
        <v>44054</v>
      </c>
      <c r="E688" t="str">
        <f>"202008058190"</f>
        <v>202008058190</v>
      </c>
      <c r="F688" t="str">
        <f>"CLEANING SERVICE 07/25/2020"</f>
        <v>CLEANING SERVICE 07/25/2020</v>
      </c>
      <c r="G688" s="4">
        <v>150</v>
      </c>
      <c r="H688" t="str">
        <f>"CLEANING SERVICE 07/25/2020"</f>
        <v>CLEANING SERVICE 07/25/2020</v>
      </c>
    </row>
    <row r="689" spans="1:8" x14ac:dyDescent="0.25">
      <c r="A689" t="s">
        <v>192</v>
      </c>
      <c r="B689">
        <v>3036</v>
      </c>
      <c r="C689">
        <v>150</v>
      </c>
      <c r="D689" s="1">
        <v>44068</v>
      </c>
      <c r="E689" t="str">
        <f>"202008188406"</f>
        <v>202008188406</v>
      </c>
      <c r="F689" t="str">
        <f>"CLEANING SERVICE/PCT#2"</f>
        <v>CLEANING SERVICE/PCT#2</v>
      </c>
      <c r="G689" s="4">
        <v>150</v>
      </c>
      <c r="H689" t="str">
        <f>"CLEANING SERVICE/PCT#2"</f>
        <v>CLEANING SERVICE/PCT#2</v>
      </c>
    </row>
    <row r="690" spans="1:8" x14ac:dyDescent="0.25">
      <c r="A690" t="s">
        <v>193</v>
      </c>
      <c r="B690">
        <v>132650</v>
      </c>
      <c r="C690">
        <v>50</v>
      </c>
      <c r="D690" s="1">
        <v>44053</v>
      </c>
      <c r="E690" t="str">
        <f>"202007298046"</f>
        <v>202007298046</v>
      </c>
      <c r="F690" t="str">
        <f>"REIMBURSE TRANSLATOR FEE"</f>
        <v>REIMBURSE TRANSLATOR FEE</v>
      </c>
      <c r="G690" s="4">
        <v>50</v>
      </c>
      <c r="H690" t="str">
        <f>"REIMBURSE TRANSLATOR FEE"</f>
        <v>REIMBURSE TRANSLATOR FEE</v>
      </c>
    </row>
    <row r="691" spans="1:8" x14ac:dyDescent="0.25">
      <c r="A691" t="s">
        <v>194</v>
      </c>
      <c r="B691">
        <v>132784</v>
      </c>
      <c r="C691">
        <v>247</v>
      </c>
      <c r="D691" s="1">
        <v>44067</v>
      </c>
      <c r="E691" t="str">
        <f>"202008178400"</f>
        <v>202008178400</v>
      </c>
      <c r="F691" t="str">
        <f>"TIRE SVCS/PCT#4"</f>
        <v>TIRE SVCS/PCT#4</v>
      </c>
      <c r="G691" s="4">
        <v>247</v>
      </c>
      <c r="H691" t="str">
        <f>"TIRE SVCS/PCT#4"</f>
        <v>TIRE SVCS/PCT#4</v>
      </c>
    </row>
    <row r="692" spans="1:8" x14ac:dyDescent="0.25">
      <c r="A692" t="s">
        <v>195</v>
      </c>
      <c r="B692">
        <v>132582</v>
      </c>
      <c r="C692">
        <v>50.25</v>
      </c>
      <c r="D692" s="1">
        <v>44049</v>
      </c>
      <c r="E692" t="str">
        <f>"202008058220"</f>
        <v>202008058220</v>
      </c>
      <c r="F692" t="str">
        <f>"ACCT#1-09-00072-02 1/07242020"</f>
        <v>ACCT#1-09-00072-02 1/07242020</v>
      </c>
      <c r="G692" s="4">
        <v>50.25</v>
      </c>
      <c r="H692" t="str">
        <f>"ACCT#1-09-00072-02 1/07242020"</f>
        <v>ACCT#1-09-00072-02 1/07242020</v>
      </c>
    </row>
    <row r="693" spans="1:8" x14ac:dyDescent="0.25">
      <c r="A693" t="s">
        <v>196</v>
      </c>
      <c r="B693">
        <v>132651</v>
      </c>
      <c r="C693">
        <v>378.4</v>
      </c>
      <c r="D693" s="1">
        <v>44053</v>
      </c>
      <c r="E693" t="str">
        <f>"1420944-20200731"</f>
        <v>1420944-20200731</v>
      </c>
      <c r="F693" t="str">
        <f>"BILL ID:1420944/SHERIFF'S OFF"</f>
        <v>BILL ID:1420944/SHERIFF'S OFF</v>
      </c>
      <c r="G693" s="4">
        <v>378.4</v>
      </c>
      <c r="H693" t="str">
        <f>"BILL ID:1420944/SHERIFF'S OFF"</f>
        <v>BILL ID:1420944/SHERIFF'S OFF</v>
      </c>
    </row>
    <row r="694" spans="1:8" x14ac:dyDescent="0.25">
      <c r="A694" t="s">
        <v>196</v>
      </c>
      <c r="B694">
        <v>132785</v>
      </c>
      <c r="C694">
        <v>954.5</v>
      </c>
      <c r="D694" s="1">
        <v>44067</v>
      </c>
      <c r="E694" t="str">
        <f>"1211621-20200731"</f>
        <v>1211621-20200731</v>
      </c>
      <c r="F694" t="str">
        <f>"BILL ID:1211621/HEALTH SVCS"</f>
        <v>BILL ID:1211621/HEALTH SVCS</v>
      </c>
      <c r="G694" s="4">
        <v>683</v>
      </c>
      <c r="H694" t="str">
        <f>"BILL ID:1211621/HEALTH SVCS"</f>
        <v>BILL ID:1211621/HEALTH SVCS</v>
      </c>
    </row>
    <row r="695" spans="1:8" x14ac:dyDescent="0.25">
      <c r="E695" t="str">
        <f>"1361725-20200731"</f>
        <v>1361725-20200731</v>
      </c>
      <c r="F695" t="str">
        <f>"BILL ID:1361725/INDIGENT HLTH"</f>
        <v>BILL ID:1361725/INDIGENT HLTH</v>
      </c>
      <c r="G695" s="4">
        <v>150</v>
      </c>
      <c r="H695" t="str">
        <f>"BILL ID:1361725/INDIGENT HLTH"</f>
        <v>BILL ID:1361725/INDIGENT HLTH</v>
      </c>
    </row>
    <row r="696" spans="1:8" x14ac:dyDescent="0.25">
      <c r="E696" t="str">
        <f>"1394645-20200731"</f>
        <v>1394645-20200731</v>
      </c>
      <c r="F696" t="str">
        <f>"BILL ID:1394645/COUNTY CLERK"</f>
        <v>BILL ID:1394645/COUNTY CLERK</v>
      </c>
      <c r="G696" s="4">
        <v>71.5</v>
      </c>
      <c r="H696" t="str">
        <f>"BILL ID:1394645/COUNTY CLERK"</f>
        <v>BILL ID:1394645/COUNTY CLERK</v>
      </c>
    </row>
    <row r="697" spans="1:8" x14ac:dyDescent="0.25">
      <c r="E697" t="str">
        <f>"1489870-20200731"</f>
        <v>1489870-20200731</v>
      </c>
      <c r="F697" t="str">
        <f>"BILL ID:1489870/DISTRICT CLERK"</f>
        <v>BILL ID:1489870/DISTRICT CLERK</v>
      </c>
      <c r="G697" s="4">
        <v>50</v>
      </c>
      <c r="H697" t="str">
        <f>"BILL ID:1489870/DISTRICT CLERK"</f>
        <v>BILL ID:1489870/DISTRICT CLERK</v>
      </c>
    </row>
    <row r="698" spans="1:8" x14ac:dyDescent="0.25">
      <c r="A698" t="s">
        <v>197</v>
      </c>
      <c r="B698">
        <v>2975</v>
      </c>
      <c r="C698">
        <v>342</v>
      </c>
      <c r="D698" s="1">
        <v>44054</v>
      </c>
      <c r="E698" t="str">
        <f>"202008038055"</f>
        <v>202008038055</v>
      </c>
      <c r="F698" t="str">
        <f>"VEHICLE REGISTRATION- GEN SVCS"</f>
        <v>VEHICLE REGISTRATION- GEN SVCS</v>
      </c>
      <c r="G698" s="4">
        <v>7.5</v>
      </c>
      <c r="H698" t="str">
        <f>"VEHICLE REGISTRATION- GEN SVCS"</f>
        <v>VEHICLE REGISTRATION- GEN SVCS</v>
      </c>
    </row>
    <row r="699" spans="1:8" x14ac:dyDescent="0.25">
      <c r="E699" t="str">
        <f>"202008048093"</f>
        <v>202008048093</v>
      </c>
      <c r="F699" t="str">
        <f>"VEHICLE REGISTRATIONS-SHERIFF"</f>
        <v>VEHICLE REGISTRATIONS-SHERIFF</v>
      </c>
      <c r="G699" s="4">
        <v>22.5</v>
      </c>
      <c r="H699" t="str">
        <f>"VEHICLE REGISTRATIONS-SHERIFF"</f>
        <v>VEHICLE REGISTRATIONS-SHERIFF</v>
      </c>
    </row>
    <row r="700" spans="1:8" x14ac:dyDescent="0.25">
      <c r="E700" t="str">
        <f>"202008048108"</f>
        <v>202008048108</v>
      </c>
      <c r="F700" t="str">
        <f>"2010 DODGE/GENERAL SERVICES"</f>
        <v>2010 DODGE/GENERAL SERVICES</v>
      </c>
      <c r="G700" s="4">
        <v>7.5</v>
      </c>
      <c r="H700" t="str">
        <f>"2010 DODGE/GENERAL SERVICES"</f>
        <v>2010 DODGE/GENERAL SERVICES</v>
      </c>
    </row>
    <row r="701" spans="1:8" x14ac:dyDescent="0.25">
      <c r="E701" t="str">
        <f>"202008058118"</f>
        <v>202008058118</v>
      </c>
      <c r="F701" t="str">
        <f>"TITLE ONLY/SHERIFF'S OFFICE"</f>
        <v>TITLE ONLY/SHERIFF'S OFFICE</v>
      </c>
      <c r="G701" s="4">
        <v>297</v>
      </c>
      <c r="H701" t="str">
        <f>"TITLE ONLY/SHERIFF'S OFFICE"</f>
        <v>TITLE ONLY/SHERIFF'S OFFICE</v>
      </c>
    </row>
    <row r="702" spans="1:8" x14ac:dyDescent="0.25">
      <c r="E702" t="str">
        <f>"202008058192"</f>
        <v>202008058192</v>
      </c>
      <c r="F702" t="str">
        <f>"VEHICLE REGISTRATION (HABITAT)"</f>
        <v>VEHICLE REGISTRATION (HABITAT)</v>
      </c>
      <c r="G702" s="4">
        <v>7.5</v>
      </c>
      <c r="H702" t="str">
        <f>"VEHICLE REGISTRATION (HABITAT)"</f>
        <v>VEHICLE REGISTRATION (HABITAT)</v>
      </c>
    </row>
    <row r="703" spans="1:8" x14ac:dyDescent="0.25">
      <c r="A703" t="s">
        <v>197</v>
      </c>
      <c r="B703">
        <v>3056</v>
      </c>
      <c r="C703">
        <v>7.5</v>
      </c>
      <c r="D703" s="1">
        <v>44068</v>
      </c>
      <c r="E703" t="str">
        <f>"202008178398"</f>
        <v>202008178398</v>
      </c>
      <c r="F703" t="str">
        <f>"VEHICLE REGISTRATION/PCT#4"</f>
        <v>VEHICLE REGISTRATION/PCT#4</v>
      </c>
      <c r="G703" s="4">
        <v>7.5</v>
      </c>
      <c r="H703" t="str">
        <f>"VEHICLE REGISTRATION/PCT#4"</f>
        <v>VEHICLE REGISTRATION/PCT#4</v>
      </c>
    </row>
    <row r="704" spans="1:8" x14ac:dyDescent="0.25">
      <c r="A704" t="s">
        <v>198</v>
      </c>
      <c r="B704">
        <v>132786</v>
      </c>
      <c r="C704">
        <v>51.07</v>
      </c>
      <c r="D704" s="1">
        <v>44067</v>
      </c>
      <c r="E704" t="str">
        <f>"202008188419"</f>
        <v>202008188419</v>
      </c>
      <c r="F704" t="str">
        <f>"REIMBURSEMENT"</f>
        <v>REIMBURSEMENT</v>
      </c>
      <c r="G704" s="4">
        <v>51.07</v>
      </c>
      <c r="H704" t="str">
        <f>"REIMBURSEMENT"</f>
        <v>REIMBURSEMENT</v>
      </c>
    </row>
    <row r="705" spans="1:8" x14ac:dyDescent="0.25">
      <c r="A705" t="s">
        <v>199</v>
      </c>
      <c r="B705">
        <v>132787</v>
      </c>
      <c r="C705">
        <v>185</v>
      </c>
      <c r="D705" s="1">
        <v>44067</v>
      </c>
      <c r="E705" t="str">
        <f>"202008208461"</f>
        <v>202008208461</v>
      </c>
      <c r="F705" t="str">
        <f>"PER DIEM"</f>
        <v>PER DIEM</v>
      </c>
      <c r="G705" s="4">
        <v>185</v>
      </c>
      <c r="H705" t="str">
        <f>"PER DIEM"</f>
        <v>PER DIEM</v>
      </c>
    </row>
    <row r="706" spans="1:8" x14ac:dyDescent="0.25">
      <c r="A706" t="s">
        <v>200</v>
      </c>
      <c r="B706">
        <v>2951</v>
      </c>
      <c r="C706">
        <v>8429.2800000000007</v>
      </c>
      <c r="D706" s="1">
        <v>44054</v>
      </c>
      <c r="E706" t="str">
        <f>"202007298038"</f>
        <v>202007298038</v>
      </c>
      <c r="F706" t="str">
        <f>"GRANT REIMBURSEMENT"</f>
        <v>GRANT REIMBURSEMENT</v>
      </c>
      <c r="G706" s="4">
        <v>8429.2800000000007</v>
      </c>
      <c r="H706" t="str">
        <f>"GRANT REIMBURSEMENT"</f>
        <v>GRANT REIMBURSEMENT</v>
      </c>
    </row>
    <row r="707" spans="1:8" x14ac:dyDescent="0.25">
      <c r="A707" t="s">
        <v>200</v>
      </c>
      <c r="B707">
        <v>3023</v>
      </c>
      <c r="C707">
        <v>18406.59</v>
      </c>
      <c r="D707" s="1">
        <v>44068</v>
      </c>
      <c r="E707" t="str">
        <f>"202008178382"</f>
        <v>202008178382</v>
      </c>
      <c r="F707" t="str">
        <f>"INDIGENT HEALTH"</f>
        <v>INDIGENT HEALTH</v>
      </c>
      <c r="G707" s="4">
        <v>146.41</v>
      </c>
      <c r="H707" t="str">
        <f>"INDIGENT HEALTH"</f>
        <v>INDIGENT HEALTH</v>
      </c>
    </row>
    <row r="708" spans="1:8" x14ac:dyDescent="0.25">
      <c r="E708" t="str">
        <f>"202008198450"</f>
        <v>202008198450</v>
      </c>
      <c r="F708" t="str">
        <f>"GRANT REIMBURSEMENT"</f>
        <v>GRANT REIMBURSEMENT</v>
      </c>
      <c r="G708" s="4">
        <v>18260.18</v>
      </c>
      <c r="H708" t="str">
        <f>"GRANT REIMBURSEMENT"</f>
        <v>GRANT REIMBURSEMENT</v>
      </c>
    </row>
    <row r="709" spans="1:8" x14ac:dyDescent="0.25">
      <c r="A709" t="s">
        <v>201</v>
      </c>
      <c r="B709">
        <v>2949</v>
      </c>
      <c r="C709">
        <v>375</v>
      </c>
      <c r="D709" s="1">
        <v>44054</v>
      </c>
      <c r="E709" t="str">
        <f>"GL-6763-BCSO"</f>
        <v>GL-6763-BCSO</v>
      </c>
      <c r="F709" t="str">
        <f>"INV GL-6763-BCSO"</f>
        <v>INV GL-6763-BCSO</v>
      </c>
      <c r="G709" s="4">
        <v>375</v>
      </c>
      <c r="H709" t="str">
        <f>"INV GL-6763-BCSO"</f>
        <v>INV GL-6763-BCSO</v>
      </c>
    </row>
    <row r="710" spans="1:8" x14ac:dyDescent="0.25">
      <c r="A710" t="s">
        <v>202</v>
      </c>
      <c r="B710">
        <v>2956</v>
      </c>
      <c r="C710">
        <v>546</v>
      </c>
      <c r="D710" s="1">
        <v>44054</v>
      </c>
      <c r="E710" t="str">
        <f>"202008058114"</f>
        <v>202008058114</v>
      </c>
      <c r="F710" t="str">
        <f>"TRASH REMOVAL/JUL 27-31/PCT#4"</f>
        <v>TRASH REMOVAL/JUL 27-31/PCT#4</v>
      </c>
      <c r="G710" s="4">
        <v>71.5</v>
      </c>
      <c r="H710" t="str">
        <f>"TRASH REMOVAL/PCT#4"</f>
        <v>TRASH REMOVAL/PCT#4</v>
      </c>
    </row>
    <row r="711" spans="1:8" x14ac:dyDescent="0.25">
      <c r="E711" t="str">
        <f>"202008058115"</f>
        <v>202008058115</v>
      </c>
      <c r="F711" t="str">
        <f>"TRASH REMOVAL/AUG 3-7/PCT#4"</f>
        <v>TRASH REMOVAL/AUG 3-7/PCT#4</v>
      </c>
      <c r="G711" s="4">
        <v>474.5</v>
      </c>
      <c r="H711" t="str">
        <f>"TRASH REMOVAL/PCT#4"</f>
        <v>TRASH REMOVAL/PCT#4</v>
      </c>
    </row>
    <row r="712" spans="1:8" x14ac:dyDescent="0.25">
      <c r="A712" t="s">
        <v>202</v>
      </c>
      <c r="B712">
        <v>3031</v>
      </c>
      <c r="C712">
        <v>533</v>
      </c>
      <c r="D712" s="1">
        <v>44068</v>
      </c>
      <c r="E712" t="str">
        <f>"202008188409"</f>
        <v>202008188409</v>
      </c>
      <c r="F712" t="str">
        <f>"TRASH REMOVAL 08/10-08/21/PCT2"</f>
        <v>TRASH REMOVAL 08/10-08/21/PCT2</v>
      </c>
      <c r="G712" s="4">
        <v>533</v>
      </c>
      <c r="H712" t="str">
        <f>"TRASH REMOVAL 08/10-08/21/PCT2"</f>
        <v>TRASH REMOVAL 08/10-08/21/PCT2</v>
      </c>
    </row>
    <row r="713" spans="1:8" x14ac:dyDescent="0.25">
      <c r="A713" t="s">
        <v>203</v>
      </c>
      <c r="B713">
        <v>3061</v>
      </c>
      <c r="C713">
        <v>31</v>
      </c>
      <c r="D713" s="1">
        <v>44068</v>
      </c>
      <c r="E713" t="str">
        <f>"10-0096922 10-0098"</f>
        <v>10-0096922 10-0098</v>
      </c>
      <c r="F713" t="str">
        <f>"INV 10-0096922/10-0098872"</f>
        <v>INV 10-0096922/10-0098872</v>
      </c>
      <c r="G713" s="4">
        <v>31</v>
      </c>
      <c r="H713" t="str">
        <f>"INV 10-0096922"</f>
        <v>INV 10-0096922</v>
      </c>
    </row>
    <row r="714" spans="1:8" x14ac:dyDescent="0.25">
      <c r="E714" t="str">
        <f>""</f>
        <v/>
      </c>
      <c r="F714" t="str">
        <f>""</f>
        <v/>
      </c>
      <c r="H714" t="str">
        <f>"INV 10-0098872"</f>
        <v>INV 10-0098872</v>
      </c>
    </row>
    <row r="715" spans="1:8" x14ac:dyDescent="0.25">
      <c r="E715" t="str">
        <f>""</f>
        <v/>
      </c>
      <c r="F715" t="str">
        <f>""</f>
        <v/>
      </c>
      <c r="H715" t="str">
        <f>"CREDIT 10-0091443"</f>
        <v>CREDIT 10-0091443</v>
      </c>
    </row>
    <row r="716" spans="1:8" x14ac:dyDescent="0.25">
      <c r="A716" t="s">
        <v>204</v>
      </c>
      <c r="B716">
        <v>132788</v>
      </c>
      <c r="C716">
        <v>187.5</v>
      </c>
      <c r="D716" s="1">
        <v>44067</v>
      </c>
      <c r="E716" t="str">
        <f>"202008138346"</f>
        <v>202008138346</v>
      </c>
      <c r="F716" t="str">
        <f>"07-11842"</f>
        <v>07-11842</v>
      </c>
      <c r="G716" s="4">
        <v>187.5</v>
      </c>
      <c r="H716" t="str">
        <f>"07-11842"</f>
        <v>07-11842</v>
      </c>
    </row>
    <row r="717" spans="1:8" x14ac:dyDescent="0.25">
      <c r="A717" t="s">
        <v>205</v>
      </c>
      <c r="B717">
        <v>132652</v>
      </c>
      <c r="C717">
        <v>466.08</v>
      </c>
      <c r="D717" s="1">
        <v>44053</v>
      </c>
      <c r="E717" t="str">
        <f>"910821 910336 9106"</f>
        <v>910821 910336 9106</v>
      </c>
      <c r="F717" t="str">
        <f>"acct# 8692"</f>
        <v>acct# 8692</v>
      </c>
      <c r="G717" s="4">
        <v>466.08</v>
      </c>
      <c r="H717" t="str">
        <f>"inv# 910336"</f>
        <v>inv# 910336</v>
      </c>
    </row>
    <row r="718" spans="1:8" x14ac:dyDescent="0.25">
      <c r="E718" t="str">
        <f>""</f>
        <v/>
      </c>
      <c r="F718" t="str">
        <f>""</f>
        <v/>
      </c>
      <c r="H718" t="str">
        <f>"inv# 910632"</f>
        <v>inv# 910632</v>
      </c>
    </row>
    <row r="719" spans="1:8" x14ac:dyDescent="0.25">
      <c r="E719" t="str">
        <f>""</f>
        <v/>
      </c>
      <c r="F719" t="str">
        <f>""</f>
        <v/>
      </c>
      <c r="H719" t="str">
        <f>"inv# 920741"</f>
        <v>inv# 920741</v>
      </c>
    </row>
    <row r="720" spans="1:8" x14ac:dyDescent="0.25">
      <c r="E720" t="str">
        <f>""</f>
        <v/>
      </c>
      <c r="F720" t="str">
        <f>""</f>
        <v/>
      </c>
      <c r="H720" t="str">
        <f>"inv# 910821"</f>
        <v>inv# 910821</v>
      </c>
    </row>
    <row r="721" spans="1:8" x14ac:dyDescent="0.25">
      <c r="E721" t="str">
        <f>""</f>
        <v/>
      </c>
      <c r="F721" t="str">
        <f>""</f>
        <v/>
      </c>
      <c r="H721" t="str">
        <f>"inv# 912711"</f>
        <v>inv# 912711</v>
      </c>
    </row>
    <row r="722" spans="1:8" x14ac:dyDescent="0.25">
      <c r="A722" t="s">
        <v>206</v>
      </c>
      <c r="B722">
        <v>132789</v>
      </c>
      <c r="C722">
        <v>34907.83</v>
      </c>
      <c r="D722" s="1">
        <v>44067</v>
      </c>
      <c r="E722" t="str">
        <f>"202008188433"</f>
        <v>202008188433</v>
      </c>
      <c r="F722" t="str">
        <f>"add. for Cedar Creek Inv."</f>
        <v>add. for Cedar Creek Inv.</v>
      </c>
      <c r="G722" s="4">
        <v>4617.83</v>
      </c>
      <c r="H722" t="str">
        <f>"Material"</f>
        <v>Material</v>
      </c>
    </row>
    <row r="723" spans="1:8" x14ac:dyDescent="0.25">
      <c r="E723" t="str">
        <f>""</f>
        <v/>
      </c>
      <c r="F723" t="str">
        <f>""</f>
        <v/>
      </c>
      <c r="H723" t="str">
        <f>"Septic Tank"</f>
        <v>Septic Tank</v>
      </c>
    </row>
    <row r="724" spans="1:8" x14ac:dyDescent="0.25">
      <c r="E724" t="str">
        <f>"202008188434"</f>
        <v>202008188434</v>
      </c>
      <c r="F724" t="str">
        <f>"LOYA'S SEPTIC  LLC"</f>
        <v>LOYA'S SEPTIC  LLC</v>
      </c>
      <c r="G724" s="4">
        <v>23900</v>
      </c>
      <c r="H724" t="str">
        <f>"Septic System"</f>
        <v>Septic System</v>
      </c>
    </row>
    <row r="725" spans="1:8" x14ac:dyDescent="0.25">
      <c r="E725" t="str">
        <f>"202008188436"</f>
        <v>202008188436</v>
      </c>
      <c r="F725" t="str">
        <f>"LOYA'S SEPTIC  LLC"</f>
        <v>LOYA'S SEPTIC  LLC</v>
      </c>
      <c r="G725" s="4">
        <v>6390</v>
      </c>
      <c r="H725" t="str">
        <f>"Guard Rail Repair"</f>
        <v>Guard Rail Repair</v>
      </c>
    </row>
    <row r="726" spans="1:8" x14ac:dyDescent="0.25">
      <c r="A726" t="s">
        <v>207</v>
      </c>
      <c r="B726">
        <v>132653</v>
      </c>
      <c r="C726">
        <v>2163</v>
      </c>
      <c r="D726" s="1">
        <v>44053</v>
      </c>
      <c r="E726" t="str">
        <f>"1488"</f>
        <v>1488</v>
      </c>
      <c r="F726" t="str">
        <f>"INV 1488"</f>
        <v>INV 1488</v>
      </c>
      <c r="G726" s="4">
        <v>1275</v>
      </c>
      <c r="H726" t="str">
        <f>"INV 1488"</f>
        <v>INV 1488</v>
      </c>
    </row>
    <row r="727" spans="1:8" x14ac:dyDescent="0.25">
      <c r="E727" t="str">
        <f>"1534"</f>
        <v>1534</v>
      </c>
      <c r="F727" t="str">
        <f>"CARPET CLEANING/JUDGE OFFICE"</f>
        <v>CARPET CLEANING/JUDGE OFFICE</v>
      </c>
      <c r="G727" s="4">
        <v>888</v>
      </c>
      <c r="H727" t="str">
        <f>"CARPET CLEANING/JUDGE OFFICE"</f>
        <v>CARPET CLEANING/JUDGE OFFICE</v>
      </c>
    </row>
    <row r="728" spans="1:8" x14ac:dyDescent="0.25">
      <c r="A728" t="s">
        <v>208</v>
      </c>
      <c r="B728">
        <v>2960</v>
      </c>
      <c r="C728">
        <v>240</v>
      </c>
      <c r="D728" s="1">
        <v>44054</v>
      </c>
      <c r="E728" t="str">
        <f>"202007298041"</f>
        <v>202007298041</v>
      </c>
      <c r="F728" t="str">
        <f>"STATE BAR DUES REIMBURSEMENT"</f>
        <v>STATE BAR DUES REIMBURSEMENT</v>
      </c>
      <c r="G728" s="4">
        <v>240</v>
      </c>
      <c r="H728" t="str">
        <f>"STATE BAR DUES REIMBURSEMENT"</f>
        <v>STATE BAR DUES REIMBURSEMENT</v>
      </c>
    </row>
    <row r="729" spans="1:8" x14ac:dyDescent="0.25">
      <c r="A729" t="s">
        <v>209</v>
      </c>
      <c r="B729">
        <v>3024</v>
      </c>
      <c r="C729">
        <v>145</v>
      </c>
      <c r="D729" s="1">
        <v>44068</v>
      </c>
      <c r="E729" t="str">
        <f>"202008128323"</f>
        <v>202008128323</v>
      </c>
      <c r="F729" t="str">
        <f>"REIMBURSE REGISTRATION FEE"</f>
        <v>REIMBURSE REGISTRATION FEE</v>
      </c>
      <c r="G729" s="4">
        <v>145</v>
      </c>
      <c r="H729" t="str">
        <f>"REIMBURSE REGISTRATION FEE"</f>
        <v>REIMBURSE REGISTRATION FEE</v>
      </c>
    </row>
    <row r="730" spans="1:8" x14ac:dyDescent="0.25">
      <c r="A730" t="s">
        <v>210</v>
      </c>
      <c r="B730">
        <v>132790</v>
      </c>
      <c r="C730">
        <v>350.81</v>
      </c>
      <c r="D730" s="1">
        <v>44067</v>
      </c>
      <c r="E730" t="str">
        <f>"202008178383"</f>
        <v>202008178383</v>
      </c>
      <c r="F730" t="str">
        <f>"INDIGENT HEALTH"</f>
        <v>INDIGENT HEALTH</v>
      </c>
      <c r="G730" s="4">
        <v>350.81</v>
      </c>
      <c r="H730" t="str">
        <f>"INDIGENT HEALTH"</f>
        <v>INDIGENT HEALTH</v>
      </c>
    </row>
    <row r="731" spans="1:8" x14ac:dyDescent="0.25">
      <c r="A731" t="s">
        <v>211</v>
      </c>
      <c r="B731">
        <v>2947</v>
      </c>
      <c r="C731">
        <v>2112.5</v>
      </c>
      <c r="D731" s="1">
        <v>44054</v>
      </c>
      <c r="E731" t="str">
        <f>"202008058122"</f>
        <v>202008058122</v>
      </c>
      <c r="F731" t="str">
        <f>"20-20056"</f>
        <v>20-20056</v>
      </c>
      <c r="G731" s="4">
        <v>1162.5</v>
      </c>
      <c r="H731" t="str">
        <f>"20-20056"</f>
        <v>20-20056</v>
      </c>
    </row>
    <row r="732" spans="1:8" x14ac:dyDescent="0.25">
      <c r="E732" t="str">
        <f>"202008058123"</f>
        <v>202008058123</v>
      </c>
      <c r="F732" t="str">
        <f>"20-20303"</f>
        <v>20-20303</v>
      </c>
      <c r="G732" s="4">
        <v>575</v>
      </c>
      <c r="H732" t="str">
        <f>"20-20303"</f>
        <v>20-20303</v>
      </c>
    </row>
    <row r="733" spans="1:8" x14ac:dyDescent="0.25">
      <c r="E733" t="str">
        <f>"202008058183"</f>
        <v>202008058183</v>
      </c>
      <c r="F733" t="str">
        <f>"304142020A"</f>
        <v>304142020A</v>
      </c>
      <c r="G733" s="4">
        <v>125</v>
      </c>
      <c r="H733" t="str">
        <f>"304142020A"</f>
        <v>304142020A</v>
      </c>
    </row>
    <row r="734" spans="1:8" x14ac:dyDescent="0.25">
      <c r="E734" t="str">
        <f>"202008058184"</f>
        <v>202008058184</v>
      </c>
      <c r="F734" t="str">
        <f>"57 498"</f>
        <v>57 498</v>
      </c>
      <c r="G734" s="4">
        <v>250</v>
      </c>
      <c r="H734" t="str">
        <f>"57 498"</f>
        <v>57 498</v>
      </c>
    </row>
    <row r="735" spans="1:8" x14ac:dyDescent="0.25">
      <c r="A735" t="s">
        <v>212</v>
      </c>
      <c r="B735">
        <v>132791</v>
      </c>
      <c r="C735">
        <v>306.48</v>
      </c>
      <c r="D735" s="1">
        <v>44067</v>
      </c>
      <c r="E735" t="str">
        <f>"22071397"</f>
        <v>22071397</v>
      </c>
      <c r="F735" t="str">
        <f>"ACCT#41472/PCT#1"</f>
        <v>ACCT#41472/PCT#1</v>
      </c>
      <c r="G735" s="4">
        <v>28.23</v>
      </c>
      <c r="H735" t="str">
        <f>"ACCT#41472/PCT#1"</f>
        <v>ACCT#41472/PCT#1</v>
      </c>
    </row>
    <row r="736" spans="1:8" x14ac:dyDescent="0.25">
      <c r="E736" t="str">
        <f>"22071474"</f>
        <v>22071474</v>
      </c>
      <c r="F736" t="str">
        <f>"ACCT#45057/PCT#4"</f>
        <v>ACCT#45057/PCT#4</v>
      </c>
      <c r="G736" s="4">
        <v>51.73</v>
      </c>
      <c r="H736" t="str">
        <f>"ACCT#45057/PCT#4"</f>
        <v>ACCT#45057/PCT#4</v>
      </c>
    </row>
    <row r="737" spans="1:8" x14ac:dyDescent="0.25">
      <c r="E737" t="str">
        <f>"22071527"</f>
        <v>22071527</v>
      </c>
      <c r="F737" t="str">
        <f>"INV 22071527"</f>
        <v>INV 22071527</v>
      </c>
      <c r="G737" s="4">
        <v>61.52</v>
      </c>
      <c r="H737" t="str">
        <f>"INV 22071527"</f>
        <v>INV 22071527</v>
      </c>
    </row>
    <row r="738" spans="1:8" x14ac:dyDescent="0.25">
      <c r="E738" t="str">
        <f>"22078919"</f>
        <v>22078919</v>
      </c>
      <c r="F738" t="str">
        <f>"ACCT#S9549/PCT#1"</f>
        <v>ACCT#S9549/PCT#1</v>
      </c>
      <c r="G738" s="4">
        <v>165</v>
      </c>
      <c r="H738" t="str">
        <f>"ACCT#S9549/PCT#1"</f>
        <v>ACCT#S9549/PCT#1</v>
      </c>
    </row>
    <row r="739" spans="1:8" x14ac:dyDescent="0.25">
      <c r="A739" t="s">
        <v>213</v>
      </c>
      <c r="B739">
        <v>3054</v>
      </c>
      <c r="C739">
        <v>259.44</v>
      </c>
      <c r="D739" s="1">
        <v>44068</v>
      </c>
      <c r="E739" t="str">
        <f>"693422"</f>
        <v>693422</v>
      </c>
      <c r="F739" t="str">
        <f>"ACCT#0900-98011130-001/PCT#3"</f>
        <v>ACCT#0900-98011130-001/PCT#3</v>
      </c>
      <c r="G739" s="4">
        <v>259.44</v>
      </c>
      <c r="H739" t="str">
        <f>"ACCT#0900-98011130-001/PCT#3"</f>
        <v>ACCT#0900-98011130-001/PCT#3</v>
      </c>
    </row>
    <row r="740" spans="1:8" x14ac:dyDescent="0.25">
      <c r="A740" t="s">
        <v>214</v>
      </c>
      <c r="B740">
        <v>132654</v>
      </c>
      <c r="C740">
        <v>2454</v>
      </c>
      <c r="D740" s="1">
        <v>44053</v>
      </c>
      <c r="E740" t="s">
        <v>215</v>
      </c>
      <c r="F740" t="str">
        <f>"ABST FEE"</f>
        <v>ABST FEE</v>
      </c>
      <c r="G740" s="4">
        <v>149</v>
      </c>
      <c r="H740" t="str">
        <f>"ABST FEE"</f>
        <v>ABST FEE</v>
      </c>
    </row>
    <row r="741" spans="1:8" x14ac:dyDescent="0.25">
      <c r="E741" t="str">
        <f>"12679"</f>
        <v>12679</v>
      </c>
      <c r="F741" t="str">
        <f t="shared" ref="F741:F750" si="7">"ABST FEE"</f>
        <v>ABST FEE</v>
      </c>
      <c r="G741" s="4">
        <v>225</v>
      </c>
      <c r="H741" t="str">
        <f t="shared" ref="H741:H750" si="8">"ABST FEE"</f>
        <v>ABST FEE</v>
      </c>
    </row>
    <row r="742" spans="1:8" x14ac:dyDescent="0.25">
      <c r="E742" t="str">
        <f>"12967"</f>
        <v>12967</v>
      </c>
      <c r="F742" t="str">
        <f t="shared" si="7"/>
        <v>ABST FEE</v>
      </c>
      <c r="G742" s="4">
        <v>225</v>
      </c>
      <c r="H742" t="str">
        <f t="shared" si="8"/>
        <v>ABST FEE</v>
      </c>
    </row>
    <row r="743" spans="1:8" x14ac:dyDescent="0.25">
      <c r="E743" t="str">
        <f>"13003"</f>
        <v>13003</v>
      </c>
      <c r="F743" t="str">
        <f t="shared" si="7"/>
        <v>ABST FEE</v>
      </c>
      <c r="G743" s="4">
        <v>280</v>
      </c>
      <c r="H743" t="str">
        <f t="shared" si="8"/>
        <v>ABST FEE</v>
      </c>
    </row>
    <row r="744" spans="1:8" x14ac:dyDescent="0.25">
      <c r="E744" t="str">
        <f>"13060"</f>
        <v>13060</v>
      </c>
      <c r="F744" t="str">
        <f t="shared" si="7"/>
        <v>ABST FEE</v>
      </c>
      <c r="G744" s="4">
        <v>225</v>
      </c>
      <c r="H744" t="str">
        <f t="shared" si="8"/>
        <v>ABST FEE</v>
      </c>
    </row>
    <row r="745" spans="1:8" x14ac:dyDescent="0.25">
      <c r="E745" t="str">
        <f>"13344"</f>
        <v>13344</v>
      </c>
      <c r="F745" t="str">
        <f t="shared" si="7"/>
        <v>ABST FEE</v>
      </c>
      <c r="G745" s="4">
        <v>225</v>
      </c>
      <c r="H745" t="str">
        <f t="shared" si="8"/>
        <v>ABST FEE</v>
      </c>
    </row>
    <row r="746" spans="1:8" x14ac:dyDescent="0.25">
      <c r="E746" t="str">
        <f>"13368"</f>
        <v>13368</v>
      </c>
      <c r="F746" t="str">
        <f t="shared" si="7"/>
        <v>ABST FEE</v>
      </c>
      <c r="G746" s="4">
        <v>225</v>
      </c>
      <c r="H746" t="str">
        <f t="shared" si="8"/>
        <v>ABST FEE</v>
      </c>
    </row>
    <row r="747" spans="1:8" x14ac:dyDescent="0.25">
      <c r="E747" t="str">
        <f>"13381"</f>
        <v>13381</v>
      </c>
      <c r="F747" t="str">
        <f t="shared" si="7"/>
        <v>ABST FEE</v>
      </c>
      <c r="G747" s="4">
        <v>225</v>
      </c>
      <c r="H747" t="str">
        <f t="shared" si="8"/>
        <v>ABST FEE</v>
      </c>
    </row>
    <row r="748" spans="1:8" x14ac:dyDescent="0.25">
      <c r="E748" t="str">
        <f>"13436"</f>
        <v>13436</v>
      </c>
      <c r="F748" t="str">
        <f t="shared" si="7"/>
        <v>ABST FEE</v>
      </c>
      <c r="G748" s="4">
        <v>225</v>
      </c>
      <c r="H748" t="str">
        <f t="shared" si="8"/>
        <v>ABST FEE</v>
      </c>
    </row>
    <row r="749" spans="1:8" x14ac:dyDescent="0.25">
      <c r="E749" t="str">
        <f>"13461"</f>
        <v>13461</v>
      </c>
      <c r="F749" t="str">
        <f t="shared" si="7"/>
        <v>ABST FEE</v>
      </c>
      <c r="G749" s="4">
        <v>225</v>
      </c>
      <c r="H749" t="str">
        <f t="shared" si="8"/>
        <v>ABST FEE</v>
      </c>
    </row>
    <row r="750" spans="1:8" x14ac:dyDescent="0.25">
      <c r="E750" t="str">
        <f>"13477"</f>
        <v>13477</v>
      </c>
      <c r="F750" t="str">
        <f t="shared" si="7"/>
        <v>ABST FEE</v>
      </c>
      <c r="G750" s="4">
        <v>225</v>
      </c>
      <c r="H750" t="str">
        <f t="shared" si="8"/>
        <v>ABST FEE</v>
      </c>
    </row>
    <row r="751" spans="1:8" x14ac:dyDescent="0.25">
      <c r="A751" t="s">
        <v>214</v>
      </c>
      <c r="B751">
        <v>132792</v>
      </c>
      <c r="C751">
        <v>36904.239999999998</v>
      </c>
      <c r="D751" s="1">
        <v>44067</v>
      </c>
      <c r="E751" t="s">
        <v>216</v>
      </c>
      <c r="F751" t="str">
        <f>"SERVICE"</f>
        <v>SERVICE</v>
      </c>
      <c r="G751" s="4">
        <v>50</v>
      </c>
      <c r="H751" t="str">
        <f>"SERVICE"</f>
        <v>SERVICE</v>
      </c>
    </row>
    <row r="752" spans="1:8" x14ac:dyDescent="0.25">
      <c r="E752" t="str">
        <f>"12195"</f>
        <v>12195</v>
      </c>
      <c r="F752" t="str">
        <f>"ABST FEE-$175 / SERVICE-$165"</f>
        <v>ABST FEE-$175 / SERVICE-$165</v>
      </c>
      <c r="G752" s="4">
        <v>340</v>
      </c>
      <c r="H752" t="str">
        <f>"ABST FEE-$175 / SERVICE-$165"</f>
        <v>ABST FEE-$175 / SERVICE-$165</v>
      </c>
    </row>
    <row r="753" spans="1:8" x14ac:dyDescent="0.25">
      <c r="E753" t="str">
        <f>"12283"</f>
        <v>12283</v>
      </c>
      <c r="F753" t="str">
        <f t="shared" ref="F753:F761" si="9">"ABST FEE"</f>
        <v>ABST FEE</v>
      </c>
      <c r="G753" s="4">
        <v>175</v>
      </c>
      <c r="H753" t="str">
        <f t="shared" ref="H753:H761" si="10">"ABST FEE"</f>
        <v>ABST FEE</v>
      </c>
    </row>
    <row r="754" spans="1:8" x14ac:dyDescent="0.25">
      <c r="E754" t="str">
        <f>"12395"</f>
        <v>12395</v>
      </c>
      <c r="F754" t="str">
        <f t="shared" si="9"/>
        <v>ABST FEE</v>
      </c>
      <c r="G754" s="4">
        <v>175</v>
      </c>
      <c r="H754" t="str">
        <f t="shared" si="10"/>
        <v>ABST FEE</v>
      </c>
    </row>
    <row r="755" spans="1:8" x14ac:dyDescent="0.25">
      <c r="E755" t="str">
        <f>"12435"</f>
        <v>12435</v>
      </c>
      <c r="F755" t="str">
        <f t="shared" si="9"/>
        <v>ABST FEE</v>
      </c>
      <c r="G755" s="4">
        <v>175</v>
      </c>
      <c r="H755" t="str">
        <f t="shared" si="10"/>
        <v>ABST FEE</v>
      </c>
    </row>
    <row r="756" spans="1:8" x14ac:dyDescent="0.25">
      <c r="E756" t="str">
        <f>"13265"</f>
        <v>13265</v>
      </c>
      <c r="F756" t="str">
        <f t="shared" si="9"/>
        <v>ABST FEE</v>
      </c>
      <c r="G756" s="4">
        <v>225</v>
      </c>
      <c r="H756" t="str">
        <f t="shared" si="10"/>
        <v>ABST FEE</v>
      </c>
    </row>
    <row r="757" spans="1:8" x14ac:dyDescent="0.25">
      <c r="E757" t="str">
        <f>"13311"</f>
        <v>13311</v>
      </c>
      <c r="F757" t="str">
        <f t="shared" si="9"/>
        <v>ABST FEE</v>
      </c>
      <c r="G757" s="4">
        <v>65</v>
      </c>
      <c r="H757" t="str">
        <f t="shared" si="10"/>
        <v>ABST FEE</v>
      </c>
    </row>
    <row r="758" spans="1:8" x14ac:dyDescent="0.25">
      <c r="E758" t="str">
        <f>"13433"</f>
        <v>13433</v>
      </c>
      <c r="F758" t="str">
        <f t="shared" si="9"/>
        <v>ABST FEE</v>
      </c>
      <c r="G758" s="4">
        <v>225</v>
      </c>
      <c r="H758" t="str">
        <f t="shared" si="10"/>
        <v>ABST FEE</v>
      </c>
    </row>
    <row r="759" spans="1:8" x14ac:dyDescent="0.25">
      <c r="E759" t="str">
        <f>"13485"</f>
        <v>13485</v>
      </c>
      <c r="F759" t="str">
        <f t="shared" si="9"/>
        <v>ABST FEE</v>
      </c>
      <c r="G759" s="4">
        <v>225</v>
      </c>
      <c r="H759" t="str">
        <f t="shared" si="10"/>
        <v>ABST FEE</v>
      </c>
    </row>
    <row r="760" spans="1:8" x14ac:dyDescent="0.25">
      <c r="E760" t="str">
        <f>"13491"</f>
        <v>13491</v>
      </c>
      <c r="F760" t="str">
        <f t="shared" si="9"/>
        <v>ABST FEE</v>
      </c>
      <c r="G760" s="4">
        <v>225</v>
      </c>
      <c r="H760" t="str">
        <f t="shared" si="10"/>
        <v>ABST FEE</v>
      </c>
    </row>
    <row r="761" spans="1:8" x14ac:dyDescent="0.25">
      <c r="E761" t="str">
        <f>"13494"</f>
        <v>13494</v>
      </c>
      <c r="F761" t="str">
        <f t="shared" si="9"/>
        <v>ABST FEE</v>
      </c>
      <c r="G761" s="4">
        <v>225</v>
      </c>
      <c r="H761" t="str">
        <f t="shared" si="10"/>
        <v>ABST FEE</v>
      </c>
    </row>
    <row r="762" spans="1:8" x14ac:dyDescent="0.25">
      <c r="E762" t="str">
        <f>"202008128319"</f>
        <v>202008128319</v>
      </c>
      <c r="F762" t="str">
        <f>"ATTORNEY FEES - JULY 2020"</f>
        <v>ATTORNEY FEES - JULY 2020</v>
      </c>
      <c r="G762" s="4">
        <v>34799.24</v>
      </c>
      <c r="H762" t="str">
        <f>"ATTORNEY FEES - JULY 2020"</f>
        <v>ATTORNEY FEES - JULY 2020</v>
      </c>
    </row>
    <row r="763" spans="1:8" x14ac:dyDescent="0.25">
      <c r="A763" t="s">
        <v>217</v>
      </c>
      <c r="B763">
        <v>132793</v>
      </c>
      <c r="C763">
        <v>801.66</v>
      </c>
      <c r="D763" s="1">
        <v>44067</v>
      </c>
      <c r="E763" t="str">
        <f>"07485226 07501633"</f>
        <v>07485226 07501633</v>
      </c>
      <c r="F763" t="str">
        <f>"INV 07485226"</f>
        <v>INV 07485226</v>
      </c>
      <c r="G763" s="4">
        <v>801.66</v>
      </c>
      <c r="H763" t="str">
        <f>"INV 07485226"</f>
        <v>INV 07485226</v>
      </c>
    </row>
    <row r="764" spans="1:8" x14ac:dyDescent="0.25">
      <c r="E764" t="str">
        <f>""</f>
        <v/>
      </c>
      <c r="F764" t="str">
        <f>""</f>
        <v/>
      </c>
      <c r="H764" t="str">
        <f>"INV 07501633"</f>
        <v>INV 07501633</v>
      </c>
    </row>
    <row r="765" spans="1:8" x14ac:dyDescent="0.25">
      <c r="E765" t="str">
        <f>""</f>
        <v/>
      </c>
      <c r="F765" t="str">
        <f>""</f>
        <v/>
      </c>
      <c r="H765" t="str">
        <f>"INV 07543811"</f>
        <v>INV 07543811</v>
      </c>
    </row>
    <row r="766" spans="1:8" x14ac:dyDescent="0.25">
      <c r="E766" t="str">
        <f>""</f>
        <v/>
      </c>
      <c r="F766" t="str">
        <f>""</f>
        <v/>
      </c>
      <c r="H766" t="str">
        <f>"INV 07838543"</f>
        <v>INV 07838543</v>
      </c>
    </row>
    <row r="767" spans="1:8" x14ac:dyDescent="0.25">
      <c r="A767" t="s">
        <v>218</v>
      </c>
      <c r="B767">
        <v>132794</v>
      </c>
      <c r="C767">
        <v>1035.6600000000001</v>
      </c>
      <c r="D767" s="1">
        <v>44067</v>
      </c>
      <c r="E767" t="str">
        <f>"202008178384"</f>
        <v>202008178384</v>
      </c>
      <c r="F767" t="str">
        <f>"INDIGENT HEALTH"</f>
        <v>INDIGENT HEALTH</v>
      </c>
      <c r="G767" s="4">
        <v>1035.6600000000001</v>
      </c>
      <c r="H767" t="str">
        <f>"INDIGENT HEALTH"</f>
        <v>INDIGENT HEALTH</v>
      </c>
    </row>
    <row r="768" spans="1:8" x14ac:dyDescent="0.25">
      <c r="E768" t="str">
        <f>""</f>
        <v/>
      </c>
      <c r="F768" t="str">
        <f>""</f>
        <v/>
      </c>
      <c r="H768" t="str">
        <f>"INDIGENT HEALTH"</f>
        <v>INDIGENT HEALTH</v>
      </c>
    </row>
    <row r="769" spans="1:8" x14ac:dyDescent="0.25">
      <c r="A769" t="s">
        <v>219</v>
      </c>
      <c r="B769">
        <v>3039</v>
      </c>
      <c r="C769">
        <v>487.16</v>
      </c>
      <c r="D769" s="1">
        <v>44068</v>
      </c>
      <c r="E769" t="str">
        <f>"202008188407"</f>
        <v>202008188407</v>
      </c>
      <c r="F769" t="str">
        <f>"MILEAGE REIMBURSEMENT"</f>
        <v>MILEAGE REIMBURSEMENT</v>
      </c>
      <c r="G769" s="4">
        <v>231.73</v>
      </c>
      <c r="H769" t="str">
        <f>"MILEAGE REIMBURSEMENT"</f>
        <v>MILEAGE REIMBURSEMENT</v>
      </c>
    </row>
    <row r="770" spans="1:8" x14ac:dyDescent="0.25">
      <c r="E770" t="str">
        <f>"202008188408"</f>
        <v>202008188408</v>
      </c>
      <c r="F770" t="str">
        <f>"REIMBURSE MEALS/HOTEL"</f>
        <v>REIMBURSE MEALS/HOTEL</v>
      </c>
      <c r="G770" s="4">
        <v>255.43</v>
      </c>
      <c r="H770" t="str">
        <f>"REIMBURSE MEALS/HOTEL"</f>
        <v>REIMBURSE MEALS/HOTEL</v>
      </c>
    </row>
    <row r="771" spans="1:8" x14ac:dyDescent="0.25">
      <c r="A771" t="s">
        <v>220</v>
      </c>
      <c r="B771">
        <v>3055</v>
      </c>
      <c r="C771">
        <v>100</v>
      </c>
      <c r="D771" s="1">
        <v>44068</v>
      </c>
      <c r="E771" t="str">
        <f>"20-026"</f>
        <v>20-026</v>
      </c>
      <c r="F771" t="str">
        <f>"E-FILE CONFERENCE 423-7308"</f>
        <v>E-FILE CONFERENCE 423-7308</v>
      </c>
      <c r="G771" s="4">
        <v>100</v>
      </c>
      <c r="H771" t="str">
        <f>"E-FILE CONFERENCE 423-7308"</f>
        <v>E-FILE CONFERENCE 423-7308</v>
      </c>
    </row>
    <row r="772" spans="1:8" x14ac:dyDescent="0.25">
      <c r="A772" t="s">
        <v>221</v>
      </c>
      <c r="B772">
        <v>132655</v>
      </c>
      <c r="C772">
        <v>100</v>
      </c>
      <c r="D772" s="1">
        <v>44053</v>
      </c>
      <c r="E772" t="str">
        <f>"12967"</f>
        <v>12967</v>
      </c>
      <c r="F772" t="str">
        <f>"SERVICE"</f>
        <v>SERVICE</v>
      </c>
      <c r="G772" s="4">
        <v>100</v>
      </c>
      <c r="H772" t="str">
        <f>"SERVICE"</f>
        <v>SERVICE</v>
      </c>
    </row>
    <row r="773" spans="1:8" x14ac:dyDescent="0.25">
      <c r="A773" t="s">
        <v>222</v>
      </c>
      <c r="B773">
        <v>2939</v>
      </c>
      <c r="C773">
        <v>2225.85</v>
      </c>
      <c r="D773" s="1">
        <v>44054</v>
      </c>
      <c r="E773" t="str">
        <f>"22306"</f>
        <v>22306</v>
      </c>
      <c r="F773" t="str">
        <f t="shared" ref="F773:F778" si="11">"FREIGHT SALES/PCT#2"</f>
        <v>FREIGHT SALES/PCT#2</v>
      </c>
      <c r="G773" s="4">
        <v>831.55</v>
      </c>
      <c r="H773" t="str">
        <f t="shared" ref="H773:H778" si="12">"FREIGHT SALES/PCT#2"</f>
        <v>FREIGHT SALES/PCT#2</v>
      </c>
    </row>
    <row r="774" spans="1:8" x14ac:dyDescent="0.25">
      <c r="E774" t="str">
        <f>"22589"</f>
        <v>22589</v>
      </c>
      <c r="F774" t="str">
        <f t="shared" si="11"/>
        <v>FREIGHT SALES/PCT#2</v>
      </c>
      <c r="G774" s="4">
        <v>434.05</v>
      </c>
      <c r="H774" t="str">
        <f t="shared" si="12"/>
        <v>FREIGHT SALES/PCT#2</v>
      </c>
    </row>
    <row r="775" spans="1:8" x14ac:dyDescent="0.25">
      <c r="E775" t="str">
        <f>"22621"</f>
        <v>22621</v>
      </c>
      <c r="F775" t="str">
        <f t="shared" si="11"/>
        <v>FREIGHT SALES/PCT#2</v>
      </c>
      <c r="G775" s="4">
        <v>603.45000000000005</v>
      </c>
      <c r="H775" t="str">
        <f t="shared" si="12"/>
        <v>FREIGHT SALES/PCT#2</v>
      </c>
    </row>
    <row r="776" spans="1:8" x14ac:dyDescent="0.25">
      <c r="E776" t="str">
        <f>"22685"</f>
        <v>22685</v>
      </c>
      <c r="F776" t="str">
        <f t="shared" si="11"/>
        <v>FREIGHT SALES/PCT#2</v>
      </c>
      <c r="G776" s="4">
        <v>356.8</v>
      </c>
      <c r="H776" t="str">
        <f t="shared" si="12"/>
        <v>FREIGHT SALES/PCT#2</v>
      </c>
    </row>
    <row r="777" spans="1:8" x14ac:dyDescent="0.25">
      <c r="A777" t="s">
        <v>222</v>
      </c>
      <c r="B777">
        <v>3010</v>
      </c>
      <c r="C777">
        <v>2329.9</v>
      </c>
      <c r="D777" s="1">
        <v>44068</v>
      </c>
      <c r="E777" t="str">
        <f>"22714"</f>
        <v>22714</v>
      </c>
      <c r="F777" t="str">
        <f t="shared" si="11"/>
        <v>FREIGHT SALES/PCT#2</v>
      </c>
      <c r="G777" s="4">
        <v>1129.75</v>
      </c>
      <c r="H777" t="str">
        <f t="shared" si="12"/>
        <v>FREIGHT SALES/PCT#2</v>
      </c>
    </row>
    <row r="778" spans="1:8" x14ac:dyDescent="0.25">
      <c r="E778" t="str">
        <f>"22742"</f>
        <v>22742</v>
      </c>
      <c r="F778" t="str">
        <f t="shared" si="11"/>
        <v>FREIGHT SALES/PCT#2</v>
      </c>
      <c r="G778" s="4">
        <v>1200.1500000000001</v>
      </c>
      <c r="H778" t="str">
        <f t="shared" si="12"/>
        <v>FREIGHT SALES/PCT#2</v>
      </c>
    </row>
    <row r="779" spans="1:8" x14ac:dyDescent="0.25">
      <c r="A779" t="s">
        <v>223</v>
      </c>
      <c r="B779">
        <v>132656</v>
      </c>
      <c r="C779">
        <v>309.39999999999998</v>
      </c>
      <c r="D779" s="1">
        <v>44053</v>
      </c>
      <c r="E779" t="str">
        <f>"2596454"</f>
        <v>2596454</v>
      </c>
      <c r="F779" t="str">
        <f>"CUST#219229/ORD#2714779"</f>
        <v>CUST#219229/ORD#2714779</v>
      </c>
      <c r="G779" s="4">
        <v>309.39999999999998</v>
      </c>
      <c r="H779" t="str">
        <f>"CUST#219229/ORD#2714779"</f>
        <v>CUST#219229/ORD#2714779</v>
      </c>
    </row>
    <row r="780" spans="1:8" x14ac:dyDescent="0.25">
      <c r="A780" t="s">
        <v>224</v>
      </c>
      <c r="B780">
        <v>132657</v>
      </c>
      <c r="C780">
        <v>379</v>
      </c>
      <c r="D780" s="1">
        <v>44053</v>
      </c>
      <c r="E780" t="str">
        <f>"STDINV00107322"</f>
        <v>STDINV00107322</v>
      </c>
      <c r="F780" t="str">
        <f>"INV STDINV00107322"</f>
        <v>INV STDINV00107322</v>
      </c>
      <c r="G780" s="4">
        <v>379</v>
      </c>
      <c r="H780" t="str">
        <f>"INV STDINV00107322"</f>
        <v>INV STDINV00107322</v>
      </c>
    </row>
    <row r="781" spans="1:8" x14ac:dyDescent="0.25">
      <c r="A781" t="s">
        <v>225</v>
      </c>
      <c r="B781">
        <v>132795</v>
      </c>
      <c r="C781">
        <v>75</v>
      </c>
      <c r="D781" s="1">
        <v>44067</v>
      </c>
      <c r="E781" t="str">
        <f>"12195"</f>
        <v>12195</v>
      </c>
      <c r="F781" t="str">
        <f>"SERVICE"</f>
        <v>SERVICE</v>
      </c>
      <c r="G781" s="4">
        <v>75</v>
      </c>
      <c r="H781" t="str">
        <f>"SERVICE"</f>
        <v>SERVICE</v>
      </c>
    </row>
    <row r="782" spans="1:8" x14ac:dyDescent="0.25">
      <c r="A782" t="s">
        <v>226</v>
      </c>
      <c r="B782">
        <v>132658</v>
      </c>
      <c r="C782">
        <v>423.16</v>
      </c>
      <c r="D782" s="1">
        <v>44053</v>
      </c>
      <c r="E782" t="str">
        <f>"16112837"</f>
        <v>16112837</v>
      </c>
      <c r="F782" t="str">
        <f>"noise cancelling headsets"</f>
        <v>noise cancelling headsets</v>
      </c>
      <c r="G782" s="4">
        <v>423.16</v>
      </c>
      <c r="H782" t="str">
        <f>"RMN5150A"</f>
        <v>RMN5150A</v>
      </c>
    </row>
    <row r="783" spans="1:8" x14ac:dyDescent="0.25">
      <c r="A783" t="s">
        <v>226</v>
      </c>
      <c r="B783">
        <v>132796</v>
      </c>
      <c r="C783">
        <v>26413.91</v>
      </c>
      <c r="D783" s="1">
        <v>44067</v>
      </c>
      <c r="E783" t="str">
        <f>"41289431"</f>
        <v>41289431</v>
      </c>
      <c r="F783" t="str">
        <f>"Radios for Animal Shelter"</f>
        <v>Radios for Animal Shelter</v>
      </c>
      <c r="G783" s="4">
        <v>5644.6</v>
      </c>
      <c r="H783" t="str">
        <f>"H51UCF9PW7 N"</f>
        <v>H51UCF9PW7 N</v>
      </c>
    </row>
    <row r="784" spans="1:8" x14ac:dyDescent="0.25">
      <c r="E784" t="str">
        <f>""</f>
        <v/>
      </c>
      <c r="F784" t="str">
        <f>""</f>
        <v/>
      </c>
      <c r="H784" t="str">
        <f>"QA02756"</f>
        <v>QA02756</v>
      </c>
    </row>
    <row r="785" spans="1:8" x14ac:dyDescent="0.25">
      <c r="E785" t="str">
        <f>""</f>
        <v/>
      </c>
      <c r="F785" t="str">
        <f>""</f>
        <v/>
      </c>
      <c r="H785" t="str">
        <f>"G996"</f>
        <v>G996</v>
      </c>
    </row>
    <row r="786" spans="1:8" x14ac:dyDescent="0.25">
      <c r="E786" t="str">
        <f>""</f>
        <v/>
      </c>
      <c r="F786" t="str">
        <f>""</f>
        <v/>
      </c>
      <c r="H786" t="str">
        <f>"QA00580"</f>
        <v>QA00580</v>
      </c>
    </row>
    <row r="787" spans="1:8" x14ac:dyDescent="0.25">
      <c r="E787" t="str">
        <f>""</f>
        <v/>
      </c>
      <c r="F787" t="str">
        <f>""</f>
        <v/>
      </c>
      <c r="H787" t="str">
        <f>"QA01648"</f>
        <v>QA01648</v>
      </c>
    </row>
    <row r="788" spans="1:8" x14ac:dyDescent="0.25">
      <c r="E788" t="str">
        <f>""</f>
        <v/>
      </c>
      <c r="F788" t="str">
        <f>""</f>
        <v/>
      </c>
      <c r="H788" t="str">
        <f>"QA01767"</f>
        <v>QA01767</v>
      </c>
    </row>
    <row r="789" spans="1:8" x14ac:dyDescent="0.25">
      <c r="E789" t="str">
        <f>""</f>
        <v/>
      </c>
      <c r="F789" t="str">
        <f>""</f>
        <v/>
      </c>
      <c r="H789" t="str">
        <f>"QA01833"</f>
        <v>QA01833</v>
      </c>
    </row>
    <row r="790" spans="1:8" x14ac:dyDescent="0.25">
      <c r="E790" t="str">
        <f>""</f>
        <v/>
      </c>
      <c r="F790" t="str">
        <f>""</f>
        <v/>
      </c>
      <c r="H790" t="str">
        <f>"QA09008"</f>
        <v>QA09008</v>
      </c>
    </row>
    <row r="791" spans="1:8" x14ac:dyDescent="0.25">
      <c r="E791" t="str">
        <f>""</f>
        <v/>
      </c>
      <c r="F791" t="str">
        <f>""</f>
        <v/>
      </c>
      <c r="H791" t="str">
        <f>"QA00582"</f>
        <v>QA00582</v>
      </c>
    </row>
    <row r="792" spans="1:8" x14ac:dyDescent="0.25">
      <c r="E792" t="str">
        <f>""</f>
        <v/>
      </c>
      <c r="F792" t="str">
        <f>""</f>
        <v/>
      </c>
      <c r="H792" t="str">
        <f>"Q887"</f>
        <v>Q887</v>
      </c>
    </row>
    <row r="793" spans="1:8" x14ac:dyDescent="0.25">
      <c r="E793" t="str">
        <f>""</f>
        <v/>
      </c>
      <c r="F793" t="str">
        <f>""</f>
        <v/>
      </c>
      <c r="H793" t="str">
        <f>"T7914"</f>
        <v>T7914</v>
      </c>
    </row>
    <row r="794" spans="1:8" x14ac:dyDescent="0.25">
      <c r="E794" t="str">
        <f>""</f>
        <v/>
      </c>
      <c r="F794" t="str">
        <f>""</f>
        <v/>
      </c>
      <c r="H794" t="str">
        <f>"PMMN4062A"</f>
        <v>PMMN4062A</v>
      </c>
    </row>
    <row r="795" spans="1:8" x14ac:dyDescent="0.25">
      <c r="E795" t="str">
        <f>""</f>
        <v/>
      </c>
      <c r="F795" t="str">
        <f>""</f>
        <v/>
      </c>
      <c r="H795" t="str">
        <f>"NNTN8560A"</f>
        <v>NNTN8560A</v>
      </c>
    </row>
    <row r="796" spans="1:8" x14ac:dyDescent="0.25">
      <c r="E796" t="str">
        <f>""</f>
        <v/>
      </c>
      <c r="F796" t="str">
        <f>""</f>
        <v/>
      </c>
      <c r="H796" t="str">
        <f>"PMPN4174"</f>
        <v>PMPN4174</v>
      </c>
    </row>
    <row r="797" spans="1:8" x14ac:dyDescent="0.25">
      <c r="E797" t="str">
        <f>""</f>
        <v/>
      </c>
      <c r="F797" t="str">
        <f>""</f>
        <v/>
      </c>
      <c r="H797" t="str">
        <f>"Discount"</f>
        <v>Discount</v>
      </c>
    </row>
    <row r="798" spans="1:8" x14ac:dyDescent="0.25">
      <c r="E798" t="str">
        <f>"8230281487"</f>
        <v>8230281487</v>
      </c>
      <c r="F798" t="str">
        <f>"ACCT#1036215277/TRANS#82302814"</f>
        <v>ACCT#1036215277/TRANS#82302814</v>
      </c>
      <c r="G798" s="4">
        <v>20769.310000000001</v>
      </c>
      <c r="H798" t="str">
        <f>"ACCT#1036215277/TRANS#82302814"</f>
        <v>ACCT#1036215277/TRANS#82302814</v>
      </c>
    </row>
    <row r="799" spans="1:8" x14ac:dyDescent="0.25">
      <c r="A799" t="s">
        <v>227</v>
      </c>
      <c r="B799">
        <v>132797</v>
      </c>
      <c r="C799">
        <v>606.1</v>
      </c>
      <c r="D799" s="1">
        <v>44067</v>
      </c>
      <c r="E799" t="str">
        <f>"202008178385"</f>
        <v>202008178385</v>
      </c>
      <c r="F799" t="str">
        <f>"INDIGENT HEALTH"</f>
        <v>INDIGENT HEALTH</v>
      </c>
      <c r="G799" s="4">
        <v>606.1</v>
      </c>
      <c r="H799" t="str">
        <f>"INDIGENT HEALTH"</f>
        <v>INDIGENT HEALTH</v>
      </c>
    </row>
    <row r="800" spans="1:8" x14ac:dyDescent="0.25">
      <c r="E800" t="str">
        <f>""</f>
        <v/>
      </c>
      <c r="F800" t="str">
        <f>""</f>
        <v/>
      </c>
      <c r="H800" t="str">
        <f>"INDIGENT HEALTH"</f>
        <v>INDIGENT HEALTH</v>
      </c>
    </row>
    <row r="801" spans="1:8" x14ac:dyDescent="0.25">
      <c r="E801" t="str">
        <f>""</f>
        <v/>
      </c>
      <c r="F801" t="str">
        <f>""</f>
        <v/>
      </c>
      <c r="H801" t="str">
        <f>"INDIGENT HEALTH"</f>
        <v>INDIGENT HEALTH</v>
      </c>
    </row>
    <row r="802" spans="1:8" x14ac:dyDescent="0.25">
      <c r="A802" t="s">
        <v>228</v>
      </c>
      <c r="B802">
        <v>132798</v>
      </c>
      <c r="C802">
        <v>600</v>
      </c>
      <c r="D802" s="1">
        <v>44067</v>
      </c>
      <c r="E802" t="str">
        <f>"202008128337"</f>
        <v>202008128337</v>
      </c>
      <c r="F802" t="str">
        <f>"REIMBURSE BAIL BOND COUPONS"</f>
        <v>REIMBURSE BAIL BOND COUPONS</v>
      </c>
      <c r="G802" s="4">
        <v>600</v>
      </c>
      <c r="H802" t="str">
        <f>"REIMBURSE BAIL BOND COUPONS"</f>
        <v>REIMBURSE BAIL BOND COUPONS</v>
      </c>
    </row>
    <row r="803" spans="1:8" x14ac:dyDescent="0.25">
      <c r="A803" t="s">
        <v>229</v>
      </c>
      <c r="B803">
        <v>3020</v>
      </c>
      <c r="C803">
        <v>471.56</v>
      </c>
      <c r="D803" s="1">
        <v>44068</v>
      </c>
      <c r="E803" t="str">
        <f>"PART5343012"</f>
        <v>PART5343012</v>
      </c>
      <c r="F803" t="str">
        <f>"CUST#1006635/OEM"</f>
        <v>CUST#1006635/OEM</v>
      </c>
      <c r="G803" s="4">
        <v>471.56</v>
      </c>
      <c r="H803" t="str">
        <f>"CUST#1006635/OEM"</f>
        <v>CUST#1006635/OEM</v>
      </c>
    </row>
    <row r="804" spans="1:8" x14ac:dyDescent="0.25">
      <c r="A804" t="s">
        <v>230</v>
      </c>
      <c r="B804">
        <v>132799</v>
      </c>
      <c r="C804">
        <v>902.95</v>
      </c>
      <c r="D804" s="1">
        <v>44067</v>
      </c>
      <c r="E804" t="str">
        <f>"86897928"</f>
        <v>86897928</v>
      </c>
      <c r="F804" t="str">
        <f>"ACCT#150344157/GEN SVCS"</f>
        <v>ACCT#150344157/GEN SVCS</v>
      </c>
      <c r="G804" s="4">
        <v>902.95</v>
      </c>
      <c r="H804" t="str">
        <f>"ACCT#150344157/GEN SVCS"</f>
        <v>ACCT#150344157/GEN SVCS</v>
      </c>
    </row>
    <row r="805" spans="1:8" x14ac:dyDescent="0.25">
      <c r="A805" t="s">
        <v>231</v>
      </c>
      <c r="B805">
        <v>132800</v>
      </c>
      <c r="C805">
        <v>1765</v>
      </c>
      <c r="D805" s="1">
        <v>44067</v>
      </c>
      <c r="E805" t="str">
        <f>"202008188427"</f>
        <v>202008188427</v>
      </c>
      <c r="F805" t="str">
        <f>"JOB 7-30-20-2"</f>
        <v>JOB 7-30-20-2</v>
      </c>
      <c r="G805" s="4">
        <v>1212.5</v>
      </c>
      <c r="H805" t="str">
        <f>"JOB 7-30-20-2"</f>
        <v>JOB 7-30-20-2</v>
      </c>
    </row>
    <row r="806" spans="1:8" x14ac:dyDescent="0.25">
      <c r="E806" t="str">
        <f>"202008188428"</f>
        <v>202008188428</v>
      </c>
      <c r="F806" t="str">
        <f>"JOB 7-28-20-1"</f>
        <v>JOB 7-28-20-1</v>
      </c>
      <c r="G806" s="4">
        <v>382.5</v>
      </c>
      <c r="H806" t="str">
        <f>"JOB 7-28-20-1"</f>
        <v>JOB 7-28-20-1</v>
      </c>
    </row>
    <row r="807" spans="1:8" x14ac:dyDescent="0.25">
      <c r="E807" t="str">
        <f>"202008188429"</f>
        <v>202008188429</v>
      </c>
      <c r="F807" t="str">
        <f>"JOB 7-27-20-01"</f>
        <v>JOB 7-27-20-01</v>
      </c>
      <c r="G807" s="4">
        <v>170</v>
      </c>
      <c r="H807" t="str">
        <f>"JOB 7-27-20-01"</f>
        <v>JOB 7-27-20-01</v>
      </c>
    </row>
    <row r="808" spans="1:8" x14ac:dyDescent="0.25">
      <c r="A808" t="s">
        <v>232</v>
      </c>
      <c r="B808">
        <v>132659</v>
      </c>
      <c r="C808">
        <v>25</v>
      </c>
      <c r="D808" s="1">
        <v>44053</v>
      </c>
      <c r="E808" t="str">
        <f>"3065"</f>
        <v>3065</v>
      </c>
      <c r="F808" t="str">
        <f>"MEMBERSHIP RENEWAL"</f>
        <v>MEMBERSHIP RENEWAL</v>
      </c>
      <c r="G808" s="4">
        <v>25</v>
      </c>
      <c r="H808" t="str">
        <f>"MEMBERSHIP RENEWAL"</f>
        <v>MEMBERSHIP RENEWAL</v>
      </c>
    </row>
    <row r="809" spans="1:8" x14ac:dyDescent="0.25">
      <c r="A809" t="s">
        <v>233</v>
      </c>
      <c r="B809">
        <v>2931</v>
      </c>
      <c r="C809">
        <v>8225.2800000000007</v>
      </c>
      <c r="D809" s="1">
        <v>44054</v>
      </c>
      <c r="E809" t="str">
        <f>"IN0843825 843932"</f>
        <v>IN0843825 843932</v>
      </c>
      <c r="F809" t="str">
        <f>"IN0843825"</f>
        <v>IN0843825</v>
      </c>
      <c r="G809" s="4">
        <v>8225.2800000000007</v>
      </c>
      <c r="H809" t="str">
        <f>"IN0843825"</f>
        <v>IN0843825</v>
      </c>
    </row>
    <row r="810" spans="1:8" x14ac:dyDescent="0.25">
      <c r="E810" t="str">
        <f>""</f>
        <v/>
      </c>
      <c r="F810" t="str">
        <f>""</f>
        <v/>
      </c>
      <c r="H810" t="str">
        <f>"IN0843932"</f>
        <v>IN0843932</v>
      </c>
    </row>
    <row r="811" spans="1:8" x14ac:dyDescent="0.25">
      <c r="A811" t="s">
        <v>233</v>
      </c>
      <c r="B811">
        <v>2997</v>
      </c>
      <c r="C811">
        <v>4241.6000000000004</v>
      </c>
      <c r="D811" s="1">
        <v>44068</v>
      </c>
      <c r="E811" t="str">
        <f>"IN0844469"</f>
        <v>IN0844469</v>
      </c>
      <c r="F811" t="str">
        <f>"IN0844469"</f>
        <v>IN0844469</v>
      </c>
      <c r="G811" s="4">
        <v>4241.6000000000004</v>
      </c>
      <c r="H811" t="str">
        <f>"IN0844469"</f>
        <v>IN0844469</v>
      </c>
    </row>
    <row r="812" spans="1:8" x14ac:dyDescent="0.25">
      <c r="A812" t="s">
        <v>234</v>
      </c>
      <c r="B812">
        <v>132801</v>
      </c>
      <c r="C812">
        <v>5195</v>
      </c>
      <c r="D812" s="1">
        <v>44067</v>
      </c>
      <c r="E812" t="str">
        <f>"11089 11074 73030"</f>
        <v>11089 11074 73030</v>
      </c>
      <c r="F812" t="str">
        <f>"Touchscreens for Tax Offi"</f>
        <v>Touchscreens for Tax Offi</v>
      </c>
      <c r="G812" s="4">
        <v>5195</v>
      </c>
      <c r="H812" t="str">
        <f>"11089"</f>
        <v>11089</v>
      </c>
    </row>
    <row r="813" spans="1:8" x14ac:dyDescent="0.25">
      <c r="E813" t="str">
        <f>""</f>
        <v/>
      </c>
      <c r="F813" t="str">
        <f>""</f>
        <v/>
      </c>
      <c r="H813" t="str">
        <f>"11074"</f>
        <v>11074</v>
      </c>
    </row>
    <row r="814" spans="1:8" x14ac:dyDescent="0.25">
      <c r="E814" t="str">
        <f>""</f>
        <v/>
      </c>
      <c r="F814" t="str">
        <f>""</f>
        <v/>
      </c>
      <c r="H814" t="str">
        <f>"73030"</f>
        <v>73030</v>
      </c>
    </row>
    <row r="815" spans="1:8" x14ac:dyDescent="0.25">
      <c r="E815" t="str">
        <f>""</f>
        <v/>
      </c>
      <c r="F815" t="str">
        <f>""</f>
        <v/>
      </c>
      <c r="H815" t="str">
        <f>"shipping"</f>
        <v>shipping</v>
      </c>
    </row>
    <row r="816" spans="1:8" x14ac:dyDescent="0.25">
      <c r="A816" t="s">
        <v>235</v>
      </c>
      <c r="B816">
        <v>2982</v>
      </c>
      <c r="C816">
        <v>224.8</v>
      </c>
      <c r="D816" s="1">
        <v>44054</v>
      </c>
      <c r="E816" t="str">
        <f>"202008038081"</f>
        <v>202008038081</v>
      </c>
      <c r="F816" t="str">
        <f>"CUST#99088/PCT#4"</f>
        <v>CUST#99088/PCT#4</v>
      </c>
      <c r="G816" s="4">
        <v>224.8</v>
      </c>
      <c r="H816" t="str">
        <f>"CUST#99088/PCT#4"</f>
        <v>CUST#99088/PCT#4</v>
      </c>
    </row>
    <row r="817" spans="1:8" x14ac:dyDescent="0.25">
      <c r="A817" t="s">
        <v>235</v>
      </c>
      <c r="B817">
        <v>3068</v>
      </c>
      <c r="C817">
        <v>195.51</v>
      </c>
      <c r="D817" s="1">
        <v>44068</v>
      </c>
      <c r="E817" t="str">
        <f>"0581-198952"</f>
        <v>0581-198952</v>
      </c>
      <c r="F817" t="str">
        <f>"INV 0581-198952"</f>
        <v>INV 0581-198952</v>
      </c>
      <c r="G817" s="4">
        <v>195.51</v>
      </c>
      <c r="H817" t="str">
        <f>"INV 0581-198952"</f>
        <v>INV 0581-198952</v>
      </c>
    </row>
    <row r="818" spans="1:8" x14ac:dyDescent="0.25">
      <c r="A818" t="s">
        <v>236</v>
      </c>
      <c r="B818">
        <v>132660</v>
      </c>
      <c r="C818">
        <v>675.73</v>
      </c>
      <c r="D818" s="1">
        <v>44053</v>
      </c>
      <c r="E818" t="str">
        <f>"15582255"</f>
        <v>15582255</v>
      </c>
      <c r="F818" t="str">
        <f>"Bill"</f>
        <v>Bill</v>
      </c>
      <c r="G818" s="4">
        <v>675.73</v>
      </c>
      <c r="H818" t="str">
        <f>"108889066001"</f>
        <v>108889066001</v>
      </c>
    </row>
    <row r="819" spans="1:8" x14ac:dyDescent="0.25">
      <c r="E819" t="str">
        <f>""</f>
        <v/>
      </c>
      <c r="F819" t="str">
        <f>""</f>
        <v/>
      </c>
      <c r="H819" t="str">
        <f>"109050059001"</f>
        <v>109050059001</v>
      </c>
    </row>
    <row r="820" spans="1:8" x14ac:dyDescent="0.25">
      <c r="E820" t="str">
        <f>""</f>
        <v/>
      </c>
      <c r="F820" t="str">
        <f>""</f>
        <v/>
      </c>
      <c r="H820" t="str">
        <f>"109053020001"</f>
        <v>109053020001</v>
      </c>
    </row>
    <row r="821" spans="1:8" x14ac:dyDescent="0.25">
      <c r="E821" t="str">
        <f>""</f>
        <v/>
      </c>
      <c r="F821" t="str">
        <f>""</f>
        <v/>
      </c>
      <c r="H821" t="str">
        <f>"107102999001"</f>
        <v>107102999001</v>
      </c>
    </row>
    <row r="822" spans="1:8" x14ac:dyDescent="0.25">
      <c r="E822" t="str">
        <f>""</f>
        <v/>
      </c>
      <c r="F822" t="str">
        <f>""</f>
        <v/>
      </c>
      <c r="H822" t="str">
        <f>"109027293001"</f>
        <v>109027293001</v>
      </c>
    </row>
    <row r="823" spans="1:8" x14ac:dyDescent="0.25">
      <c r="E823" t="str">
        <f>""</f>
        <v/>
      </c>
      <c r="F823" t="str">
        <f>""</f>
        <v/>
      </c>
      <c r="H823" t="str">
        <f>"109064163001"</f>
        <v>109064163001</v>
      </c>
    </row>
    <row r="824" spans="1:8" x14ac:dyDescent="0.25">
      <c r="E824" t="str">
        <f>""</f>
        <v/>
      </c>
      <c r="F824" t="str">
        <f>""</f>
        <v/>
      </c>
      <c r="H824" t="str">
        <f>"106377222001"</f>
        <v>106377222001</v>
      </c>
    </row>
    <row r="825" spans="1:8" x14ac:dyDescent="0.25">
      <c r="E825" t="str">
        <f>""</f>
        <v/>
      </c>
      <c r="F825" t="str">
        <f>""</f>
        <v/>
      </c>
      <c r="H825" t="str">
        <f>"10636796001"</f>
        <v>10636796001</v>
      </c>
    </row>
    <row r="826" spans="1:8" x14ac:dyDescent="0.25">
      <c r="E826" t="str">
        <f>""</f>
        <v/>
      </c>
      <c r="F826" t="str">
        <f>""</f>
        <v/>
      </c>
      <c r="H826" t="str">
        <f>"110537876001"</f>
        <v>110537876001</v>
      </c>
    </row>
    <row r="827" spans="1:8" x14ac:dyDescent="0.25">
      <c r="E827" t="str">
        <f>""</f>
        <v/>
      </c>
      <c r="F827" t="str">
        <f>""</f>
        <v/>
      </c>
      <c r="H827" t="str">
        <f>"110556403001"</f>
        <v>110556403001</v>
      </c>
    </row>
    <row r="828" spans="1:8" x14ac:dyDescent="0.25">
      <c r="A828" t="s">
        <v>237</v>
      </c>
      <c r="B828">
        <v>132661</v>
      </c>
      <c r="C828">
        <v>1836</v>
      </c>
      <c r="D828" s="1">
        <v>44053</v>
      </c>
      <c r="E828" t="str">
        <f>"415001"</f>
        <v>415001</v>
      </c>
      <c r="F828" t="str">
        <f>"inv# 415001"</f>
        <v>inv# 415001</v>
      </c>
      <c r="G828" s="4">
        <v>1836</v>
      </c>
      <c r="H828" t="str">
        <f>"inv# 415001"</f>
        <v>inv# 415001</v>
      </c>
    </row>
    <row r="829" spans="1:8" x14ac:dyDescent="0.25">
      <c r="A829" t="s">
        <v>238</v>
      </c>
      <c r="B829">
        <v>132662</v>
      </c>
      <c r="C829">
        <v>510</v>
      </c>
      <c r="D829" s="1">
        <v>44053</v>
      </c>
      <c r="E829" t="str">
        <f>"287657"</f>
        <v>287657</v>
      </c>
      <c r="F829" t="str">
        <f>"CUST ID:BASCOU/DRUG SCREEN"</f>
        <v>CUST ID:BASCOU/DRUG SCREEN</v>
      </c>
      <c r="G829" s="4">
        <v>510</v>
      </c>
      <c r="H829" t="str">
        <f>"CUST ID:BASCOU/DRUG SCREEN"</f>
        <v>CUST ID:BASCOU/DRUG SCREEN</v>
      </c>
    </row>
    <row r="830" spans="1:8" x14ac:dyDescent="0.25">
      <c r="E830" t="str">
        <f>""</f>
        <v/>
      </c>
      <c r="F830" t="str">
        <f>""</f>
        <v/>
      </c>
      <c r="H830" t="str">
        <f>"CUST ID:BASCOU/DRUG SCREEN"</f>
        <v>CUST ID:BASCOU/DRUG SCREEN</v>
      </c>
    </row>
    <row r="831" spans="1:8" x14ac:dyDescent="0.25">
      <c r="E831" t="str">
        <f>""</f>
        <v/>
      </c>
      <c r="F831" t="str">
        <f>""</f>
        <v/>
      </c>
      <c r="H831" t="str">
        <f>"CUST ID:BASCOU/DRUG SCREEN"</f>
        <v>CUST ID:BASCOU/DRUG SCREEN</v>
      </c>
    </row>
    <row r="832" spans="1:8" x14ac:dyDescent="0.25">
      <c r="E832" t="str">
        <f>""</f>
        <v/>
      </c>
      <c r="F832" t="str">
        <f>""</f>
        <v/>
      </c>
      <c r="H832" t="str">
        <f>"CUST ID:BASCOU/DRUG SCREEN"</f>
        <v>CUST ID:BASCOU/DRUG SCREEN</v>
      </c>
    </row>
    <row r="833" spans="1:8" x14ac:dyDescent="0.25">
      <c r="A833" t="s">
        <v>239</v>
      </c>
      <c r="B833">
        <v>132663</v>
      </c>
      <c r="C833">
        <v>294</v>
      </c>
      <c r="D833" s="1">
        <v>44053</v>
      </c>
      <c r="E833" t="str">
        <f>"1579"</f>
        <v>1579</v>
      </c>
      <c r="F833" t="str">
        <f>"PLUMBING SVCS-104 FOHN RD"</f>
        <v>PLUMBING SVCS-104 FOHN RD</v>
      </c>
      <c r="G833" s="4">
        <v>294</v>
      </c>
      <c r="H833" t="str">
        <f>"PLUMBING SVCS-104 FOHN RD"</f>
        <v>PLUMBING SVCS-104 FOHN RD</v>
      </c>
    </row>
    <row r="834" spans="1:8" x14ac:dyDescent="0.25">
      <c r="A834" t="s">
        <v>240</v>
      </c>
      <c r="B834">
        <v>132802</v>
      </c>
      <c r="C834">
        <v>630</v>
      </c>
      <c r="D834" s="1">
        <v>44067</v>
      </c>
      <c r="E834" t="str">
        <f>"278140"</f>
        <v>278140</v>
      </c>
      <c r="F834" t="str">
        <f>"Sign Shop Materials"</f>
        <v>Sign Shop Materials</v>
      </c>
      <c r="G834" s="4">
        <v>630</v>
      </c>
      <c r="H834" t="str">
        <f>"24 x50yrd Blk YD 3M"</f>
        <v>24 x50yrd Blk YD 3M</v>
      </c>
    </row>
    <row r="835" spans="1:8" x14ac:dyDescent="0.25">
      <c r="E835" t="str">
        <f>""</f>
        <v/>
      </c>
      <c r="F835" t="str">
        <f>""</f>
        <v/>
      </c>
      <c r="H835" t="str">
        <f>"36 x50yrd Blk YD 3M"</f>
        <v>36 x50yrd Blk YD 3M</v>
      </c>
    </row>
    <row r="836" spans="1:8" x14ac:dyDescent="0.25">
      <c r="A836" t="s">
        <v>241</v>
      </c>
      <c r="B836">
        <v>2932</v>
      </c>
      <c r="C836">
        <v>31039.62</v>
      </c>
      <c r="D836" s="1">
        <v>44054</v>
      </c>
      <c r="E836" t="str">
        <f>"20314"</f>
        <v>20314</v>
      </c>
      <c r="F836" t="str">
        <f>"ASPHALT EMULSION/PCT#2"</f>
        <v>ASPHALT EMULSION/PCT#2</v>
      </c>
      <c r="G836" s="4">
        <v>31039.62</v>
      </c>
      <c r="H836" t="str">
        <f>"ASPHALT EMULSION/PCT#2"</f>
        <v>ASPHALT EMULSION/PCT#2</v>
      </c>
    </row>
    <row r="837" spans="1:8" x14ac:dyDescent="0.25">
      <c r="A837" t="s">
        <v>241</v>
      </c>
      <c r="B837">
        <v>2999</v>
      </c>
      <c r="C837">
        <v>114936.35</v>
      </c>
      <c r="D837" s="1">
        <v>44068</v>
      </c>
      <c r="E837" t="str">
        <f>"20349"</f>
        <v>20349</v>
      </c>
      <c r="F837" t="str">
        <f>"ASPHALT EMULSION/PCT#2"</f>
        <v>ASPHALT EMULSION/PCT#2</v>
      </c>
      <c r="G837" s="4">
        <v>46838.27</v>
      </c>
      <c r="H837" t="str">
        <f>"ASPHALT EMULSION/PCT#2"</f>
        <v>ASPHALT EMULSION/PCT#2</v>
      </c>
    </row>
    <row r="838" spans="1:8" x14ac:dyDescent="0.25">
      <c r="E838" t="str">
        <f>"20367"</f>
        <v>20367</v>
      </c>
      <c r="F838" t="str">
        <f>"CHIP SEAL ASPHALT EMULSION/P2"</f>
        <v>CHIP SEAL ASPHALT EMULSION/P2</v>
      </c>
      <c r="G838" s="4">
        <v>33706.400000000001</v>
      </c>
      <c r="H838" t="str">
        <f>"CHIP SEAL ASPHALT EMULSION/P2"</f>
        <v>CHIP SEAL ASPHALT EMULSION/P2</v>
      </c>
    </row>
    <row r="839" spans="1:8" x14ac:dyDescent="0.25">
      <c r="E839" t="str">
        <f>"20373"</f>
        <v>20373</v>
      </c>
      <c r="F839" t="str">
        <f>"CHIP SEAL ASPHALT EMULSIONS/P2"</f>
        <v>CHIP SEAL ASPHALT EMULSIONS/P2</v>
      </c>
      <c r="G839" s="4">
        <v>34391.68</v>
      </c>
      <c r="H839" t="str">
        <f>"CHIP SEAL ASPHALT EMULSIONS/P2"</f>
        <v>CHIP SEAL ASPHALT EMULSIONS/P2</v>
      </c>
    </row>
    <row r="840" spans="1:8" x14ac:dyDescent="0.25">
      <c r="A840" t="s">
        <v>242</v>
      </c>
      <c r="B840">
        <v>132803</v>
      </c>
      <c r="C840">
        <v>232.06</v>
      </c>
      <c r="D840" s="1">
        <v>44067</v>
      </c>
      <c r="E840" t="str">
        <f>"77224"</f>
        <v>77224</v>
      </c>
      <c r="F840" t="str">
        <f>"WING SKID SHOE/SHIPPING/PCT#2"</f>
        <v>WING SKID SHOE/SHIPPING/PCT#2</v>
      </c>
      <c r="G840" s="4">
        <v>232.06</v>
      </c>
      <c r="H840" t="str">
        <f>"WING SKID SHOE/SHIPPING/PCT#2"</f>
        <v>WING SKID SHOE/SHIPPING/PCT#2</v>
      </c>
    </row>
    <row r="841" spans="1:8" x14ac:dyDescent="0.25">
      <c r="A841" t="s">
        <v>243</v>
      </c>
      <c r="B841">
        <v>132804</v>
      </c>
      <c r="C841">
        <v>145</v>
      </c>
      <c r="D841" s="1">
        <v>44067</v>
      </c>
      <c r="E841" t="str">
        <f>"0000052537"</f>
        <v>0000052537</v>
      </c>
      <c r="F841" t="str">
        <f>"INV 0000052537"</f>
        <v>INV 0000052537</v>
      </c>
      <c r="G841" s="4">
        <v>145</v>
      </c>
      <c r="H841" t="str">
        <f>"INV 0000052537"</f>
        <v>INV 0000052537</v>
      </c>
    </row>
    <row r="842" spans="1:8" x14ac:dyDescent="0.25">
      <c r="A842" t="s">
        <v>244</v>
      </c>
      <c r="B842">
        <v>132805</v>
      </c>
      <c r="C842">
        <v>3328.84</v>
      </c>
      <c r="D842" s="1">
        <v>44067</v>
      </c>
      <c r="E842" t="str">
        <f>"202008128327"</f>
        <v>202008128327</v>
      </c>
      <c r="F842" t="str">
        <f>"ACCT#0200140783"</f>
        <v>ACCT#0200140783</v>
      </c>
      <c r="G842" s="4">
        <v>3328.84</v>
      </c>
      <c r="H842" t="str">
        <f>"ACCT#0200140783"</f>
        <v>ACCT#0200140783</v>
      </c>
    </row>
    <row r="843" spans="1:8" x14ac:dyDescent="0.25">
      <c r="E843" t="str">
        <f>""</f>
        <v/>
      </c>
      <c r="F843" t="str">
        <f>""</f>
        <v/>
      </c>
      <c r="H843" t="str">
        <f>"ACCT#0200140783"</f>
        <v>ACCT#0200140783</v>
      </c>
    </row>
    <row r="844" spans="1:8" x14ac:dyDescent="0.25">
      <c r="E844" t="str">
        <f>""</f>
        <v/>
      </c>
      <c r="F844" t="str">
        <f>""</f>
        <v/>
      </c>
      <c r="H844" t="str">
        <f>"ACCT#0200140783"</f>
        <v>ACCT#0200140783</v>
      </c>
    </row>
    <row r="845" spans="1:8" x14ac:dyDescent="0.25">
      <c r="A845" t="s">
        <v>245</v>
      </c>
      <c r="B845">
        <v>132806</v>
      </c>
      <c r="C845">
        <v>415.56</v>
      </c>
      <c r="D845" s="1">
        <v>44067</v>
      </c>
      <c r="E845" t="str">
        <f>"S0130215491"</f>
        <v>S0130215491</v>
      </c>
      <c r="F845" t="str">
        <f>"ACCT#336320/PCT#3"</f>
        <v>ACCT#336320/PCT#3</v>
      </c>
      <c r="G845" s="4">
        <v>415.56</v>
      </c>
      <c r="H845" t="str">
        <f>"ACCT#336320/PCT#3"</f>
        <v>ACCT#336320/PCT#3</v>
      </c>
    </row>
    <row r="846" spans="1:8" x14ac:dyDescent="0.25">
      <c r="A846" t="s">
        <v>246</v>
      </c>
      <c r="B846">
        <v>2973</v>
      </c>
      <c r="C846">
        <v>325</v>
      </c>
      <c r="D846" s="1">
        <v>44054</v>
      </c>
      <c r="E846" t="str">
        <f>"202008058130"</f>
        <v>202008058130</v>
      </c>
      <c r="F846" t="str">
        <f>"20-20119"</f>
        <v>20-20119</v>
      </c>
      <c r="G846" s="4">
        <v>-280</v>
      </c>
      <c r="H846" t="str">
        <f>"20-20119"</f>
        <v>20-20119</v>
      </c>
    </row>
    <row r="847" spans="1:8" x14ac:dyDescent="0.25">
      <c r="E847" t="str">
        <f>"202008058131"</f>
        <v>202008058131</v>
      </c>
      <c r="F847" t="str">
        <f>"19-19638"</f>
        <v>19-19638</v>
      </c>
      <c r="G847" s="4">
        <v>-272</v>
      </c>
      <c r="H847" t="str">
        <f>"19-19638"</f>
        <v>19-19638</v>
      </c>
    </row>
    <row r="848" spans="1:8" x14ac:dyDescent="0.25">
      <c r="E848" t="str">
        <f>"202008058125"</f>
        <v>202008058125</v>
      </c>
      <c r="F848" t="str">
        <f>"20-20303"</f>
        <v>20-20303</v>
      </c>
      <c r="G848" s="4">
        <v>325</v>
      </c>
      <c r="H848" t="str">
        <f>"20-20303"</f>
        <v>20-20303</v>
      </c>
    </row>
    <row r="849" spans="1:8" x14ac:dyDescent="0.25">
      <c r="E849" t="str">
        <f>"202008058126"</f>
        <v>202008058126</v>
      </c>
      <c r="F849" t="str">
        <f>"18-19130"</f>
        <v>18-19130</v>
      </c>
      <c r="G849" s="4">
        <v>302</v>
      </c>
      <c r="H849" t="str">
        <f>"18-19130"</f>
        <v>18-19130</v>
      </c>
    </row>
    <row r="850" spans="1:8" x14ac:dyDescent="0.25">
      <c r="E850" t="str">
        <f>"202008058127"</f>
        <v>202008058127</v>
      </c>
      <c r="F850" t="str">
        <f>"20191248BPD"</f>
        <v>20191248BPD</v>
      </c>
      <c r="G850" s="4">
        <v>250</v>
      </c>
      <c r="H850" t="str">
        <f>"20191248BPD"</f>
        <v>20191248BPD</v>
      </c>
    </row>
    <row r="851" spans="1:8" x14ac:dyDescent="0.25">
      <c r="A851" t="s">
        <v>247</v>
      </c>
      <c r="B851">
        <v>3028</v>
      </c>
      <c r="C851">
        <v>165.38</v>
      </c>
      <c r="D851" s="1">
        <v>44068</v>
      </c>
      <c r="E851" t="str">
        <f>"202008128332"</f>
        <v>202008128332</v>
      </c>
      <c r="F851" t="str">
        <f>"ACCT#0005/PCT#4"</f>
        <v>ACCT#0005/PCT#4</v>
      </c>
      <c r="G851" s="4">
        <v>158.79</v>
      </c>
      <c r="H851" t="str">
        <f>"ACCT#0005/PCT#4"</f>
        <v>ACCT#0005/PCT#4</v>
      </c>
    </row>
    <row r="852" spans="1:8" x14ac:dyDescent="0.25">
      <c r="E852" t="str">
        <f>"B138061"</f>
        <v>B138061</v>
      </c>
      <c r="F852" t="str">
        <f>"ACCT#0005/GENERAL SERVICES"</f>
        <v>ACCT#0005/GENERAL SERVICES</v>
      </c>
      <c r="G852" s="4">
        <v>6.59</v>
      </c>
      <c r="H852" t="str">
        <f>"ACCT#0005/GENERAL SERVICES"</f>
        <v>ACCT#0005/GENERAL SERVICES</v>
      </c>
    </row>
    <row r="853" spans="1:8" x14ac:dyDescent="0.25">
      <c r="A853" t="s">
        <v>248</v>
      </c>
      <c r="B853">
        <v>132664</v>
      </c>
      <c r="C853">
        <v>1634.13</v>
      </c>
      <c r="D853" s="1">
        <v>44053</v>
      </c>
      <c r="E853" t="str">
        <f>"P10733"</f>
        <v>P10733</v>
      </c>
      <c r="F853" t="str">
        <f>"ACCT#8850283308/PCT#2"</f>
        <v>ACCT#8850283308/PCT#2</v>
      </c>
      <c r="G853" s="4">
        <v>79.180000000000007</v>
      </c>
      <c r="H853" t="str">
        <f>"ACCT#8850283308/PCT#2"</f>
        <v>ACCT#8850283308/PCT#2</v>
      </c>
    </row>
    <row r="854" spans="1:8" x14ac:dyDescent="0.25">
      <c r="E854" t="str">
        <f>"W0913223"</f>
        <v>W0913223</v>
      </c>
      <c r="F854" t="str">
        <f>"inv# W0913223"</f>
        <v>inv# W0913223</v>
      </c>
      <c r="G854" s="4">
        <v>1554.95</v>
      </c>
      <c r="H854" t="str">
        <f>"inv# W0913223"</f>
        <v>inv# W0913223</v>
      </c>
    </row>
    <row r="855" spans="1:8" x14ac:dyDescent="0.25">
      <c r="A855" t="s">
        <v>249</v>
      </c>
      <c r="B855">
        <v>132807</v>
      </c>
      <c r="C855">
        <v>500</v>
      </c>
      <c r="D855" s="1">
        <v>44067</v>
      </c>
      <c r="E855" t="s">
        <v>250</v>
      </c>
      <c r="F855" t="str">
        <f>"RESTITUTION - C. FERRIS"</f>
        <v>RESTITUTION - C. FERRIS</v>
      </c>
      <c r="G855" s="4">
        <v>500</v>
      </c>
      <c r="H855" t="str">
        <f>"RESTITUTION - C. FERRIS"</f>
        <v>RESTITUTION - C. FERRIS</v>
      </c>
    </row>
    <row r="856" spans="1:8" x14ac:dyDescent="0.25">
      <c r="A856" t="s">
        <v>251</v>
      </c>
      <c r="B856">
        <v>132808</v>
      </c>
      <c r="C856">
        <v>345</v>
      </c>
      <c r="D856" s="1">
        <v>44067</v>
      </c>
      <c r="E856" t="str">
        <f>"2020103"</f>
        <v>2020103</v>
      </c>
      <c r="F856" t="str">
        <f>"TRANSPORT - M. MONDRAGON"</f>
        <v>TRANSPORT - M. MONDRAGON</v>
      </c>
      <c r="G856" s="4">
        <v>345</v>
      </c>
      <c r="H856" t="str">
        <f>"TRANSPORT - M. MONDRAGON"</f>
        <v>TRANSPORT - M. MONDRAGON</v>
      </c>
    </row>
    <row r="857" spans="1:8" x14ac:dyDescent="0.25">
      <c r="A857" t="s">
        <v>252</v>
      </c>
      <c r="B857">
        <v>132809</v>
      </c>
      <c r="C857">
        <v>105.31</v>
      </c>
      <c r="D857" s="1">
        <v>44067</v>
      </c>
      <c r="E857" t="str">
        <f>"4695*03116*1"</f>
        <v>4695*03116*1</v>
      </c>
      <c r="F857" t="str">
        <f>"JAIL MEDICAL"</f>
        <v>JAIL MEDICAL</v>
      </c>
      <c r="G857" s="4">
        <v>105.31</v>
      </c>
      <c r="H857" t="str">
        <f>"JAIL MEDICAL"</f>
        <v>JAIL MEDICAL</v>
      </c>
    </row>
    <row r="858" spans="1:8" x14ac:dyDescent="0.25">
      <c r="A858" t="s">
        <v>253</v>
      </c>
      <c r="B858">
        <v>2998</v>
      </c>
      <c r="C858">
        <v>51.78</v>
      </c>
      <c r="D858" s="1">
        <v>44068</v>
      </c>
      <c r="E858" t="str">
        <f>"10H0121569859"</f>
        <v>10H0121569859</v>
      </c>
      <c r="F858" t="str">
        <f>"ACCT#0121569859/JP4"</f>
        <v>ACCT#0121569859/JP4</v>
      </c>
      <c r="G858" s="4">
        <v>47.92</v>
      </c>
      <c r="H858" t="str">
        <f>"ACCT#0121569859/JP4"</f>
        <v>ACCT#0121569859/JP4</v>
      </c>
    </row>
    <row r="859" spans="1:8" x14ac:dyDescent="0.25">
      <c r="E859" t="str">
        <f>"10H0121587851"</f>
        <v>10H0121587851</v>
      </c>
      <c r="F859" t="str">
        <f>"ACCT#0121587851/PCT#4"</f>
        <v>ACCT#0121587851/PCT#4</v>
      </c>
      <c r="G859" s="4">
        <v>3.86</v>
      </c>
      <c r="H859" t="str">
        <f>"ACCT#0121587851/PCT#4"</f>
        <v>ACCT#0121587851/PCT#4</v>
      </c>
    </row>
    <row r="860" spans="1:8" x14ac:dyDescent="0.25">
      <c r="A860" t="s">
        <v>254</v>
      </c>
      <c r="B860">
        <v>2957</v>
      </c>
      <c r="C860">
        <v>3750</v>
      </c>
      <c r="D860" s="1">
        <v>44054</v>
      </c>
      <c r="E860" t="str">
        <f>"2"</f>
        <v>2</v>
      </c>
      <c r="F860" t="str">
        <f>"SPAY&amp;NEUTER SURGERIES"</f>
        <v>SPAY&amp;NEUTER SURGERIES</v>
      </c>
      <c r="G860" s="4">
        <v>3750</v>
      </c>
      <c r="H860" t="str">
        <f>"SPAY&amp;NEUTER SURGERIES"</f>
        <v>SPAY&amp;NEUTER SURGERIES</v>
      </c>
    </row>
    <row r="861" spans="1:8" x14ac:dyDescent="0.25">
      <c r="E861" t="str">
        <f>""</f>
        <v/>
      </c>
      <c r="F861" t="str">
        <f>""</f>
        <v/>
      </c>
      <c r="H861" t="str">
        <f>"SPAY&amp;NEUTER SURGERIES"</f>
        <v>SPAY&amp;NEUTER SURGERIES</v>
      </c>
    </row>
    <row r="862" spans="1:8" x14ac:dyDescent="0.25">
      <c r="A862" t="s">
        <v>254</v>
      </c>
      <c r="B862">
        <v>3032</v>
      </c>
      <c r="C862">
        <v>3820</v>
      </c>
      <c r="D862" s="1">
        <v>44068</v>
      </c>
      <c r="E862" t="str">
        <f>"3"</f>
        <v>3</v>
      </c>
      <c r="F862" t="str">
        <f>"SPAY&amp;NEUTER SURGERIES/AUG 6-17"</f>
        <v>SPAY&amp;NEUTER SURGERIES/AUG 6-17</v>
      </c>
      <c r="G862" s="4">
        <v>3500</v>
      </c>
      <c r="H862" t="str">
        <f>"SPAY&amp;NEUTER SURGERIES/AUG 6-17"</f>
        <v>SPAY&amp;NEUTER SURGERIES/AUG 6-17</v>
      </c>
    </row>
    <row r="863" spans="1:8" x14ac:dyDescent="0.25">
      <c r="E863" t="str">
        <f>""</f>
        <v/>
      </c>
      <c r="F863" t="str">
        <f>""</f>
        <v/>
      </c>
      <c r="H863" t="str">
        <f>"SPAY&amp;NEUTER SURGERIES/AUG 6-17"</f>
        <v>SPAY&amp;NEUTER SURGERIES/AUG 6-17</v>
      </c>
    </row>
    <row r="864" spans="1:8" x14ac:dyDescent="0.25">
      <c r="E864" t="str">
        <f>"4"</f>
        <v>4</v>
      </c>
      <c r="F864" t="str">
        <f>"WELLNESS CLINIC SVCS-AUG 5 &amp; 7"</f>
        <v>WELLNESS CLINIC SVCS-AUG 5 &amp; 7</v>
      </c>
      <c r="G864" s="4">
        <v>320</v>
      </c>
      <c r="H864" t="str">
        <f>"WELLNESS CLINIC SVCS-AUG 5 &amp; 7"</f>
        <v>WELLNESS CLINIC SVCS-AUG 5 &amp; 7</v>
      </c>
    </row>
    <row r="865" spans="1:8" x14ac:dyDescent="0.25">
      <c r="A865" t="s">
        <v>255</v>
      </c>
      <c r="B865">
        <v>132665</v>
      </c>
      <c r="C865">
        <v>775.21</v>
      </c>
      <c r="D865" s="1">
        <v>44053</v>
      </c>
      <c r="E865" t="str">
        <f>"202007298035"</f>
        <v>202007298035</v>
      </c>
      <c r="F865" t="str">
        <f>"ACCT#19610/GENERAL SERVICES"</f>
        <v>ACCT#19610/GENERAL SERVICES</v>
      </c>
      <c r="G865" s="4">
        <v>775.21</v>
      </c>
      <c r="H865" t="str">
        <f>"ACCT#19610/GENERAL SERVICES"</f>
        <v>ACCT#19610/GENERAL SERVICES</v>
      </c>
    </row>
    <row r="866" spans="1:8" x14ac:dyDescent="0.25">
      <c r="A866" t="s">
        <v>256</v>
      </c>
      <c r="B866">
        <v>132583</v>
      </c>
      <c r="C866">
        <v>1876.27</v>
      </c>
      <c r="D866" s="1">
        <v>44049</v>
      </c>
      <c r="E866" t="str">
        <f>"111 029 950 156 5"</f>
        <v>111 029 950 156 5</v>
      </c>
      <c r="F866" t="str">
        <f>"ACCT#15 070 712-3 / 08032020"</f>
        <v>ACCT#15 070 712-3 / 08032020</v>
      </c>
      <c r="G866" s="4">
        <v>17.91</v>
      </c>
      <c r="H866" t="str">
        <f>"ACCT#15 070 712-3 / 08032020"</f>
        <v>ACCT#15 070 712-3 / 08032020</v>
      </c>
    </row>
    <row r="867" spans="1:8" x14ac:dyDescent="0.25">
      <c r="E867" t="str">
        <f>"111 029 950 157 3"</f>
        <v>111 029 950 157 3</v>
      </c>
      <c r="F867" t="str">
        <f>"ACCT#15 070 713-1 / 08032020"</f>
        <v>ACCT#15 070 713-1 / 08032020</v>
      </c>
      <c r="G867" s="4">
        <v>21.42</v>
      </c>
      <c r="H867" t="str">
        <f>"ACCT#15 070 713-1 / 08032020"</f>
        <v>ACCT#15 070 713-1 / 08032020</v>
      </c>
    </row>
    <row r="868" spans="1:8" x14ac:dyDescent="0.25">
      <c r="E868" t="str">
        <f>"306 000 556 522 2"</f>
        <v>306 000 556 522 2</v>
      </c>
      <c r="F868" t="str">
        <f>"ACCT#15 069 451-1 / 07302020"</f>
        <v>ACCT#15 069 451-1 / 07302020</v>
      </c>
      <c r="G868" s="4">
        <v>471.53</v>
      </c>
      <c r="H868" t="str">
        <f>"ACCT#15 069 451-1 / 07302020"</f>
        <v>ACCT#15 069 451-1 / 07302020</v>
      </c>
    </row>
    <row r="869" spans="1:8" x14ac:dyDescent="0.25">
      <c r="E869" t="str">
        <f>"306 000 557 332 5"</f>
        <v>306 000 557 332 5</v>
      </c>
      <c r="F869" t="str">
        <f>"ACCT#15 072 199-1 / 07312020"</f>
        <v>ACCT#15 072 199-1 / 07312020</v>
      </c>
      <c r="G869" s="4">
        <v>54.61</v>
      </c>
      <c r="H869" t="str">
        <f>"ACCT#15 072 199-1 / 07312020"</f>
        <v>ACCT#15 072 199-1 / 07312020</v>
      </c>
    </row>
    <row r="870" spans="1:8" x14ac:dyDescent="0.25">
      <c r="E870" t="str">
        <f>"306 000 557 333 3"</f>
        <v>306 000 557 333 3</v>
      </c>
      <c r="F870" t="str">
        <f>"ACCT#15 072 200-7 / 07312020"</f>
        <v>ACCT#15 072 200-7 / 07312020</v>
      </c>
      <c r="G870" s="4">
        <v>308.57</v>
      </c>
      <c r="H870" t="str">
        <f>"ACCT#15 072 200-7 / 07312020"</f>
        <v>ACCT#15 072 200-7 / 07312020</v>
      </c>
    </row>
    <row r="871" spans="1:8" x14ac:dyDescent="0.25">
      <c r="E871" t="str">
        <f>"306 000 557 334 1"</f>
        <v>306 000 557 334 1</v>
      </c>
      <c r="F871" t="str">
        <f>"ACCT#15 072 201-5 / 07312020"</f>
        <v>ACCT#15 072 201-5 / 07312020</v>
      </c>
      <c r="G871" s="4">
        <v>544.61</v>
      </c>
      <c r="H871" t="str">
        <f>"ACCT#15 072 201-5 / 07312020"</f>
        <v>ACCT#15 072 201-5 / 07312020</v>
      </c>
    </row>
    <row r="872" spans="1:8" x14ac:dyDescent="0.25">
      <c r="E872" t="str">
        <f>"306 000 557 335 8"</f>
        <v>306 000 557 335 8</v>
      </c>
      <c r="F872" t="str">
        <f>"ACCT#15 072 202-3 / 07312020"</f>
        <v>ACCT#15 072 202-3 / 07312020</v>
      </c>
      <c r="G872" s="4">
        <v>25.16</v>
      </c>
      <c r="H872" t="str">
        <f>"ACCT#15 072 202-3 / 07312020"</f>
        <v>ACCT#15 072 202-3 / 07312020</v>
      </c>
    </row>
    <row r="873" spans="1:8" x14ac:dyDescent="0.25">
      <c r="E873" t="str">
        <f>"306 000 557 336 6"</f>
        <v>306 000 557 336 6</v>
      </c>
      <c r="F873" t="str">
        <f>"ACCT#15 072 203-1 / 07312020"</f>
        <v>ACCT#15 072 203-1 / 07312020</v>
      </c>
      <c r="G873" s="4">
        <v>17.12</v>
      </c>
      <c r="H873" t="str">
        <f>"ACCT#15 072 203-1 / 07312020"</f>
        <v>ACCT#15 072 203-1 / 07312020</v>
      </c>
    </row>
    <row r="874" spans="1:8" x14ac:dyDescent="0.25">
      <c r="E874" t="str">
        <f>"306 000 557 337 4"</f>
        <v>306 000 557 337 4</v>
      </c>
      <c r="F874" t="str">
        <f>"ACCT#15 072 204-9 / 07312020"</f>
        <v>ACCT#15 072 204-9 / 07312020</v>
      </c>
      <c r="G874" s="4">
        <v>415.34</v>
      </c>
      <c r="H874" t="str">
        <f>"ACCT#15 072 204-9 / 07312020"</f>
        <v>ACCT#15 072 204-9 / 07312020</v>
      </c>
    </row>
    <row r="875" spans="1:8" x14ac:dyDescent="0.25">
      <c r="A875" t="s">
        <v>257</v>
      </c>
      <c r="B875">
        <v>132810</v>
      </c>
      <c r="C875">
        <v>15493</v>
      </c>
      <c r="D875" s="1">
        <v>44067</v>
      </c>
      <c r="E875" t="str">
        <f>"202008188431"</f>
        <v>202008188431</v>
      </c>
      <c r="F875" t="str">
        <f>"RFB 20BCP06D"</f>
        <v>RFB 20BCP06D</v>
      </c>
      <c r="G875" s="4">
        <v>15493</v>
      </c>
      <c r="H875" t="str">
        <f>"RFB 20BCP06D"</f>
        <v>RFB 20BCP06D</v>
      </c>
    </row>
    <row r="876" spans="1:8" x14ac:dyDescent="0.25">
      <c r="A876" t="s">
        <v>258</v>
      </c>
      <c r="B876">
        <v>132666</v>
      </c>
      <c r="C876">
        <v>9000</v>
      </c>
      <c r="D876" s="1">
        <v>44053</v>
      </c>
      <c r="E876" t="str">
        <f>"202007298039"</f>
        <v>202007298039</v>
      </c>
      <c r="F876" t="str">
        <f>"ACCT#34549337"</f>
        <v>ACCT#34549337</v>
      </c>
      <c r="G876" s="4">
        <v>9000</v>
      </c>
      <c r="H876" t="str">
        <f>"ACCT#34549337"</f>
        <v>ACCT#34549337</v>
      </c>
    </row>
    <row r="877" spans="1:8" x14ac:dyDescent="0.25">
      <c r="A877" t="s">
        <v>259</v>
      </c>
      <c r="B877">
        <v>3058</v>
      </c>
      <c r="C877">
        <v>855</v>
      </c>
      <c r="D877" s="1">
        <v>44068</v>
      </c>
      <c r="E877" t="str">
        <f>"202008178391"</f>
        <v>202008178391</v>
      </c>
      <c r="F877" t="str">
        <f>"423-4051"</f>
        <v>423-4051</v>
      </c>
      <c r="G877" s="4">
        <v>855</v>
      </c>
      <c r="H877" t="str">
        <f>"423-4051"</f>
        <v>423-4051</v>
      </c>
    </row>
    <row r="878" spans="1:8" x14ac:dyDescent="0.25">
      <c r="A878" t="s">
        <v>260</v>
      </c>
      <c r="B878">
        <v>132811</v>
      </c>
      <c r="C878">
        <v>210.5</v>
      </c>
      <c r="D878" s="1">
        <v>44067</v>
      </c>
      <c r="E878" t="str">
        <f>"364662"</f>
        <v>364662</v>
      </c>
      <c r="F878" t="str">
        <f>"CUST#104073/2011 FORD/PCT#4"</f>
        <v>CUST#104073/2011 FORD/PCT#4</v>
      </c>
      <c r="G878" s="4">
        <v>112.5</v>
      </c>
      <c r="H878" t="str">
        <f>"CUST#104073/2011 FORD/PCT#4"</f>
        <v>CUST#104073/2011 FORD/PCT#4</v>
      </c>
    </row>
    <row r="879" spans="1:8" x14ac:dyDescent="0.25">
      <c r="E879" t="str">
        <f>"87266"</f>
        <v>87266</v>
      </c>
      <c r="F879" t="str">
        <f>"ACCT#3510/PCT#4"</f>
        <v>ACCT#3510/PCT#4</v>
      </c>
      <c r="G879" s="4">
        <v>98</v>
      </c>
      <c r="H879" t="str">
        <f>"ACCT#3510/PCT#4"</f>
        <v>ACCT#3510/PCT#4</v>
      </c>
    </row>
    <row r="880" spans="1:8" x14ac:dyDescent="0.25">
      <c r="A880" t="s">
        <v>261</v>
      </c>
      <c r="B880">
        <v>3004</v>
      </c>
      <c r="C880">
        <v>6771.2</v>
      </c>
      <c r="D880" s="1">
        <v>44068</v>
      </c>
      <c r="E880" t="str">
        <f>"506013533-FLOOD"</f>
        <v>506013533-FLOOD</v>
      </c>
      <c r="F880" t="str">
        <f>"CUST#12847097/CONT#4896380/P2"</f>
        <v>CUST#12847097/CONT#4896380/P2</v>
      </c>
      <c r="G880" s="4">
        <v>194.34</v>
      </c>
      <c r="H880" t="str">
        <f>"CUST#12847097/CONT#4896380/P2"</f>
        <v>CUST#12847097/CONT#4896380/P2</v>
      </c>
    </row>
    <row r="881" spans="5:8" x14ac:dyDescent="0.25">
      <c r="E881" t="str">
        <f>"5090135533"</f>
        <v>5090135533</v>
      </c>
      <c r="F881" t="str">
        <f>"CUST#12847097/CONT#4896380"</f>
        <v>CUST#12847097/CONT#4896380</v>
      </c>
      <c r="G881" s="4">
        <v>6576.86</v>
      </c>
      <c r="H881" t="str">
        <f t="shared" ref="H881:H908" si="13">"CUST#12847097/CONT#4896380"</f>
        <v>CUST#12847097/CONT#4896380</v>
      </c>
    </row>
    <row r="882" spans="5:8" x14ac:dyDescent="0.25">
      <c r="E882" t="str">
        <f>""</f>
        <v/>
      </c>
      <c r="F882" t="str">
        <f>""</f>
        <v/>
      </c>
      <c r="H882" t="str">
        <f t="shared" si="13"/>
        <v>CUST#12847097/CONT#4896380</v>
      </c>
    </row>
    <row r="883" spans="5:8" x14ac:dyDescent="0.25">
      <c r="E883" t="str">
        <f>""</f>
        <v/>
      </c>
      <c r="F883" t="str">
        <f>""</f>
        <v/>
      </c>
      <c r="H883" t="str">
        <f t="shared" si="13"/>
        <v>CUST#12847097/CONT#4896380</v>
      </c>
    </row>
    <row r="884" spans="5:8" x14ac:dyDescent="0.25">
      <c r="E884" t="str">
        <f>""</f>
        <v/>
      </c>
      <c r="F884" t="str">
        <f>""</f>
        <v/>
      </c>
      <c r="H884" t="str">
        <f t="shared" si="13"/>
        <v>CUST#12847097/CONT#4896380</v>
      </c>
    </row>
    <row r="885" spans="5:8" x14ac:dyDescent="0.25">
      <c r="E885" t="str">
        <f>""</f>
        <v/>
      </c>
      <c r="F885" t="str">
        <f>""</f>
        <v/>
      </c>
      <c r="H885" t="str">
        <f t="shared" si="13"/>
        <v>CUST#12847097/CONT#4896380</v>
      </c>
    </row>
    <row r="886" spans="5:8" x14ac:dyDescent="0.25">
      <c r="E886" t="str">
        <f>""</f>
        <v/>
      </c>
      <c r="F886" t="str">
        <f>""</f>
        <v/>
      </c>
      <c r="H886" t="str">
        <f t="shared" si="13"/>
        <v>CUST#12847097/CONT#4896380</v>
      </c>
    </row>
    <row r="887" spans="5:8" x14ac:dyDescent="0.25">
      <c r="E887" t="str">
        <f>""</f>
        <v/>
      </c>
      <c r="F887" t="str">
        <f>""</f>
        <v/>
      </c>
      <c r="H887" t="str">
        <f t="shared" si="13"/>
        <v>CUST#12847097/CONT#4896380</v>
      </c>
    </row>
    <row r="888" spans="5:8" x14ac:dyDescent="0.25">
      <c r="E888" t="str">
        <f>""</f>
        <v/>
      </c>
      <c r="F888" t="str">
        <f>""</f>
        <v/>
      </c>
      <c r="H888" t="str">
        <f t="shared" si="13"/>
        <v>CUST#12847097/CONT#4896380</v>
      </c>
    </row>
    <row r="889" spans="5:8" x14ac:dyDescent="0.25">
      <c r="E889" t="str">
        <f>""</f>
        <v/>
      </c>
      <c r="F889" t="str">
        <f>""</f>
        <v/>
      </c>
      <c r="H889" t="str">
        <f t="shared" si="13"/>
        <v>CUST#12847097/CONT#4896380</v>
      </c>
    </row>
    <row r="890" spans="5:8" x14ac:dyDescent="0.25">
      <c r="E890" t="str">
        <f>""</f>
        <v/>
      </c>
      <c r="F890" t="str">
        <f>""</f>
        <v/>
      </c>
      <c r="H890" t="str">
        <f t="shared" si="13"/>
        <v>CUST#12847097/CONT#4896380</v>
      </c>
    </row>
    <row r="891" spans="5:8" x14ac:dyDescent="0.25">
      <c r="E891" t="str">
        <f>""</f>
        <v/>
      </c>
      <c r="F891" t="str">
        <f>""</f>
        <v/>
      </c>
      <c r="H891" t="str">
        <f t="shared" si="13"/>
        <v>CUST#12847097/CONT#4896380</v>
      </c>
    </row>
    <row r="892" spans="5:8" x14ac:dyDescent="0.25">
      <c r="E892" t="str">
        <f>""</f>
        <v/>
      </c>
      <c r="F892" t="str">
        <f>""</f>
        <v/>
      </c>
      <c r="H892" t="str">
        <f t="shared" si="13"/>
        <v>CUST#12847097/CONT#4896380</v>
      </c>
    </row>
    <row r="893" spans="5:8" x14ac:dyDescent="0.25">
      <c r="E893" t="str">
        <f>""</f>
        <v/>
      </c>
      <c r="F893" t="str">
        <f>""</f>
        <v/>
      </c>
      <c r="H893" t="str">
        <f t="shared" si="13"/>
        <v>CUST#12847097/CONT#4896380</v>
      </c>
    </row>
    <row r="894" spans="5:8" x14ac:dyDescent="0.25">
      <c r="E894" t="str">
        <f>""</f>
        <v/>
      </c>
      <c r="F894" t="str">
        <f>""</f>
        <v/>
      </c>
      <c r="H894" t="str">
        <f t="shared" si="13"/>
        <v>CUST#12847097/CONT#4896380</v>
      </c>
    </row>
    <row r="895" spans="5:8" x14ac:dyDescent="0.25">
      <c r="E895" t="str">
        <f>""</f>
        <v/>
      </c>
      <c r="F895" t="str">
        <f>""</f>
        <v/>
      </c>
      <c r="H895" t="str">
        <f t="shared" si="13"/>
        <v>CUST#12847097/CONT#4896380</v>
      </c>
    </row>
    <row r="896" spans="5:8" x14ac:dyDescent="0.25">
      <c r="E896" t="str">
        <f>""</f>
        <v/>
      </c>
      <c r="F896" t="str">
        <f>""</f>
        <v/>
      </c>
      <c r="H896" t="str">
        <f t="shared" si="13"/>
        <v>CUST#12847097/CONT#4896380</v>
      </c>
    </row>
    <row r="897" spans="1:8" x14ac:dyDescent="0.25">
      <c r="E897" t="str">
        <f>""</f>
        <v/>
      </c>
      <c r="F897" t="str">
        <f>""</f>
        <v/>
      </c>
      <c r="H897" t="str">
        <f t="shared" si="13"/>
        <v>CUST#12847097/CONT#4896380</v>
      </c>
    </row>
    <row r="898" spans="1:8" x14ac:dyDescent="0.25">
      <c r="E898" t="str">
        <f>""</f>
        <v/>
      </c>
      <c r="F898" t="str">
        <f>""</f>
        <v/>
      </c>
      <c r="H898" t="str">
        <f t="shared" si="13"/>
        <v>CUST#12847097/CONT#4896380</v>
      </c>
    </row>
    <row r="899" spans="1:8" x14ac:dyDescent="0.25">
      <c r="E899" t="str">
        <f>""</f>
        <v/>
      </c>
      <c r="F899" t="str">
        <f>""</f>
        <v/>
      </c>
      <c r="H899" t="str">
        <f t="shared" si="13"/>
        <v>CUST#12847097/CONT#4896380</v>
      </c>
    </row>
    <row r="900" spans="1:8" x14ac:dyDescent="0.25">
      <c r="E900" t="str">
        <f>""</f>
        <v/>
      </c>
      <c r="F900" t="str">
        <f>""</f>
        <v/>
      </c>
      <c r="H900" t="str">
        <f t="shared" si="13"/>
        <v>CUST#12847097/CONT#4896380</v>
      </c>
    </row>
    <row r="901" spans="1:8" x14ac:dyDescent="0.25">
      <c r="E901" t="str">
        <f>""</f>
        <v/>
      </c>
      <c r="F901" t="str">
        <f>""</f>
        <v/>
      </c>
      <c r="H901" t="str">
        <f t="shared" si="13"/>
        <v>CUST#12847097/CONT#4896380</v>
      </c>
    </row>
    <row r="902" spans="1:8" x14ac:dyDescent="0.25">
      <c r="E902" t="str">
        <f>""</f>
        <v/>
      </c>
      <c r="F902" t="str">
        <f>""</f>
        <v/>
      </c>
      <c r="H902" t="str">
        <f t="shared" si="13"/>
        <v>CUST#12847097/CONT#4896380</v>
      </c>
    </row>
    <row r="903" spans="1:8" x14ac:dyDescent="0.25">
      <c r="E903" t="str">
        <f>""</f>
        <v/>
      </c>
      <c r="F903" t="str">
        <f>""</f>
        <v/>
      </c>
      <c r="H903" t="str">
        <f t="shared" si="13"/>
        <v>CUST#12847097/CONT#4896380</v>
      </c>
    </row>
    <row r="904" spans="1:8" x14ac:dyDescent="0.25">
      <c r="E904" t="str">
        <f>""</f>
        <v/>
      </c>
      <c r="F904" t="str">
        <f>""</f>
        <v/>
      </c>
      <c r="H904" t="str">
        <f t="shared" si="13"/>
        <v>CUST#12847097/CONT#4896380</v>
      </c>
    </row>
    <row r="905" spans="1:8" x14ac:dyDescent="0.25">
      <c r="E905" t="str">
        <f>""</f>
        <v/>
      </c>
      <c r="F905" t="str">
        <f>""</f>
        <v/>
      </c>
      <c r="H905" t="str">
        <f t="shared" si="13"/>
        <v>CUST#12847097/CONT#4896380</v>
      </c>
    </row>
    <row r="906" spans="1:8" x14ac:dyDescent="0.25">
      <c r="E906" t="str">
        <f>""</f>
        <v/>
      </c>
      <c r="F906" t="str">
        <f>""</f>
        <v/>
      </c>
      <c r="H906" t="str">
        <f t="shared" si="13"/>
        <v>CUST#12847097/CONT#4896380</v>
      </c>
    </row>
    <row r="907" spans="1:8" x14ac:dyDescent="0.25">
      <c r="E907" t="str">
        <f>""</f>
        <v/>
      </c>
      <c r="F907" t="str">
        <f>""</f>
        <v/>
      </c>
      <c r="H907" t="str">
        <f t="shared" si="13"/>
        <v>CUST#12847097/CONT#4896380</v>
      </c>
    </row>
    <row r="908" spans="1:8" x14ac:dyDescent="0.25">
      <c r="E908" t="str">
        <f>""</f>
        <v/>
      </c>
      <c r="F908" t="str">
        <f>""</f>
        <v/>
      </c>
      <c r="H908" t="str">
        <f t="shared" si="13"/>
        <v>CUST#12847097/CONT#4896380</v>
      </c>
    </row>
    <row r="909" spans="1:8" x14ac:dyDescent="0.25">
      <c r="A909" t="s">
        <v>262</v>
      </c>
      <c r="B909">
        <v>132667</v>
      </c>
      <c r="C909">
        <v>9236.6299999999992</v>
      </c>
      <c r="D909" s="1">
        <v>44053</v>
      </c>
      <c r="E909" t="str">
        <f>"35979315"</f>
        <v>35979315</v>
      </c>
      <c r="F909" t="str">
        <f>"CUST#2000172616"</f>
        <v>CUST#2000172616</v>
      </c>
      <c r="G909" s="4">
        <v>9236.6299999999992</v>
      </c>
      <c r="H909" t="str">
        <f t="shared" ref="H909:H940" si="14">"CUST#2000172616"</f>
        <v>CUST#2000172616</v>
      </c>
    </row>
    <row r="910" spans="1:8" x14ac:dyDescent="0.25">
      <c r="E910" t="str">
        <f>""</f>
        <v/>
      </c>
      <c r="F910" t="str">
        <f>""</f>
        <v/>
      </c>
      <c r="H910" t="str">
        <f t="shared" si="14"/>
        <v>CUST#2000172616</v>
      </c>
    </row>
    <row r="911" spans="1:8" x14ac:dyDescent="0.25">
      <c r="E911" t="str">
        <f>""</f>
        <v/>
      </c>
      <c r="F911" t="str">
        <f>""</f>
        <v/>
      </c>
      <c r="H911" t="str">
        <f t="shared" si="14"/>
        <v>CUST#2000172616</v>
      </c>
    </row>
    <row r="912" spans="1:8" x14ac:dyDescent="0.25">
      <c r="E912" t="str">
        <f>""</f>
        <v/>
      </c>
      <c r="F912" t="str">
        <f>""</f>
        <v/>
      </c>
      <c r="H912" t="str">
        <f t="shared" si="14"/>
        <v>CUST#2000172616</v>
      </c>
    </row>
    <row r="913" spans="5:8" x14ac:dyDescent="0.25">
      <c r="E913" t="str">
        <f>""</f>
        <v/>
      </c>
      <c r="F913" t="str">
        <f>""</f>
        <v/>
      </c>
      <c r="H913" t="str">
        <f t="shared" si="14"/>
        <v>CUST#2000172616</v>
      </c>
    </row>
    <row r="914" spans="5:8" x14ac:dyDescent="0.25">
      <c r="E914" t="str">
        <f>""</f>
        <v/>
      </c>
      <c r="F914" t="str">
        <f>""</f>
        <v/>
      </c>
      <c r="H914" t="str">
        <f t="shared" si="14"/>
        <v>CUST#2000172616</v>
      </c>
    </row>
    <row r="915" spans="5:8" x14ac:dyDescent="0.25">
      <c r="E915" t="str">
        <f>""</f>
        <v/>
      </c>
      <c r="F915" t="str">
        <f>""</f>
        <v/>
      </c>
      <c r="H915" t="str">
        <f t="shared" si="14"/>
        <v>CUST#2000172616</v>
      </c>
    </row>
    <row r="916" spans="5:8" x14ac:dyDescent="0.25">
      <c r="E916" t="str">
        <f>""</f>
        <v/>
      </c>
      <c r="F916" t="str">
        <f>""</f>
        <v/>
      </c>
      <c r="H916" t="str">
        <f t="shared" si="14"/>
        <v>CUST#2000172616</v>
      </c>
    </row>
    <row r="917" spans="5:8" x14ac:dyDescent="0.25">
      <c r="E917" t="str">
        <f>""</f>
        <v/>
      </c>
      <c r="F917" t="str">
        <f>""</f>
        <v/>
      </c>
      <c r="H917" t="str">
        <f t="shared" si="14"/>
        <v>CUST#2000172616</v>
      </c>
    </row>
    <row r="918" spans="5:8" x14ac:dyDescent="0.25">
      <c r="E918" t="str">
        <f>""</f>
        <v/>
      </c>
      <c r="F918" t="str">
        <f>""</f>
        <v/>
      </c>
      <c r="H918" t="str">
        <f t="shared" si="14"/>
        <v>CUST#2000172616</v>
      </c>
    </row>
    <row r="919" spans="5:8" x14ac:dyDescent="0.25">
      <c r="E919" t="str">
        <f>""</f>
        <v/>
      </c>
      <c r="F919" t="str">
        <f>""</f>
        <v/>
      </c>
      <c r="H919" t="str">
        <f t="shared" si="14"/>
        <v>CUST#2000172616</v>
      </c>
    </row>
    <row r="920" spans="5:8" x14ac:dyDescent="0.25">
      <c r="E920" t="str">
        <f>""</f>
        <v/>
      </c>
      <c r="F920" t="str">
        <f>""</f>
        <v/>
      </c>
      <c r="H920" t="str">
        <f t="shared" si="14"/>
        <v>CUST#2000172616</v>
      </c>
    </row>
    <row r="921" spans="5:8" x14ac:dyDescent="0.25">
      <c r="E921" t="str">
        <f>""</f>
        <v/>
      </c>
      <c r="F921" t="str">
        <f>""</f>
        <v/>
      </c>
      <c r="H921" t="str">
        <f t="shared" si="14"/>
        <v>CUST#2000172616</v>
      </c>
    </row>
    <row r="922" spans="5:8" x14ac:dyDescent="0.25">
      <c r="E922" t="str">
        <f>""</f>
        <v/>
      </c>
      <c r="F922" t="str">
        <f>""</f>
        <v/>
      </c>
      <c r="H922" t="str">
        <f t="shared" si="14"/>
        <v>CUST#2000172616</v>
      </c>
    </row>
    <row r="923" spans="5:8" x14ac:dyDescent="0.25">
      <c r="E923" t="str">
        <f>""</f>
        <v/>
      </c>
      <c r="F923" t="str">
        <f>""</f>
        <v/>
      </c>
      <c r="H923" t="str">
        <f t="shared" si="14"/>
        <v>CUST#2000172616</v>
      </c>
    </row>
    <row r="924" spans="5:8" x14ac:dyDescent="0.25">
      <c r="E924" t="str">
        <f>""</f>
        <v/>
      </c>
      <c r="F924" t="str">
        <f>""</f>
        <v/>
      </c>
      <c r="H924" t="str">
        <f t="shared" si="14"/>
        <v>CUST#2000172616</v>
      </c>
    </row>
    <row r="925" spans="5:8" x14ac:dyDescent="0.25">
      <c r="E925" t="str">
        <f>""</f>
        <v/>
      </c>
      <c r="F925" t="str">
        <f>""</f>
        <v/>
      </c>
      <c r="H925" t="str">
        <f t="shared" si="14"/>
        <v>CUST#2000172616</v>
      </c>
    </row>
    <row r="926" spans="5:8" x14ac:dyDescent="0.25">
      <c r="E926" t="str">
        <f>""</f>
        <v/>
      </c>
      <c r="F926" t="str">
        <f>""</f>
        <v/>
      </c>
      <c r="H926" t="str">
        <f t="shared" si="14"/>
        <v>CUST#2000172616</v>
      </c>
    </row>
    <row r="927" spans="5:8" x14ac:dyDescent="0.25">
      <c r="E927" t="str">
        <f>""</f>
        <v/>
      </c>
      <c r="F927" t="str">
        <f>""</f>
        <v/>
      </c>
      <c r="H927" t="str">
        <f t="shared" si="14"/>
        <v>CUST#2000172616</v>
      </c>
    </row>
    <row r="928" spans="5:8" x14ac:dyDescent="0.25">
      <c r="E928" t="str">
        <f>""</f>
        <v/>
      </c>
      <c r="F928" t="str">
        <f>""</f>
        <v/>
      </c>
      <c r="H928" t="str">
        <f t="shared" si="14"/>
        <v>CUST#2000172616</v>
      </c>
    </row>
    <row r="929" spans="1:8" x14ac:dyDescent="0.25">
      <c r="E929" t="str">
        <f>""</f>
        <v/>
      </c>
      <c r="F929" t="str">
        <f>""</f>
        <v/>
      </c>
      <c r="H929" t="str">
        <f t="shared" si="14"/>
        <v>CUST#2000172616</v>
      </c>
    </row>
    <row r="930" spans="1:8" x14ac:dyDescent="0.25">
      <c r="E930" t="str">
        <f>""</f>
        <v/>
      </c>
      <c r="F930" t="str">
        <f>""</f>
        <v/>
      </c>
      <c r="H930" t="str">
        <f t="shared" si="14"/>
        <v>CUST#2000172616</v>
      </c>
    </row>
    <row r="931" spans="1:8" x14ac:dyDescent="0.25">
      <c r="E931" t="str">
        <f>""</f>
        <v/>
      </c>
      <c r="F931" t="str">
        <f>""</f>
        <v/>
      </c>
      <c r="H931" t="str">
        <f t="shared" si="14"/>
        <v>CUST#2000172616</v>
      </c>
    </row>
    <row r="932" spans="1:8" x14ac:dyDescent="0.25">
      <c r="E932" t="str">
        <f>""</f>
        <v/>
      </c>
      <c r="F932" t="str">
        <f>""</f>
        <v/>
      </c>
      <c r="H932" t="str">
        <f t="shared" si="14"/>
        <v>CUST#2000172616</v>
      </c>
    </row>
    <row r="933" spans="1:8" x14ac:dyDescent="0.25">
      <c r="E933" t="str">
        <f>""</f>
        <v/>
      </c>
      <c r="F933" t="str">
        <f>""</f>
        <v/>
      </c>
      <c r="H933" t="str">
        <f t="shared" si="14"/>
        <v>CUST#2000172616</v>
      </c>
    </row>
    <row r="934" spans="1:8" x14ac:dyDescent="0.25">
      <c r="E934" t="str">
        <f>""</f>
        <v/>
      </c>
      <c r="F934" t="str">
        <f>""</f>
        <v/>
      </c>
      <c r="H934" t="str">
        <f t="shared" si="14"/>
        <v>CUST#2000172616</v>
      </c>
    </row>
    <row r="935" spans="1:8" x14ac:dyDescent="0.25">
      <c r="E935" t="str">
        <f>""</f>
        <v/>
      </c>
      <c r="F935" t="str">
        <f>""</f>
        <v/>
      </c>
      <c r="H935" t="str">
        <f t="shared" si="14"/>
        <v>CUST#2000172616</v>
      </c>
    </row>
    <row r="936" spans="1:8" x14ac:dyDescent="0.25">
      <c r="E936" t="str">
        <f>""</f>
        <v/>
      </c>
      <c r="F936" t="str">
        <f>""</f>
        <v/>
      </c>
      <c r="H936" t="str">
        <f t="shared" si="14"/>
        <v>CUST#2000172616</v>
      </c>
    </row>
    <row r="937" spans="1:8" x14ac:dyDescent="0.25">
      <c r="E937" t="str">
        <f>""</f>
        <v/>
      </c>
      <c r="F937" t="str">
        <f>""</f>
        <v/>
      </c>
      <c r="H937" t="str">
        <f t="shared" si="14"/>
        <v>CUST#2000172616</v>
      </c>
    </row>
    <row r="938" spans="1:8" x14ac:dyDescent="0.25">
      <c r="E938" t="str">
        <f>""</f>
        <v/>
      </c>
      <c r="F938" t="str">
        <f>""</f>
        <v/>
      </c>
      <c r="H938" t="str">
        <f t="shared" si="14"/>
        <v>CUST#2000172616</v>
      </c>
    </row>
    <row r="939" spans="1:8" x14ac:dyDescent="0.25">
      <c r="E939" t="str">
        <f>""</f>
        <v/>
      </c>
      <c r="F939" t="str">
        <f>""</f>
        <v/>
      </c>
      <c r="H939" t="str">
        <f t="shared" si="14"/>
        <v>CUST#2000172616</v>
      </c>
    </row>
    <row r="940" spans="1:8" x14ac:dyDescent="0.25">
      <c r="E940" t="str">
        <f>""</f>
        <v/>
      </c>
      <c r="F940" t="str">
        <f>""</f>
        <v/>
      </c>
      <c r="H940" t="str">
        <f t="shared" si="14"/>
        <v>CUST#2000172616</v>
      </c>
    </row>
    <row r="941" spans="1:8" x14ac:dyDescent="0.25">
      <c r="A941" t="s">
        <v>263</v>
      </c>
      <c r="B941">
        <v>132668</v>
      </c>
      <c r="C941">
        <v>22.85</v>
      </c>
      <c r="D941" s="1">
        <v>44053</v>
      </c>
      <c r="E941" t="str">
        <f>"5031312"</f>
        <v>5031312</v>
      </c>
      <c r="F941" t="str">
        <f>"INV 5031312"</f>
        <v>INV 5031312</v>
      </c>
      <c r="G941" s="4">
        <v>22.85</v>
      </c>
      <c r="H941" t="str">
        <f>"INV 5031312"</f>
        <v>INV 5031312</v>
      </c>
    </row>
    <row r="942" spans="1:8" x14ac:dyDescent="0.25">
      <c r="A942" t="s">
        <v>263</v>
      </c>
      <c r="B942">
        <v>132812</v>
      </c>
      <c r="C942">
        <v>906.85</v>
      </c>
      <c r="D942" s="1">
        <v>44067</v>
      </c>
      <c r="E942" t="str">
        <f>"5039002"</f>
        <v>5039002</v>
      </c>
      <c r="F942" t="str">
        <f>"INV 5039002"</f>
        <v>INV 5039002</v>
      </c>
      <c r="G942" s="4">
        <v>242.7</v>
      </c>
      <c r="H942" t="str">
        <f>"INV 5039002"</f>
        <v>INV 5039002</v>
      </c>
    </row>
    <row r="943" spans="1:8" x14ac:dyDescent="0.25">
      <c r="E943" t="str">
        <f>"5048404"</f>
        <v>5048404</v>
      </c>
      <c r="F943" t="str">
        <f>"INV 5048404"</f>
        <v>INV 5048404</v>
      </c>
      <c r="G943" s="4">
        <v>655.52</v>
      </c>
      <c r="H943" t="str">
        <f>"INV 5048404"</f>
        <v>INV 5048404</v>
      </c>
    </row>
    <row r="944" spans="1:8" x14ac:dyDescent="0.25">
      <c r="E944" t="str">
        <f>"5048582"</f>
        <v>5048582</v>
      </c>
      <c r="F944" t="str">
        <f>"CUST ID:90564/GENERAL SVCS"</f>
        <v>CUST ID:90564/GENERAL SVCS</v>
      </c>
      <c r="G944" s="4">
        <v>8.6300000000000008</v>
      </c>
      <c r="H944" t="str">
        <f>"CUST ID:90564/GENERAL SVCS"</f>
        <v>CUST ID:90564/GENERAL SVCS</v>
      </c>
    </row>
    <row r="945" spans="1:8" x14ac:dyDescent="0.25">
      <c r="A945" t="s">
        <v>264</v>
      </c>
      <c r="B945">
        <v>132669</v>
      </c>
      <c r="C945">
        <v>39</v>
      </c>
      <c r="D945" s="1">
        <v>44053</v>
      </c>
      <c r="E945" t="str">
        <f>"200805-3"</f>
        <v>200805-3</v>
      </c>
      <c r="F945" t="str">
        <f>"BCEC STAFF TEES"</f>
        <v>BCEC STAFF TEES</v>
      </c>
      <c r="G945" s="4">
        <v>39</v>
      </c>
      <c r="H945" t="str">
        <f>"BCEC STAFF TEES"</f>
        <v>BCEC STAFF TEES</v>
      </c>
    </row>
    <row r="946" spans="1:8" x14ac:dyDescent="0.25">
      <c r="A946" t="s">
        <v>265</v>
      </c>
      <c r="B946">
        <v>132670</v>
      </c>
      <c r="C946">
        <v>150</v>
      </c>
      <c r="D946" s="1">
        <v>44053</v>
      </c>
      <c r="E946" t="str">
        <f>"202008048083"</f>
        <v>202008048083</v>
      </c>
      <c r="F946" t="str">
        <f>"LPHCP RECORDING FEES"</f>
        <v>LPHCP RECORDING FEES</v>
      </c>
      <c r="G946" s="4">
        <v>150</v>
      </c>
      <c r="H946" t="str">
        <f>"LPHCP RECORDING FEES"</f>
        <v>LPHCP RECORDING FEES</v>
      </c>
    </row>
    <row r="947" spans="1:8" x14ac:dyDescent="0.25">
      <c r="A947" t="s">
        <v>265</v>
      </c>
      <c r="B947">
        <v>132671</v>
      </c>
      <c r="C947">
        <v>183</v>
      </c>
      <c r="D947" s="1">
        <v>44053</v>
      </c>
      <c r="E947" t="str">
        <f>"202008048091"</f>
        <v>202008048091</v>
      </c>
      <c r="F947" t="str">
        <f>"DEVELOPMENT SVCS RECORDING FEE"</f>
        <v>DEVELOPMENT SVCS RECORDING FEE</v>
      </c>
      <c r="G947" s="4">
        <v>183</v>
      </c>
      <c r="H947" t="str">
        <f>"DEVELOPMENT SVCS RECORDING FEE"</f>
        <v>DEVELOPMENT SVCS RECORDING FEE</v>
      </c>
    </row>
    <row r="948" spans="1:8" x14ac:dyDescent="0.25">
      <c r="A948" t="s">
        <v>265</v>
      </c>
      <c r="B948">
        <v>132813</v>
      </c>
      <c r="C948">
        <v>61</v>
      </c>
      <c r="D948" s="1">
        <v>44067</v>
      </c>
      <c r="E948" t="str">
        <f>"202008188413"</f>
        <v>202008188413</v>
      </c>
      <c r="F948" t="str">
        <f>"DEVELOPMENT SVCS RECORDING FEE"</f>
        <v>DEVELOPMENT SVCS RECORDING FEE</v>
      </c>
      <c r="G948" s="4">
        <v>61</v>
      </c>
      <c r="H948" t="str">
        <f>"DEVELOPMENT SVCS RECORDING FEE"</f>
        <v>DEVELOPMENT SVCS RECORDING FEE</v>
      </c>
    </row>
    <row r="949" spans="1:8" x14ac:dyDescent="0.25">
      <c r="A949" t="s">
        <v>266</v>
      </c>
      <c r="B949">
        <v>132672</v>
      </c>
      <c r="C949">
        <v>864.32</v>
      </c>
      <c r="D949" s="1">
        <v>44053</v>
      </c>
      <c r="E949" t="str">
        <f>"CVCS59383"</f>
        <v>CVCS59383</v>
      </c>
      <c r="F949" t="str">
        <f>"CUST#9486/PCT#4"</f>
        <v>CUST#9486/PCT#4</v>
      </c>
      <c r="G949" s="4">
        <v>61.45</v>
      </c>
      <c r="H949" t="str">
        <f>"CUST#9486/PCT#4"</f>
        <v>CUST#9486/PCT#4</v>
      </c>
    </row>
    <row r="950" spans="1:8" x14ac:dyDescent="0.25">
      <c r="E950" t="str">
        <f>"CVCS59485"</f>
        <v>CVCS59485</v>
      </c>
      <c r="F950" t="str">
        <f>"CUST#9486/PCT#4"</f>
        <v>CUST#9486/PCT#4</v>
      </c>
      <c r="G950" s="4">
        <v>802.87</v>
      </c>
      <c r="H950" t="str">
        <f>"CUST#9486/PCT#4"</f>
        <v>CUST#9486/PCT#4</v>
      </c>
    </row>
    <row r="951" spans="1:8" x14ac:dyDescent="0.25">
      <c r="A951" t="s">
        <v>267</v>
      </c>
      <c r="B951">
        <v>132673</v>
      </c>
      <c r="C951">
        <v>870</v>
      </c>
      <c r="D951" s="1">
        <v>44053</v>
      </c>
      <c r="E951" t="str">
        <f>"202008048103"</f>
        <v>202008048103</v>
      </c>
      <c r="F951" t="str">
        <f>"REGISTRATION"</f>
        <v>REGISTRATION</v>
      </c>
      <c r="G951" s="4">
        <v>870</v>
      </c>
      <c r="H951" t="str">
        <f>"REGISTRATION MILLER"</f>
        <v>REGISTRATION MILLER</v>
      </c>
    </row>
    <row r="952" spans="1:8" x14ac:dyDescent="0.25">
      <c r="E952" t="str">
        <f>""</f>
        <v/>
      </c>
      <c r="F952" t="str">
        <f>""</f>
        <v/>
      </c>
      <c r="H952" t="str">
        <f>"REGISTRATION GOMEZ"</f>
        <v>REGISTRATION GOMEZ</v>
      </c>
    </row>
    <row r="953" spans="1:8" x14ac:dyDescent="0.25">
      <c r="E953" t="str">
        <f>""</f>
        <v/>
      </c>
      <c r="F953" t="str">
        <f>""</f>
        <v/>
      </c>
      <c r="H953" t="str">
        <f>"REGISTRATION CARTER"</f>
        <v>REGISTRATION CARTER</v>
      </c>
    </row>
    <row r="954" spans="1:8" x14ac:dyDescent="0.25">
      <c r="A954" t="s">
        <v>268</v>
      </c>
      <c r="B954">
        <v>3060</v>
      </c>
      <c r="C954">
        <v>220.8</v>
      </c>
      <c r="D954" s="1">
        <v>44068</v>
      </c>
      <c r="E954" t="str">
        <f>"202008178381"</f>
        <v>202008178381</v>
      </c>
      <c r="F954" t="str">
        <f>"INDIGENT HEALTH"</f>
        <v>INDIGENT HEALTH</v>
      </c>
      <c r="G954" s="4">
        <v>220.8</v>
      </c>
      <c r="H954" t="str">
        <f>"INDIGENT HEALTH"</f>
        <v>INDIGENT HEALTH</v>
      </c>
    </row>
    <row r="955" spans="1:8" x14ac:dyDescent="0.25">
      <c r="A955" t="s">
        <v>269</v>
      </c>
      <c r="B955">
        <v>132814</v>
      </c>
      <c r="C955">
        <v>85.68</v>
      </c>
      <c r="D955" s="1">
        <v>44067</v>
      </c>
      <c r="E955" t="str">
        <f>"202008178386"</f>
        <v>202008178386</v>
      </c>
      <c r="F955" t="str">
        <f>"INDIGENT HEALTH"</f>
        <v>INDIGENT HEALTH</v>
      </c>
      <c r="G955" s="4">
        <v>85.68</v>
      </c>
      <c r="H955" t="str">
        <f>"INDIGENT HEALTH"</f>
        <v>INDIGENT HEALTH</v>
      </c>
    </row>
    <row r="956" spans="1:8" x14ac:dyDescent="0.25">
      <c r="E956" t="str">
        <f>""</f>
        <v/>
      </c>
      <c r="F956" t="str">
        <f>""</f>
        <v/>
      </c>
      <c r="H956" t="str">
        <f>"INDIGENT HEALTH"</f>
        <v>INDIGENT HEALTH</v>
      </c>
    </row>
    <row r="957" spans="1:8" x14ac:dyDescent="0.25">
      <c r="A957" t="s">
        <v>270</v>
      </c>
      <c r="B957">
        <v>132815</v>
      </c>
      <c r="C957">
        <v>3120.67</v>
      </c>
      <c r="D957" s="1">
        <v>44067</v>
      </c>
      <c r="E957" t="str">
        <f>"202008178387"</f>
        <v>202008178387</v>
      </c>
      <c r="F957" t="str">
        <f>"INDIGENT HEALTH"</f>
        <v>INDIGENT HEALTH</v>
      </c>
      <c r="G957" s="4">
        <v>3120.67</v>
      </c>
      <c r="H957" t="str">
        <f>"INDIGENT HEALTH"</f>
        <v>INDIGENT HEALTH</v>
      </c>
    </row>
    <row r="958" spans="1:8" x14ac:dyDescent="0.25">
      <c r="A958" t="s">
        <v>271</v>
      </c>
      <c r="B958">
        <v>132816</v>
      </c>
      <c r="C958">
        <v>4495</v>
      </c>
      <c r="D958" s="1">
        <v>44067</v>
      </c>
      <c r="E958" t="str">
        <f>"202008188430"</f>
        <v>202008188430</v>
      </c>
      <c r="F958" t="str">
        <f>"Metal Detector"</f>
        <v>Metal Detector</v>
      </c>
      <c r="G958" s="4">
        <v>4495</v>
      </c>
      <c r="H958" t="str">
        <f>"Metal Detector"</f>
        <v>Metal Detector</v>
      </c>
    </row>
    <row r="959" spans="1:8" x14ac:dyDescent="0.25">
      <c r="E959" t="str">
        <f>""</f>
        <v/>
      </c>
      <c r="F959" t="str">
        <f>""</f>
        <v/>
      </c>
      <c r="H959" t="str">
        <f>"Shipping"</f>
        <v>Shipping</v>
      </c>
    </row>
    <row r="960" spans="1:8" x14ac:dyDescent="0.25">
      <c r="E960" t="str">
        <f>""</f>
        <v/>
      </c>
      <c r="F960" t="str">
        <f>""</f>
        <v/>
      </c>
      <c r="H960" t="str">
        <f>"Training"</f>
        <v>Training</v>
      </c>
    </row>
    <row r="961" spans="1:8" x14ac:dyDescent="0.25">
      <c r="A961" t="s">
        <v>272</v>
      </c>
      <c r="B961">
        <v>132817</v>
      </c>
      <c r="C961">
        <v>256.01</v>
      </c>
      <c r="D961" s="1">
        <v>44067</v>
      </c>
      <c r="E961" t="str">
        <f>"375014"</f>
        <v>375014</v>
      </c>
      <c r="F961" t="str">
        <f>"INV 375014 REIMBURSEMENT"</f>
        <v>INV 375014 REIMBURSEMENT</v>
      </c>
      <c r="G961" s="4">
        <v>256.01</v>
      </c>
      <c r="H961" t="str">
        <f>"INV 375014 REIMBURSEMENT"</f>
        <v>INV 375014 REIMBURSEMENT</v>
      </c>
    </row>
    <row r="962" spans="1:8" x14ac:dyDescent="0.25">
      <c r="A962" t="s">
        <v>273</v>
      </c>
      <c r="B962">
        <v>132818</v>
      </c>
      <c r="C962">
        <v>2299.06</v>
      </c>
      <c r="D962" s="1">
        <v>44067</v>
      </c>
      <c r="E962" t="str">
        <f>"202008178374"</f>
        <v>202008178374</v>
      </c>
      <c r="F962" t="str">
        <f>"INDIGENT HEALTH"</f>
        <v>INDIGENT HEALTH</v>
      </c>
      <c r="G962" s="4">
        <v>2299.06</v>
      </c>
      <c r="H962" t="str">
        <f>"INDIGENT HEALTH"</f>
        <v>INDIGENT HEALTH</v>
      </c>
    </row>
    <row r="963" spans="1:8" x14ac:dyDescent="0.25">
      <c r="E963" t="str">
        <f>""</f>
        <v/>
      </c>
      <c r="F963" t="str">
        <f>""</f>
        <v/>
      </c>
      <c r="H963" t="str">
        <f>"INDIGENT HEALTH"</f>
        <v>INDIGENT HEALTH</v>
      </c>
    </row>
    <row r="964" spans="1:8" x14ac:dyDescent="0.25">
      <c r="A964" t="s">
        <v>274</v>
      </c>
      <c r="B964">
        <v>132819</v>
      </c>
      <c r="C964">
        <v>84</v>
      </c>
      <c r="D964" s="1">
        <v>44067</v>
      </c>
      <c r="E964" t="s">
        <v>275</v>
      </c>
      <c r="F964" t="str">
        <f>"RESTITUTION - D. MCCOMB"</f>
        <v>RESTITUTION - D. MCCOMB</v>
      </c>
      <c r="G964" s="4">
        <v>34</v>
      </c>
      <c r="H964" t="str">
        <f>"RESTITUTION - D. MCCOMB"</f>
        <v>RESTITUTION - D. MCCOMB</v>
      </c>
    </row>
    <row r="965" spans="1:8" x14ac:dyDescent="0.25">
      <c r="E965" t="s">
        <v>276</v>
      </c>
      <c r="F965" t="str">
        <f>"RESTITUTION - D. MCCOMB"</f>
        <v>RESTITUTION - D. MCCOMB</v>
      </c>
      <c r="G965" s="4">
        <v>50</v>
      </c>
      <c r="H965" t="str">
        <f>"RESTITUTION - D. MCCOMB"</f>
        <v>RESTITUTION - D. MCCOMB</v>
      </c>
    </row>
    <row r="966" spans="1:8" x14ac:dyDescent="0.25">
      <c r="A966" t="s">
        <v>277</v>
      </c>
      <c r="B966">
        <v>132674</v>
      </c>
      <c r="C966">
        <v>359.72</v>
      </c>
      <c r="D966" s="1">
        <v>44053</v>
      </c>
      <c r="E966" t="str">
        <f>"202007308053"</f>
        <v>202007308053</v>
      </c>
      <c r="F966" t="str">
        <f>"ACCT#20150/PCT#1"</f>
        <v>ACCT#20150/PCT#1</v>
      </c>
      <c r="G966" s="4">
        <v>90</v>
      </c>
      <c r="H966" t="str">
        <f>"ACCT#20150/PCT#1"</f>
        <v>ACCT#20150/PCT#1</v>
      </c>
    </row>
    <row r="967" spans="1:8" x14ac:dyDescent="0.25">
      <c r="E967" t="str">
        <f>"202008038072"</f>
        <v>202008038072</v>
      </c>
      <c r="F967" t="str">
        <f>"ACCT#20147/ANIMAL SERVICES"</f>
        <v>ACCT#20147/ANIMAL SERVICES</v>
      </c>
      <c r="G967" s="4">
        <v>269.72000000000003</v>
      </c>
      <c r="H967" t="str">
        <f>"ACCT#20147/ANIMAL SERVICES"</f>
        <v>ACCT#20147/ANIMAL SERVICES</v>
      </c>
    </row>
    <row r="968" spans="1:8" x14ac:dyDescent="0.25">
      <c r="A968" t="s">
        <v>278</v>
      </c>
      <c r="B968">
        <v>132675</v>
      </c>
      <c r="C968">
        <v>422</v>
      </c>
      <c r="D968" s="1">
        <v>44053</v>
      </c>
      <c r="E968" t="str">
        <f>"GB00375205"</f>
        <v>GB00375205</v>
      </c>
      <c r="F968" t="str">
        <f>"Office phone for the tax"</f>
        <v>Office phone for the tax</v>
      </c>
      <c r="G968" s="4">
        <v>211</v>
      </c>
      <c r="H968" t="str">
        <f>"Part#: CP-8811-K9="</f>
        <v>Part#: CP-8811-K9=</v>
      </c>
    </row>
    <row r="969" spans="1:8" x14ac:dyDescent="0.25">
      <c r="E969" t="str">
        <f>"GB00375207"</f>
        <v>GB00375207</v>
      </c>
      <c r="F969" t="str">
        <f>"Office phone for Communic"</f>
        <v>Office phone for Communic</v>
      </c>
      <c r="G969" s="4">
        <v>211</v>
      </c>
      <c r="H969" t="str">
        <f>"Part#: CP-8811-K9="</f>
        <v>Part#: CP-8811-K9=</v>
      </c>
    </row>
    <row r="970" spans="1:8" x14ac:dyDescent="0.25">
      <c r="A970" t="s">
        <v>278</v>
      </c>
      <c r="B970">
        <v>132820</v>
      </c>
      <c r="C970">
        <v>211</v>
      </c>
      <c r="D970" s="1">
        <v>44067</v>
      </c>
      <c r="E970" t="str">
        <f>"GB00375206"</f>
        <v>GB00375206</v>
      </c>
      <c r="F970" t="str">
        <f>"Office phone for JP1"</f>
        <v>Office phone for JP1</v>
      </c>
      <c r="G970" s="4">
        <v>211</v>
      </c>
      <c r="H970" t="str">
        <f>"Part#: CP-8811-K9="</f>
        <v>Part#: CP-8811-K9=</v>
      </c>
    </row>
    <row r="971" spans="1:8" x14ac:dyDescent="0.25">
      <c r="A971" t="s">
        <v>279</v>
      </c>
      <c r="B971">
        <v>132676</v>
      </c>
      <c r="C971">
        <v>848.44</v>
      </c>
      <c r="D971" s="1">
        <v>44053</v>
      </c>
      <c r="E971" t="str">
        <f>"8180225407"</f>
        <v>8180225407</v>
      </c>
      <c r="F971" t="str">
        <f>"INV 8180225407"</f>
        <v>INV 8180225407</v>
      </c>
      <c r="G971" s="4">
        <v>154.62</v>
      </c>
      <c r="H971" t="str">
        <f>"INV 8180225407 (LE)"</f>
        <v>INV 8180225407 (LE)</v>
      </c>
    </row>
    <row r="972" spans="1:8" x14ac:dyDescent="0.25">
      <c r="E972" t="str">
        <f>""</f>
        <v/>
      </c>
      <c r="F972" t="str">
        <f>""</f>
        <v/>
      </c>
      <c r="H972" t="str">
        <f>"INV 8180225407 (JAIL"</f>
        <v>INV 8180225407 (JAIL</v>
      </c>
    </row>
    <row r="973" spans="1:8" x14ac:dyDescent="0.25">
      <c r="E973" t="str">
        <f>"8180225915"</f>
        <v>8180225915</v>
      </c>
      <c r="F973" t="str">
        <f>"CUST#16155373/PURCHASING DEPT"</f>
        <v>CUST#16155373/PURCHASING DEPT</v>
      </c>
      <c r="G973" s="4">
        <v>126.78</v>
      </c>
      <c r="H973" t="str">
        <f t="shared" ref="H973:H978" si="15">"CUST#16155373/PURCHASING DEPT"</f>
        <v>CUST#16155373/PURCHASING DEPT</v>
      </c>
    </row>
    <row r="974" spans="1:8" x14ac:dyDescent="0.25">
      <c r="E974" t="str">
        <f>""</f>
        <v/>
      </c>
      <c r="F974" t="str">
        <f>""</f>
        <v/>
      </c>
      <c r="H974" t="str">
        <f t="shared" si="15"/>
        <v>CUST#16155373/PURCHASING DEPT</v>
      </c>
    </row>
    <row r="975" spans="1:8" x14ac:dyDescent="0.25">
      <c r="E975" t="str">
        <f>""</f>
        <v/>
      </c>
      <c r="F975" t="str">
        <f>""</f>
        <v/>
      </c>
      <c r="H975" t="str">
        <f t="shared" si="15"/>
        <v>CUST#16155373/PURCHASING DEPT</v>
      </c>
    </row>
    <row r="976" spans="1:8" x14ac:dyDescent="0.25">
      <c r="E976" t="str">
        <f>""</f>
        <v/>
      </c>
      <c r="F976" t="str">
        <f>""</f>
        <v/>
      </c>
      <c r="H976" t="str">
        <f t="shared" si="15"/>
        <v>CUST#16155373/PURCHASING DEPT</v>
      </c>
    </row>
    <row r="977" spans="1:8" x14ac:dyDescent="0.25">
      <c r="E977" t="str">
        <f>""</f>
        <v/>
      </c>
      <c r="F977" t="str">
        <f>""</f>
        <v/>
      </c>
      <c r="H977" t="str">
        <f t="shared" si="15"/>
        <v>CUST#16155373/PURCHASING DEPT</v>
      </c>
    </row>
    <row r="978" spans="1:8" x14ac:dyDescent="0.25">
      <c r="E978" t="str">
        <f>""</f>
        <v/>
      </c>
      <c r="F978" t="str">
        <f>""</f>
        <v/>
      </c>
      <c r="H978" t="str">
        <f t="shared" si="15"/>
        <v>CUST#16155373/PURCHASING DEPT</v>
      </c>
    </row>
    <row r="979" spans="1:8" x14ac:dyDescent="0.25">
      <c r="E979" t="str">
        <f>"8180225959"</f>
        <v>8180225959</v>
      </c>
      <c r="F979" t="str">
        <f>"CUST#16156071/TAX OFFICE"</f>
        <v>CUST#16156071/TAX OFFICE</v>
      </c>
      <c r="G979" s="4">
        <v>497.33</v>
      </c>
      <c r="H979" t="str">
        <f>"CUST#16156071/TAX OFFICE"</f>
        <v>CUST#16156071/TAX OFFICE</v>
      </c>
    </row>
    <row r="980" spans="1:8" x14ac:dyDescent="0.25">
      <c r="E980" t="str">
        <f>"8180226149"</f>
        <v>8180226149</v>
      </c>
      <c r="F980" t="str">
        <f>"CUST#16160327/INDIGENT HLTH"</f>
        <v>CUST#16160327/INDIGENT HLTH</v>
      </c>
      <c r="G980" s="4">
        <v>69.709999999999994</v>
      </c>
      <c r="H980" t="str">
        <f>"CUST#16160327/INDIGENT HLTH"</f>
        <v>CUST#16160327/INDIGENT HLTH</v>
      </c>
    </row>
    <row r="981" spans="1:8" x14ac:dyDescent="0.25">
      <c r="E981" t="str">
        <f>""</f>
        <v/>
      </c>
      <c r="F981" t="str">
        <f>""</f>
        <v/>
      </c>
      <c r="H981" t="str">
        <f>"CUST#16160327/INDIGENT HLTH"</f>
        <v>CUST#16160327/INDIGENT HLTH</v>
      </c>
    </row>
    <row r="982" spans="1:8" x14ac:dyDescent="0.25">
      <c r="A982" t="s">
        <v>279</v>
      </c>
      <c r="B982">
        <v>132821</v>
      </c>
      <c r="C982">
        <v>101.86</v>
      </c>
      <c r="D982" s="1">
        <v>44067</v>
      </c>
      <c r="E982" t="str">
        <f>"8180225781"</f>
        <v>8180225781</v>
      </c>
      <c r="F982" t="str">
        <f>"CUST#16151857/PURCHASING"</f>
        <v>CUST#16151857/PURCHASING</v>
      </c>
      <c r="G982" s="4">
        <v>101.86</v>
      </c>
      <c r="H982" t="str">
        <f>"CUST#16151857/PURCHASING"</f>
        <v>CUST#16151857/PURCHASING</v>
      </c>
    </row>
    <row r="983" spans="1:8" x14ac:dyDescent="0.25">
      <c r="E983" t="str">
        <f>""</f>
        <v/>
      </c>
      <c r="F983" t="str">
        <f>""</f>
        <v/>
      </c>
      <c r="H983" t="str">
        <f>"CUST#16151857/PURCHASING"</f>
        <v>CUST#16151857/PURCHASING</v>
      </c>
    </row>
    <row r="984" spans="1:8" x14ac:dyDescent="0.25">
      <c r="A984" t="s">
        <v>280</v>
      </c>
      <c r="B984">
        <v>2974</v>
      </c>
      <c r="C984">
        <v>1152.3</v>
      </c>
      <c r="D984" s="1">
        <v>44054</v>
      </c>
      <c r="E984" t="str">
        <f>"81663"</f>
        <v>81663</v>
      </c>
      <c r="F984" t="str">
        <f>"INV 81663"</f>
        <v>INV 81663</v>
      </c>
      <c r="G984" s="4">
        <v>61.55</v>
      </c>
      <c r="H984" t="str">
        <f>"INV 81663"</f>
        <v>INV 81663</v>
      </c>
    </row>
    <row r="985" spans="1:8" x14ac:dyDescent="0.25">
      <c r="E985" t="str">
        <f>"81729"</f>
        <v>81729</v>
      </c>
      <c r="F985" t="str">
        <f>"INV 81729"</f>
        <v>INV 81729</v>
      </c>
      <c r="G985" s="4">
        <v>1090.75</v>
      </c>
      <c r="H985" t="str">
        <f>"INV 81729"</f>
        <v>INV 81729</v>
      </c>
    </row>
    <row r="986" spans="1:8" x14ac:dyDescent="0.25">
      <c r="A986" t="s">
        <v>281</v>
      </c>
      <c r="B986">
        <v>132822</v>
      </c>
      <c r="C986">
        <v>304.85000000000002</v>
      </c>
      <c r="D986" s="1">
        <v>44067</v>
      </c>
      <c r="E986" t="str">
        <f>"33994"</f>
        <v>33994</v>
      </c>
      <c r="F986" t="str">
        <f>"SUPPLIES/PCT#2"</f>
        <v>SUPPLIES/PCT#2</v>
      </c>
      <c r="G986" s="4">
        <v>260.85000000000002</v>
      </c>
      <c r="H986" t="str">
        <f>"SUPPLIES/PCT#2"</f>
        <v>SUPPLIES/PCT#2</v>
      </c>
    </row>
    <row r="987" spans="1:8" x14ac:dyDescent="0.25">
      <c r="E987" t="str">
        <f>"477024"</f>
        <v>477024</v>
      </c>
      <c r="F987" t="str">
        <f>"STATEMENT#33995/PCT#3"</f>
        <v>STATEMENT#33995/PCT#3</v>
      </c>
      <c r="G987" s="4">
        <v>44</v>
      </c>
      <c r="H987" t="str">
        <f>"STATEMENT#33995/PCT#3"</f>
        <v>STATEMENT#33995/PCT#3</v>
      </c>
    </row>
    <row r="988" spans="1:8" x14ac:dyDescent="0.25">
      <c r="A988" t="s">
        <v>282</v>
      </c>
      <c r="B988">
        <v>132677</v>
      </c>
      <c r="C988">
        <v>729.13</v>
      </c>
      <c r="D988" s="1">
        <v>44053</v>
      </c>
      <c r="E988" t="str">
        <f>"202008058191"</f>
        <v>202008058191</v>
      </c>
      <c r="F988" t="str">
        <f>"ACCT#260/PCT#2"</f>
        <v>ACCT#260/PCT#2</v>
      </c>
      <c r="G988" s="4">
        <v>729.13</v>
      </c>
      <c r="H988" t="str">
        <f>"ACCT#260/PCT#2"</f>
        <v>ACCT#260/PCT#2</v>
      </c>
    </row>
    <row r="989" spans="1:8" x14ac:dyDescent="0.25">
      <c r="A989" t="s">
        <v>283</v>
      </c>
      <c r="B989">
        <v>132678</v>
      </c>
      <c r="C989">
        <v>15000</v>
      </c>
      <c r="D989" s="1">
        <v>44053</v>
      </c>
      <c r="E989" t="str">
        <f>"202008038065"</f>
        <v>202008038065</v>
      </c>
      <c r="F989" t="str">
        <f>"FY 19-20 FUNDS"</f>
        <v>FY 19-20 FUNDS</v>
      </c>
      <c r="G989" s="4">
        <v>15000</v>
      </c>
      <c r="H989" t="str">
        <f>"FY 19-20 FUNDS"</f>
        <v>FY 19-20 FUNDS</v>
      </c>
    </row>
    <row r="990" spans="1:8" x14ac:dyDescent="0.25">
      <c r="A990" t="s">
        <v>284</v>
      </c>
      <c r="B990">
        <v>132679</v>
      </c>
      <c r="C990">
        <v>2135.96</v>
      </c>
      <c r="D990" s="1">
        <v>44053</v>
      </c>
      <c r="E990" t="str">
        <f>"4240012982"</f>
        <v>4240012982</v>
      </c>
      <c r="F990" t="str">
        <f>"INV 4240012982"</f>
        <v>INV 4240012982</v>
      </c>
      <c r="G990" s="4">
        <v>1793.12</v>
      </c>
      <c r="H990" t="str">
        <f>"INV 4240012982"</f>
        <v>INV 4240012982</v>
      </c>
    </row>
    <row r="991" spans="1:8" x14ac:dyDescent="0.25">
      <c r="E991" t="str">
        <f>""</f>
        <v/>
      </c>
      <c r="F991" t="str">
        <f>""</f>
        <v/>
      </c>
      <c r="H991" t="str">
        <f>"INV 4240012982"</f>
        <v>INV 4240012982</v>
      </c>
    </row>
    <row r="992" spans="1:8" x14ac:dyDescent="0.25">
      <c r="E992" t="str">
        <f>"4240015223"</f>
        <v>4240015223</v>
      </c>
      <c r="F992" t="str">
        <f>"INV 4240015223"</f>
        <v>INV 4240015223</v>
      </c>
      <c r="G992" s="4">
        <v>218.44</v>
      </c>
      <c r="H992" t="str">
        <f>"INV 4240015223"</f>
        <v>INV 4240015223</v>
      </c>
    </row>
    <row r="993" spans="1:8" x14ac:dyDescent="0.25">
      <c r="E993" t="str">
        <f>"4240015560"</f>
        <v>4240015560</v>
      </c>
      <c r="F993" t="str">
        <f>"INV 4240015560 /UNIT 3042"</f>
        <v>INV 4240015560 /UNIT 3042</v>
      </c>
      <c r="G993" s="4">
        <v>124.4</v>
      </c>
      <c r="H993" t="str">
        <f>"INV 4240015560 /UNIT 3042"</f>
        <v>INV 4240015560 /UNIT 3042</v>
      </c>
    </row>
    <row r="994" spans="1:8" x14ac:dyDescent="0.25">
      <c r="A994" t="s">
        <v>284</v>
      </c>
      <c r="B994">
        <v>132823</v>
      </c>
      <c r="C994">
        <v>1666.96</v>
      </c>
      <c r="D994" s="1">
        <v>44067</v>
      </c>
      <c r="E994" t="str">
        <f>"4240016035"</f>
        <v>4240016035</v>
      </c>
      <c r="F994" t="str">
        <f>"INV 4240016035 / UNIT 126"</f>
        <v>INV 4240016035 / UNIT 126</v>
      </c>
      <c r="G994" s="4">
        <v>581.84</v>
      </c>
      <c r="H994" t="str">
        <f>"INV 4240016035 / UNIT 126"</f>
        <v>INV 4240016035 / UNIT 126</v>
      </c>
    </row>
    <row r="995" spans="1:8" x14ac:dyDescent="0.25">
      <c r="E995" t="str">
        <f>"4650051732"</f>
        <v>4650051732</v>
      </c>
      <c r="F995" t="str">
        <f>"CUST#0052157/PCT#3"</f>
        <v>CUST#0052157/PCT#3</v>
      </c>
      <c r="G995" s="4">
        <v>868.62</v>
      </c>
      <c r="H995" t="str">
        <f>"CUST#0052157/PCT#3"</f>
        <v>CUST#0052157/PCT#3</v>
      </c>
    </row>
    <row r="996" spans="1:8" x14ac:dyDescent="0.25">
      <c r="E996" t="str">
        <f>"4650052467"</f>
        <v>4650052467</v>
      </c>
      <c r="F996" t="str">
        <f>"CUST#0052158/PCT#4"</f>
        <v>CUST#0052158/PCT#4</v>
      </c>
      <c r="G996" s="4">
        <v>216.5</v>
      </c>
      <c r="H996" t="str">
        <f>"CUST#0052158/PCT#4"</f>
        <v>CUST#0052158/PCT#4</v>
      </c>
    </row>
    <row r="997" spans="1:8" x14ac:dyDescent="0.25">
      <c r="A997" t="s">
        <v>285</v>
      </c>
      <c r="B997">
        <v>132680</v>
      </c>
      <c r="C997">
        <v>49.26</v>
      </c>
      <c r="D997" s="1">
        <v>44053</v>
      </c>
      <c r="E997" t="str">
        <f>"9604456 071620"</f>
        <v>9604456 071620</v>
      </c>
      <c r="F997" t="str">
        <f>"ACCT#46668439604456"</f>
        <v>ACCT#46668439604456</v>
      </c>
      <c r="G997" s="4">
        <v>49.26</v>
      </c>
      <c r="H997" t="str">
        <f>"ACCT#46668439604456"</f>
        <v>ACCT#46668439604456</v>
      </c>
    </row>
    <row r="998" spans="1:8" x14ac:dyDescent="0.25">
      <c r="A998" t="s">
        <v>286</v>
      </c>
      <c r="B998">
        <v>132824</v>
      </c>
      <c r="C998">
        <v>93.46</v>
      </c>
      <c r="D998" s="1">
        <v>44067</v>
      </c>
      <c r="E998" t="str">
        <f>"202008178389"</f>
        <v>202008178389</v>
      </c>
      <c r="F998" t="str">
        <f>"INDIGENT HEALTH"</f>
        <v>INDIGENT HEALTH</v>
      </c>
      <c r="G998" s="4">
        <v>93.46</v>
      </c>
      <c r="H998" t="str">
        <f>"INDIGENT HEALTH"</f>
        <v>INDIGENT HEALTH</v>
      </c>
    </row>
    <row r="999" spans="1:8" x14ac:dyDescent="0.25">
      <c r="A999" t="s">
        <v>287</v>
      </c>
      <c r="B999">
        <v>132681</v>
      </c>
      <c r="C999">
        <v>2045.6</v>
      </c>
      <c r="D999" s="1">
        <v>44053</v>
      </c>
      <c r="E999" t="str">
        <f>"805900100 4"</f>
        <v>805900100 4</v>
      </c>
      <c r="F999" t="str">
        <f>"Staples"</f>
        <v>Staples</v>
      </c>
      <c r="G999" s="4">
        <v>2045.6</v>
      </c>
      <c r="H999" t="str">
        <f>"3451352558"</f>
        <v>3451352558</v>
      </c>
    </row>
    <row r="1000" spans="1:8" x14ac:dyDescent="0.25">
      <c r="E1000" t="str">
        <f>""</f>
        <v/>
      </c>
      <c r="F1000" t="str">
        <f>""</f>
        <v/>
      </c>
      <c r="H1000" t="str">
        <f>"3451352576"</f>
        <v>3451352576</v>
      </c>
    </row>
    <row r="1001" spans="1:8" x14ac:dyDescent="0.25">
      <c r="E1001" t="str">
        <f>""</f>
        <v/>
      </c>
      <c r="F1001" t="str">
        <f>""</f>
        <v/>
      </c>
      <c r="H1001" t="str">
        <f>"3451352574"</f>
        <v>3451352574</v>
      </c>
    </row>
    <row r="1002" spans="1:8" x14ac:dyDescent="0.25">
      <c r="E1002" t="str">
        <f>""</f>
        <v/>
      </c>
      <c r="F1002" t="str">
        <f>""</f>
        <v/>
      </c>
      <c r="H1002" t="str">
        <f>"3451352561"</f>
        <v>3451352561</v>
      </c>
    </row>
    <row r="1003" spans="1:8" x14ac:dyDescent="0.25">
      <c r="E1003" t="str">
        <f>""</f>
        <v/>
      </c>
      <c r="F1003" t="str">
        <f>""</f>
        <v/>
      </c>
      <c r="H1003" t="str">
        <f>"3451352563"</f>
        <v>3451352563</v>
      </c>
    </row>
    <row r="1004" spans="1:8" x14ac:dyDescent="0.25">
      <c r="E1004" t="str">
        <f>""</f>
        <v/>
      </c>
      <c r="F1004" t="str">
        <f>""</f>
        <v/>
      </c>
      <c r="H1004" t="str">
        <f>"3451352564"</f>
        <v>3451352564</v>
      </c>
    </row>
    <row r="1005" spans="1:8" x14ac:dyDescent="0.25">
      <c r="E1005" t="str">
        <f>""</f>
        <v/>
      </c>
      <c r="F1005" t="str">
        <f>""</f>
        <v/>
      </c>
      <c r="H1005" t="str">
        <f>"3451352555"</f>
        <v>3451352555</v>
      </c>
    </row>
    <row r="1006" spans="1:8" x14ac:dyDescent="0.25">
      <c r="E1006" t="str">
        <f>""</f>
        <v/>
      </c>
      <c r="F1006" t="str">
        <f>""</f>
        <v/>
      </c>
      <c r="H1006" t="str">
        <f>"3451352570"</f>
        <v>3451352570</v>
      </c>
    </row>
    <row r="1007" spans="1:8" x14ac:dyDescent="0.25">
      <c r="E1007" t="str">
        <f>""</f>
        <v/>
      </c>
      <c r="F1007" t="str">
        <f>""</f>
        <v/>
      </c>
      <c r="H1007" t="str">
        <f>"3451352572"</f>
        <v>3451352572</v>
      </c>
    </row>
    <row r="1008" spans="1:8" x14ac:dyDescent="0.25">
      <c r="E1008" t="str">
        <f>""</f>
        <v/>
      </c>
      <c r="F1008" t="str">
        <f>""</f>
        <v/>
      </c>
      <c r="H1008" t="str">
        <f>"3451352566"</f>
        <v>3451352566</v>
      </c>
    </row>
    <row r="1009" spans="1:8" x14ac:dyDescent="0.25">
      <c r="E1009" t="str">
        <f>""</f>
        <v/>
      </c>
      <c r="F1009" t="str">
        <f>""</f>
        <v/>
      </c>
      <c r="H1009" t="str">
        <f>"3451352568"</f>
        <v>3451352568</v>
      </c>
    </row>
    <row r="1010" spans="1:8" x14ac:dyDescent="0.25">
      <c r="E1010" t="str">
        <f>""</f>
        <v/>
      </c>
      <c r="F1010" t="str">
        <f>""</f>
        <v/>
      </c>
      <c r="H1010" t="str">
        <f>"3451352558"</f>
        <v>3451352558</v>
      </c>
    </row>
    <row r="1011" spans="1:8" x14ac:dyDescent="0.25">
      <c r="A1011" t="s">
        <v>288</v>
      </c>
      <c r="B1011">
        <v>132825</v>
      </c>
      <c r="C1011">
        <v>580</v>
      </c>
      <c r="D1011" s="1">
        <v>44067</v>
      </c>
      <c r="E1011" t="str">
        <f>"202008128334"</f>
        <v>202008128334</v>
      </c>
      <c r="F1011" t="str">
        <f>"MONTH OF JULY 2020"</f>
        <v>MONTH OF JULY 2020</v>
      </c>
      <c r="G1011" s="4">
        <v>580</v>
      </c>
      <c r="H1011" t="str">
        <f>"MONTH OF JULY 2020"</f>
        <v>MONTH OF JULY 2020</v>
      </c>
    </row>
    <row r="1012" spans="1:8" x14ac:dyDescent="0.25">
      <c r="A1012" t="s">
        <v>289</v>
      </c>
      <c r="B1012">
        <v>3009</v>
      </c>
      <c r="C1012">
        <v>299</v>
      </c>
      <c r="D1012" s="1">
        <v>44068</v>
      </c>
      <c r="E1012" t="str">
        <f>"202008188411"</f>
        <v>202008188411</v>
      </c>
      <c r="F1012" t="str">
        <f>"TRASH REMOVAL 08/10-08/21/P4"</f>
        <v>TRASH REMOVAL 08/10-08/21/P4</v>
      </c>
      <c r="G1012" s="4">
        <v>299</v>
      </c>
      <c r="H1012" t="str">
        <f>"TRASH REMOVAL 08/10-08/21/P4"</f>
        <v>TRASH REMOVAL 08/10-08/21/P4</v>
      </c>
    </row>
    <row r="1013" spans="1:8" x14ac:dyDescent="0.25">
      <c r="A1013" t="s">
        <v>289</v>
      </c>
      <c r="B1013">
        <v>132682</v>
      </c>
      <c r="C1013">
        <v>455</v>
      </c>
      <c r="D1013" s="1">
        <v>44053</v>
      </c>
      <c r="E1013" t="str">
        <f>"202008058116"</f>
        <v>202008058116</v>
      </c>
      <c r="F1013" t="str">
        <f>"TRASH REMOVAL/JUL 27-31/PCT#4"</f>
        <v>TRASH REMOVAL/JUL 27-31/PCT#4</v>
      </c>
      <c r="G1013" s="4">
        <v>240.5</v>
      </c>
      <c r="H1013" t="str">
        <f>"TRASH REMOVAL/JUL 27-31/PCT#4"</f>
        <v>TRASH REMOVAL/JUL 27-31/PCT#4</v>
      </c>
    </row>
    <row r="1014" spans="1:8" x14ac:dyDescent="0.25">
      <c r="E1014" t="str">
        <f>"202008058117"</f>
        <v>202008058117</v>
      </c>
      <c r="F1014" t="str">
        <f>"TRASH REMOVAL AUG 3-7/PCT#4"</f>
        <v>TRASH REMOVAL AUG 3-7/PCT#4</v>
      </c>
      <c r="G1014" s="4">
        <v>214.5</v>
      </c>
      <c r="H1014" t="str">
        <f>"TRASH REMOVAL AUG 3-7/PCT#4"</f>
        <v>TRASH REMOVAL AUG 3-7/PCT#4</v>
      </c>
    </row>
    <row r="1015" spans="1:8" x14ac:dyDescent="0.25">
      <c r="A1015" t="s">
        <v>290</v>
      </c>
      <c r="B1015">
        <v>3022</v>
      </c>
      <c r="C1015">
        <v>13000</v>
      </c>
      <c r="D1015" s="1">
        <v>44068</v>
      </c>
      <c r="E1015" t="str">
        <f>"624"</f>
        <v>624</v>
      </c>
      <c r="F1015" t="str">
        <f>"SHREDDING/MOWING/PCT#2"</f>
        <v>SHREDDING/MOWING/PCT#2</v>
      </c>
      <c r="G1015" s="4">
        <v>13000</v>
      </c>
      <c r="H1015" t="str">
        <f>"SHREDDING/MOWING/PCT#2"</f>
        <v>SHREDDING/MOWING/PCT#2</v>
      </c>
    </row>
    <row r="1016" spans="1:8" x14ac:dyDescent="0.25">
      <c r="A1016" t="s">
        <v>291</v>
      </c>
      <c r="B1016">
        <v>3033</v>
      </c>
      <c r="C1016">
        <v>2613.29</v>
      </c>
      <c r="D1016" s="1">
        <v>44068</v>
      </c>
      <c r="E1016" t="str">
        <f>"95784896"</f>
        <v>95784896</v>
      </c>
      <c r="F1016" t="str">
        <f>"ACCT#10187718/PCT#2"</f>
        <v>ACCT#10187718/PCT#2</v>
      </c>
      <c r="G1016" s="4">
        <v>2613.29</v>
      </c>
      <c r="H1016" t="str">
        <f>"ACCT#10187718/PCT#2"</f>
        <v>ACCT#10187718/PCT#2</v>
      </c>
    </row>
    <row r="1017" spans="1:8" x14ac:dyDescent="0.25">
      <c r="A1017" t="s">
        <v>292</v>
      </c>
      <c r="B1017">
        <v>132826</v>
      </c>
      <c r="C1017">
        <v>175</v>
      </c>
      <c r="D1017" s="1">
        <v>44067</v>
      </c>
      <c r="E1017" t="str">
        <f>"300003166"</f>
        <v>300003166</v>
      </c>
      <c r="F1017" t="str">
        <f>"AGENCY/ORGANIZATION MEMBERSHIP"</f>
        <v>AGENCY/ORGANIZATION MEMBERSHIP</v>
      </c>
      <c r="G1017" s="4">
        <v>175</v>
      </c>
      <c r="H1017" t="str">
        <f>"AGENCY/ORGANIZATION MEMBERSHIP"</f>
        <v>AGENCY/ORGANIZATION MEMBERSHIP</v>
      </c>
    </row>
    <row r="1018" spans="1:8" x14ac:dyDescent="0.25">
      <c r="A1018" t="s">
        <v>293</v>
      </c>
      <c r="B1018">
        <v>132827</v>
      </c>
      <c r="C1018">
        <v>150</v>
      </c>
      <c r="D1018" s="1">
        <v>44067</v>
      </c>
      <c r="E1018" t="str">
        <f>"12395"</f>
        <v>12395</v>
      </c>
      <c r="F1018" t="str">
        <f>"SERVICE"</f>
        <v>SERVICE</v>
      </c>
      <c r="G1018" s="4">
        <v>150</v>
      </c>
      <c r="H1018" t="str">
        <f>"SERVICE"</f>
        <v>SERVICE</v>
      </c>
    </row>
    <row r="1019" spans="1:8" x14ac:dyDescent="0.25">
      <c r="A1019" t="s">
        <v>294</v>
      </c>
      <c r="B1019">
        <v>132828</v>
      </c>
      <c r="C1019">
        <v>2400</v>
      </c>
      <c r="D1019" s="1">
        <v>44067</v>
      </c>
      <c r="E1019" t="str">
        <f>"IN1821497"</f>
        <v>IN1821497</v>
      </c>
      <c r="F1019" t="str">
        <f>"NON DISCRIMINATION TESTING"</f>
        <v>NON DISCRIMINATION TESTING</v>
      </c>
      <c r="G1019" s="4">
        <v>2400</v>
      </c>
      <c r="H1019" t="str">
        <f>"NON DISCRIMINATION TESTING"</f>
        <v>NON DISCRIMINATION TESTING</v>
      </c>
    </row>
    <row r="1020" spans="1:8" x14ac:dyDescent="0.25">
      <c r="A1020" t="s">
        <v>295</v>
      </c>
      <c r="B1020">
        <v>132683</v>
      </c>
      <c r="C1020">
        <v>86</v>
      </c>
      <c r="D1020" s="1">
        <v>44053</v>
      </c>
      <c r="E1020" t="str">
        <f>"8005"</f>
        <v>8005</v>
      </c>
      <c r="F1020" t="str">
        <f>"ACCT#60-03-0903F/ANNUAL MONITO"</f>
        <v>ACCT#60-03-0903F/ANNUAL MONITO</v>
      </c>
      <c r="G1020" s="4">
        <v>86</v>
      </c>
      <c r="H1020" t="str">
        <f>"ACCT#60-03-0903F/ANNUAL MONITO"</f>
        <v>ACCT#60-03-0903F/ANNUAL MONITO</v>
      </c>
    </row>
    <row r="1021" spans="1:8" x14ac:dyDescent="0.25">
      <c r="A1021" t="s">
        <v>296</v>
      </c>
      <c r="B1021">
        <v>132829</v>
      </c>
      <c r="C1021">
        <v>250</v>
      </c>
      <c r="D1021" s="1">
        <v>44067</v>
      </c>
      <c r="E1021" t="str">
        <f>"RJ7264418"</f>
        <v>RJ7264418</v>
      </c>
      <c r="F1021" t="str">
        <f>"INV RJ7264418"</f>
        <v>INV RJ7264418</v>
      </c>
      <c r="G1021" s="4">
        <v>250</v>
      </c>
      <c r="H1021" t="str">
        <f>"INV RJ7264418"</f>
        <v>INV RJ7264418</v>
      </c>
    </row>
    <row r="1022" spans="1:8" x14ac:dyDescent="0.25">
      <c r="A1022" t="s">
        <v>297</v>
      </c>
      <c r="B1022">
        <v>3070</v>
      </c>
      <c r="C1022">
        <v>217</v>
      </c>
      <c r="D1022" s="1">
        <v>44068</v>
      </c>
      <c r="E1022" t="str">
        <f>"2009054"</f>
        <v>2009054</v>
      </c>
      <c r="F1022" t="str">
        <f>"CUST ID:BASTROP COUNTY CT"</f>
        <v>CUST ID:BASTROP COUNTY CT</v>
      </c>
      <c r="G1022" s="4">
        <v>217</v>
      </c>
      <c r="H1022" t="str">
        <f>"CUST ID:BASTROP COUNTY CT"</f>
        <v>CUST ID:BASTROP COUNTY CT</v>
      </c>
    </row>
    <row r="1023" spans="1:8" x14ac:dyDescent="0.25">
      <c r="A1023" t="s">
        <v>298</v>
      </c>
      <c r="B1023">
        <v>132830</v>
      </c>
      <c r="C1023">
        <v>1808</v>
      </c>
      <c r="D1023" s="1">
        <v>44067</v>
      </c>
      <c r="E1023" t="str">
        <f>"TD55742"</f>
        <v>TD55742</v>
      </c>
      <c r="F1023" t="str">
        <f>"PROJ#96191250/PCT#1"</f>
        <v>PROJ#96191250/PCT#1</v>
      </c>
      <c r="G1023" s="4">
        <v>1808</v>
      </c>
      <c r="H1023" t="str">
        <f>"PROJ#96191250/PCT#1"</f>
        <v>PROJ#96191250/PCT#1</v>
      </c>
    </row>
    <row r="1024" spans="1:8" x14ac:dyDescent="0.25">
      <c r="A1024" t="s">
        <v>299</v>
      </c>
      <c r="B1024">
        <v>3059</v>
      </c>
      <c r="C1024">
        <v>69</v>
      </c>
      <c r="D1024" s="1">
        <v>44068</v>
      </c>
      <c r="E1024" t="str">
        <f>"202008128311"</f>
        <v>202008128311</v>
      </c>
      <c r="F1024" t="str">
        <f>"MILEAGE REIMBURSEMENT"</f>
        <v>MILEAGE REIMBURSEMENT</v>
      </c>
      <c r="G1024" s="4">
        <v>69</v>
      </c>
      <c r="H1024" t="str">
        <f>"MILEAGE REIMBURSEMENT"</f>
        <v>MILEAGE REIMBURSEMENT</v>
      </c>
    </row>
    <row r="1025" spans="1:8" x14ac:dyDescent="0.25">
      <c r="A1025" t="s">
        <v>300</v>
      </c>
      <c r="B1025">
        <v>132684</v>
      </c>
      <c r="C1025">
        <v>947.25</v>
      </c>
      <c r="D1025" s="1">
        <v>44053</v>
      </c>
      <c r="E1025" t="str">
        <f>"404640"</f>
        <v>404640</v>
      </c>
      <c r="F1025" t="str">
        <f>"Air Filters"</f>
        <v>Air Filters</v>
      </c>
      <c r="G1025" s="4">
        <v>947.25</v>
      </c>
      <c r="H1025" t="str">
        <f>"91/2x29x1/2 Polyeste"</f>
        <v>91/2x29x1/2 Polyeste</v>
      </c>
    </row>
    <row r="1026" spans="1:8" x14ac:dyDescent="0.25">
      <c r="E1026" t="str">
        <f>""</f>
        <v/>
      </c>
      <c r="F1026" t="str">
        <f>""</f>
        <v/>
      </c>
      <c r="H1026" t="str">
        <f>"10x32x1/2 Polyester"</f>
        <v>10x32x1/2 Polyester</v>
      </c>
    </row>
    <row r="1027" spans="1:8" x14ac:dyDescent="0.25">
      <c r="E1027" t="str">
        <f>""</f>
        <v/>
      </c>
      <c r="F1027" t="str">
        <f>""</f>
        <v/>
      </c>
      <c r="H1027" t="str">
        <f>"10x30x1 Pleated"</f>
        <v>10x30x1 Pleated</v>
      </c>
    </row>
    <row r="1028" spans="1:8" x14ac:dyDescent="0.25">
      <c r="E1028" t="str">
        <f>""</f>
        <v/>
      </c>
      <c r="F1028" t="str">
        <f>""</f>
        <v/>
      </c>
      <c r="H1028" t="str">
        <f>"10x30 1/2x1/2 Polyes"</f>
        <v>10x30 1/2x1/2 Polyes</v>
      </c>
    </row>
    <row r="1029" spans="1:8" x14ac:dyDescent="0.25">
      <c r="E1029" t="str">
        <f>""</f>
        <v/>
      </c>
      <c r="F1029" t="str">
        <f>""</f>
        <v/>
      </c>
      <c r="H1029" t="str">
        <f>"14x20x1 Pleated"</f>
        <v>14x20x1 Pleated</v>
      </c>
    </row>
    <row r="1030" spans="1:8" x14ac:dyDescent="0.25">
      <c r="E1030" t="str">
        <f>""</f>
        <v/>
      </c>
      <c r="F1030" t="str">
        <f>""</f>
        <v/>
      </c>
      <c r="H1030" t="str">
        <f>"16x20x1 Pleated"</f>
        <v>16x20x1 Pleated</v>
      </c>
    </row>
    <row r="1031" spans="1:8" x14ac:dyDescent="0.25">
      <c r="E1031" t="str">
        <f>""</f>
        <v/>
      </c>
      <c r="F1031" t="str">
        <f>""</f>
        <v/>
      </c>
      <c r="H1031" t="str">
        <f>"18x24x2 Pleated"</f>
        <v>18x24x2 Pleated</v>
      </c>
    </row>
    <row r="1032" spans="1:8" x14ac:dyDescent="0.25">
      <c r="E1032" t="str">
        <f>""</f>
        <v/>
      </c>
      <c r="F1032" t="str">
        <f>""</f>
        <v/>
      </c>
      <c r="H1032" t="str">
        <f>"20x20x1 Pleated"</f>
        <v>20x20x1 Pleated</v>
      </c>
    </row>
    <row r="1033" spans="1:8" x14ac:dyDescent="0.25">
      <c r="E1033" t="str">
        <f>""</f>
        <v/>
      </c>
      <c r="F1033" t="str">
        <f>""</f>
        <v/>
      </c>
      <c r="H1033" t="str">
        <f>"20x24x4 Pleated"</f>
        <v>20x24x4 Pleated</v>
      </c>
    </row>
    <row r="1034" spans="1:8" x14ac:dyDescent="0.25">
      <c r="E1034" t="str">
        <f>""</f>
        <v/>
      </c>
      <c r="F1034" t="str">
        <f>""</f>
        <v/>
      </c>
      <c r="H1034" t="str">
        <f>"24x24x2 Pleated"</f>
        <v>24x24x2 Pleated</v>
      </c>
    </row>
    <row r="1035" spans="1:8" x14ac:dyDescent="0.25">
      <c r="E1035" t="str">
        <f>""</f>
        <v/>
      </c>
      <c r="F1035" t="str">
        <f>""</f>
        <v/>
      </c>
      <c r="H1035" t="str">
        <f>"25x25x2 Pleated"</f>
        <v>25x25x2 Pleated</v>
      </c>
    </row>
    <row r="1036" spans="1:8" x14ac:dyDescent="0.25">
      <c r="E1036" t="str">
        <f>""</f>
        <v/>
      </c>
      <c r="F1036" t="str">
        <f>""</f>
        <v/>
      </c>
      <c r="H1036" t="str">
        <f>"25x27 Pleated"</f>
        <v>25x27 Pleated</v>
      </c>
    </row>
    <row r="1037" spans="1:8" x14ac:dyDescent="0.25">
      <c r="E1037" t="str">
        <f>""</f>
        <v/>
      </c>
      <c r="F1037" t="str">
        <f>""</f>
        <v/>
      </c>
      <c r="H1037" t="str">
        <f>"18 1/2x37x4 Pleated"</f>
        <v>18 1/2x37x4 Pleated</v>
      </c>
    </row>
    <row r="1038" spans="1:8" x14ac:dyDescent="0.25">
      <c r="E1038" t="str">
        <f>""</f>
        <v/>
      </c>
      <c r="F1038" t="str">
        <f>""</f>
        <v/>
      </c>
      <c r="H1038" t="str">
        <f>"16x20x2 Pleated"</f>
        <v>16x20x2 Pleated</v>
      </c>
    </row>
    <row r="1039" spans="1:8" x14ac:dyDescent="0.25">
      <c r="A1039" t="s">
        <v>301</v>
      </c>
      <c r="B1039">
        <v>2977</v>
      </c>
      <c r="C1039">
        <v>89.1</v>
      </c>
      <c r="D1039" s="1">
        <v>44054</v>
      </c>
      <c r="E1039" t="str">
        <f>"202008038059"</f>
        <v>202008038059</v>
      </c>
      <c r="F1039" t="str">
        <f>"ACCT#63275/CUST ID:BASCO1"</f>
        <v>ACCT#63275/CUST ID:BASCO1</v>
      </c>
      <c r="G1039" s="4">
        <v>89.1</v>
      </c>
      <c r="H1039" t="str">
        <f>"ACCT#63275/CUST ID:BASCO1"</f>
        <v>ACCT#63275/CUST ID:BASCO1</v>
      </c>
    </row>
    <row r="1040" spans="1:8" x14ac:dyDescent="0.25">
      <c r="A1040" t="s">
        <v>302</v>
      </c>
      <c r="B1040">
        <v>132685</v>
      </c>
      <c r="C1040">
        <v>6534.34</v>
      </c>
      <c r="D1040" s="1">
        <v>44053</v>
      </c>
      <c r="E1040" t="str">
        <f>"0995565-IN"</f>
        <v>0995565-IN</v>
      </c>
      <c r="F1040" t="str">
        <f>"ACCT#01-0112917/FUEL/PCT#3"</f>
        <v>ACCT#01-0112917/FUEL/PCT#3</v>
      </c>
      <c r="G1040" s="4">
        <v>3402.9</v>
      </c>
      <c r="H1040" t="str">
        <f>"ACCT#01-0112917/FUEL/PCT#3"</f>
        <v>ACCT#01-0112917/FUEL/PCT#3</v>
      </c>
    </row>
    <row r="1041" spans="1:8" x14ac:dyDescent="0.25">
      <c r="E1041" t="str">
        <f>"0996883-IN"</f>
        <v>0996883-IN</v>
      </c>
      <c r="F1041" t="str">
        <f>"ACCT#01-0112917/PCT#4"</f>
        <v>ACCT#01-0112917/PCT#4</v>
      </c>
      <c r="G1041" s="4">
        <v>3131.44</v>
      </c>
      <c r="H1041" t="str">
        <f>"ACCT#01-0112917/PCT#4"</f>
        <v>ACCT#01-0112917/PCT#4</v>
      </c>
    </row>
    <row r="1042" spans="1:8" x14ac:dyDescent="0.25">
      <c r="A1042" t="s">
        <v>302</v>
      </c>
      <c r="B1042">
        <v>132831</v>
      </c>
      <c r="C1042">
        <v>2749.8</v>
      </c>
      <c r="D1042" s="1">
        <v>44067</v>
      </c>
      <c r="E1042" t="str">
        <f>"0999647-IN"</f>
        <v>0999647-IN</v>
      </c>
      <c r="F1042" t="str">
        <f>"ACCT#01-0112917/PCT#3"</f>
        <v>ACCT#01-0112917/PCT#3</v>
      </c>
      <c r="G1042" s="4">
        <v>2749.8</v>
      </c>
      <c r="H1042" t="str">
        <f>"ACCT#01-0112917/PCT#3"</f>
        <v>ACCT#01-0112917/PCT#3</v>
      </c>
    </row>
    <row r="1043" spans="1:8" x14ac:dyDescent="0.25">
      <c r="A1043" t="s">
        <v>303</v>
      </c>
      <c r="B1043">
        <v>132686</v>
      </c>
      <c r="C1043">
        <v>342</v>
      </c>
      <c r="D1043" s="1">
        <v>44053</v>
      </c>
      <c r="E1043" t="str">
        <f>"202008048097"</f>
        <v>202008048097</v>
      </c>
      <c r="F1043" t="str">
        <f>"AUGUST RENEWALS"</f>
        <v>AUGUST RENEWALS</v>
      </c>
      <c r="G1043" s="4">
        <v>200</v>
      </c>
      <c r="H1043" t="str">
        <f>"AUGUST RENEWALS"</f>
        <v>AUGUST RENEWALS</v>
      </c>
    </row>
    <row r="1044" spans="1:8" x14ac:dyDescent="0.25">
      <c r="E1044" t="str">
        <f>"5510  5492"</f>
        <v>5510  5492</v>
      </c>
      <c r="F1044" t="str">
        <f>"INV 5510 / 5492"</f>
        <v>INV 5510 / 5492</v>
      </c>
      <c r="G1044" s="4">
        <v>142</v>
      </c>
      <c r="H1044" t="str">
        <f>"INV 5510"</f>
        <v>INV 5510</v>
      </c>
    </row>
    <row r="1045" spans="1:8" x14ac:dyDescent="0.25">
      <c r="E1045" t="str">
        <f>""</f>
        <v/>
      </c>
      <c r="F1045" t="str">
        <f>""</f>
        <v/>
      </c>
      <c r="H1045" t="str">
        <f>"INV 5492"</f>
        <v>INV 5492</v>
      </c>
    </row>
    <row r="1046" spans="1:8" x14ac:dyDescent="0.25">
      <c r="A1046" t="s">
        <v>303</v>
      </c>
      <c r="B1046">
        <v>132832</v>
      </c>
      <c r="C1046">
        <v>471</v>
      </c>
      <c r="D1046" s="1">
        <v>44067</v>
      </c>
      <c r="E1046" t="str">
        <f>"202008188420"</f>
        <v>202008188420</v>
      </c>
      <c r="F1046" t="str">
        <f>"SEPT BOND RENEWALS"</f>
        <v>SEPT BOND RENEWALS</v>
      </c>
      <c r="G1046" s="4">
        <v>400</v>
      </c>
      <c r="H1046" t="str">
        <f>"SEPT BOND RENEWALS"</f>
        <v>SEPT BOND RENEWALS</v>
      </c>
    </row>
    <row r="1047" spans="1:8" x14ac:dyDescent="0.25">
      <c r="E1047" t="str">
        <f>"5414"</f>
        <v>5414</v>
      </c>
      <c r="F1047" t="str">
        <f>"ACCT#BASTCOU-04/SHERIFF"</f>
        <v>ACCT#BASTCOU-04/SHERIFF</v>
      </c>
      <c r="G1047" s="4">
        <v>71</v>
      </c>
      <c r="H1047" t="str">
        <f>"ACCT#BASTCOU-04/SHERIFF"</f>
        <v>ACCT#BASTCOU-04/SHERIFF</v>
      </c>
    </row>
    <row r="1048" spans="1:8" x14ac:dyDescent="0.25">
      <c r="A1048" t="s">
        <v>304</v>
      </c>
      <c r="B1048">
        <v>132833</v>
      </c>
      <c r="C1048">
        <v>400</v>
      </c>
      <c r="D1048" s="1">
        <v>44067</v>
      </c>
      <c r="E1048" t="str">
        <f>"302546"</f>
        <v>302546</v>
      </c>
      <c r="F1048" t="str">
        <f>"MEMBER ID:231974"</f>
        <v>MEMBER ID:231974</v>
      </c>
      <c r="G1048" s="4">
        <v>100</v>
      </c>
      <c r="H1048" t="str">
        <f>"MEMBER ID:231974"</f>
        <v>MEMBER ID:231974</v>
      </c>
    </row>
    <row r="1049" spans="1:8" x14ac:dyDescent="0.25">
      <c r="E1049" t="str">
        <f>"302547"</f>
        <v>302547</v>
      </c>
      <c r="F1049" t="str">
        <f>"MEMBER ID:243014"</f>
        <v>MEMBER ID:243014</v>
      </c>
      <c r="G1049" s="4">
        <v>100</v>
      </c>
      <c r="H1049" t="str">
        <f>"MEMBER ID:243014"</f>
        <v>MEMBER ID:243014</v>
      </c>
    </row>
    <row r="1050" spans="1:8" x14ac:dyDescent="0.25">
      <c r="E1050" t="str">
        <f>"302548"</f>
        <v>302548</v>
      </c>
      <c r="F1050" t="str">
        <f>"MEMBER ID:244950"</f>
        <v>MEMBER ID:244950</v>
      </c>
      <c r="G1050" s="4">
        <v>100</v>
      </c>
      <c r="H1050" t="str">
        <f>"MEMBER ID:244950"</f>
        <v>MEMBER ID:244950</v>
      </c>
    </row>
    <row r="1051" spans="1:8" x14ac:dyDescent="0.25">
      <c r="E1051" t="str">
        <f>"302549"</f>
        <v>302549</v>
      </c>
      <c r="F1051" t="str">
        <f>"MEMBER ID:247078"</f>
        <v>MEMBER ID:247078</v>
      </c>
      <c r="G1051" s="4">
        <v>100</v>
      </c>
      <c r="H1051" t="str">
        <f>"MEMBER ID:247078"</f>
        <v>MEMBER ID:247078</v>
      </c>
    </row>
    <row r="1052" spans="1:8" x14ac:dyDescent="0.25">
      <c r="A1052" t="s">
        <v>305</v>
      </c>
      <c r="B1052">
        <v>3037</v>
      </c>
      <c r="C1052">
        <v>55</v>
      </c>
      <c r="D1052" s="1">
        <v>44068</v>
      </c>
      <c r="E1052" t="str">
        <f>"15815"</f>
        <v>15815</v>
      </c>
      <c r="F1052" t="str">
        <f>"ACCT#1267C/MEDICAL WASTE P/U"</f>
        <v>ACCT#1267C/MEDICAL WASTE P/U</v>
      </c>
      <c r="G1052" s="4">
        <v>55</v>
      </c>
      <c r="H1052" t="str">
        <f>"ACCT#1267C/MEDICAL WASTE P/U"</f>
        <v>ACCT#1267C/MEDICAL WASTE P/U</v>
      </c>
    </row>
    <row r="1053" spans="1:8" x14ac:dyDescent="0.25">
      <c r="A1053" t="s">
        <v>306</v>
      </c>
      <c r="B1053">
        <v>132834</v>
      </c>
      <c r="C1053">
        <v>1</v>
      </c>
      <c r="D1053" s="1">
        <v>44067</v>
      </c>
      <c r="E1053" t="str">
        <f>"CRS-202004-192662"</f>
        <v>CRS-202004-192662</v>
      </c>
      <c r="F1053" t="str">
        <f>"SSECURE SITE CCH NAME SEARCH"</f>
        <v>SSECURE SITE CCH NAME SEARCH</v>
      </c>
      <c r="G1053" s="4">
        <v>1</v>
      </c>
      <c r="H1053" t="str">
        <f>"SSECURE SITE CCH NAME SEARCH"</f>
        <v>SSECURE SITE CCH NAME SEARCH</v>
      </c>
    </row>
    <row r="1054" spans="1:8" x14ac:dyDescent="0.25">
      <c r="A1054" t="s">
        <v>306</v>
      </c>
      <c r="B1054">
        <v>132835</v>
      </c>
      <c r="C1054">
        <v>276.5</v>
      </c>
      <c r="D1054" s="1">
        <v>44067</v>
      </c>
      <c r="E1054" t="s">
        <v>307</v>
      </c>
      <c r="F1054" t="str">
        <f>"RESTITUTION - B. HARRIS"</f>
        <v>RESTITUTION - B. HARRIS</v>
      </c>
      <c r="G1054" s="4">
        <v>96.5</v>
      </c>
      <c r="H1054" t="str">
        <f>"RESTITUTION - B. HARRIS"</f>
        <v>RESTITUTION - B. HARRIS</v>
      </c>
    </row>
    <row r="1055" spans="1:8" x14ac:dyDescent="0.25">
      <c r="E1055" t="s">
        <v>308</v>
      </c>
      <c r="F1055" t="str">
        <f>"RESTITUTION - V. MOORE"</f>
        <v>RESTITUTION - V. MOORE</v>
      </c>
      <c r="G1055" s="4">
        <v>180</v>
      </c>
      <c r="H1055" t="str">
        <f>"RESTITUTION - V. MOORE"</f>
        <v>RESTITUTION - V. MOORE</v>
      </c>
    </row>
    <row r="1056" spans="1:8" x14ac:dyDescent="0.25">
      <c r="A1056" t="s">
        <v>309</v>
      </c>
      <c r="B1056">
        <v>132687</v>
      </c>
      <c r="C1056">
        <v>155</v>
      </c>
      <c r="D1056" s="1">
        <v>44053</v>
      </c>
      <c r="E1056" t="str">
        <f>"5510140"</f>
        <v>5510140</v>
      </c>
      <c r="F1056" t="str">
        <f>"CUST#1-238865/TAHITIAN VILLAGE"</f>
        <v>CUST#1-238865/TAHITIAN VILLAGE</v>
      </c>
      <c r="G1056" s="4">
        <v>155</v>
      </c>
      <c r="H1056" t="str">
        <f>"CUST#1-238865/TAHITIAN VILLAGE"</f>
        <v>CUST#1-238865/TAHITIAN VILLAGE</v>
      </c>
    </row>
    <row r="1057" spans="1:8" x14ac:dyDescent="0.25">
      <c r="A1057" t="s">
        <v>310</v>
      </c>
      <c r="B1057">
        <v>132836</v>
      </c>
      <c r="C1057">
        <v>375</v>
      </c>
      <c r="D1057" s="1">
        <v>44067</v>
      </c>
      <c r="E1057" t="str">
        <f>"12537"</f>
        <v>12537</v>
      </c>
      <c r="F1057" t="str">
        <f>"ANNUAL CONF REG - ADENA LEWIS"</f>
        <v>ANNUAL CONF REG - ADENA LEWIS</v>
      </c>
      <c r="G1057" s="4">
        <v>375</v>
      </c>
      <c r="H1057" t="str">
        <f>"ANNUAL CONF REG - ADENA LEWIS"</f>
        <v>ANNUAL CONF REG - ADENA LEWIS</v>
      </c>
    </row>
    <row r="1058" spans="1:8" x14ac:dyDescent="0.25">
      <c r="A1058" t="s">
        <v>311</v>
      </c>
      <c r="B1058">
        <v>132688</v>
      </c>
      <c r="C1058">
        <v>147.52000000000001</v>
      </c>
      <c r="D1058" s="1">
        <v>44053</v>
      </c>
      <c r="E1058" t="str">
        <f>"42500"</f>
        <v>42500</v>
      </c>
      <c r="F1058" t="str">
        <f>"INV 42500"</f>
        <v>INV 42500</v>
      </c>
      <c r="G1058" s="4">
        <v>147.52000000000001</v>
      </c>
      <c r="H1058" t="str">
        <f>"INV 42500"</f>
        <v>INV 42500</v>
      </c>
    </row>
    <row r="1059" spans="1:8" x14ac:dyDescent="0.25">
      <c r="A1059" t="s">
        <v>312</v>
      </c>
      <c r="B1059">
        <v>132837</v>
      </c>
      <c r="C1059">
        <v>445</v>
      </c>
      <c r="D1059" s="1">
        <v>44067</v>
      </c>
      <c r="E1059" t="str">
        <f>"202008188415"</f>
        <v>202008188415</v>
      </c>
      <c r="F1059" t="str">
        <f>"TRAINING"</f>
        <v>TRAINING</v>
      </c>
      <c r="G1059" s="4">
        <v>445</v>
      </c>
      <c r="H1059" t="str">
        <f>"TRAINING"</f>
        <v>TRAINING</v>
      </c>
    </row>
    <row r="1060" spans="1:8" x14ac:dyDescent="0.25">
      <c r="A1060" t="s">
        <v>313</v>
      </c>
      <c r="B1060">
        <v>132838</v>
      </c>
      <c r="C1060">
        <v>276.75</v>
      </c>
      <c r="D1060" s="1">
        <v>44067</v>
      </c>
      <c r="E1060" t="str">
        <f>"J2-68427"</f>
        <v>J2-68427</v>
      </c>
      <c r="F1060" t="str">
        <f>"A-12537 - R. GUZMAN JR"</f>
        <v>A-12537 - R. GUZMAN JR</v>
      </c>
      <c r="G1060" s="4">
        <v>81</v>
      </c>
      <c r="H1060" t="str">
        <f>"A-12537 - R. GUZMAN JR"</f>
        <v>A-12537 - R. GUZMAN JR</v>
      </c>
    </row>
    <row r="1061" spans="1:8" x14ac:dyDescent="0.25">
      <c r="E1061" t="str">
        <f>"J2-68443"</f>
        <v>J2-68443</v>
      </c>
      <c r="F1061" t="str">
        <f>"A-12546 - E.C.SERRANO"</f>
        <v>A-12546 - E.C.SERRANO</v>
      </c>
      <c r="G1061" s="4">
        <v>81</v>
      </c>
      <c r="H1061" t="str">
        <f>"A-12546 - E.C.SERRANO"</f>
        <v>A-12546 - E.C.SERRANO</v>
      </c>
    </row>
    <row r="1062" spans="1:8" x14ac:dyDescent="0.25">
      <c r="E1062" t="str">
        <f>"J2-68444"</f>
        <v>J2-68444</v>
      </c>
      <c r="F1062" t="str">
        <f>"A-12546 -  E.C. SERRANO"</f>
        <v>A-12546 -  E.C. SERRANO</v>
      </c>
      <c r="G1062" s="4">
        <v>114.75</v>
      </c>
      <c r="H1062" t="str">
        <f>"A-12546 -  E.C. SERRANO"</f>
        <v>A-12546 -  E.C. SERRANO</v>
      </c>
    </row>
    <row r="1063" spans="1:8" x14ac:dyDescent="0.25">
      <c r="A1063" t="s">
        <v>314</v>
      </c>
      <c r="B1063">
        <v>132839</v>
      </c>
      <c r="C1063">
        <v>1565.03</v>
      </c>
      <c r="D1063" s="1">
        <v>44067</v>
      </c>
      <c r="E1063" t="str">
        <f>"200627"</f>
        <v>200627</v>
      </c>
      <c r="F1063" t="str">
        <f>"HOSE/PCT#2"</f>
        <v>HOSE/PCT#2</v>
      </c>
      <c r="G1063" s="4">
        <v>1565.03</v>
      </c>
      <c r="H1063" t="str">
        <f>"HOSE/PCT#2"</f>
        <v>HOSE/PCT#2</v>
      </c>
    </row>
    <row r="1064" spans="1:8" x14ac:dyDescent="0.25">
      <c r="A1064" t="s">
        <v>315</v>
      </c>
      <c r="B1064">
        <v>132689</v>
      </c>
      <c r="C1064">
        <v>2716.32</v>
      </c>
      <c r="D1064" s="1">
        <v>44053</v>
      </c>
      <c r="E1064" t="str">
        <f>"9-3736"</f>
        <v>9-3736</v>
      </c>
      <c r="F1064" t="str">
        <f>"inv# 9-3736"</f>
        <v>inv# 9-3736</v>
      </c>
      <c r="G1064" s="4">
        <v>1969.08</v>
      </c>
      <c r="H1064" t="str">
        <f>"Total Direct Cost"</f>
        <v>Total Direct Cost</v>
      </c>
    </row>
    <row r="1065" spans="1:8" x14ac:dyDescent="0.25">
      <c r="E1065" t="str">
        <f>""</f>
        <v/>
      </c>
      <c r="F1065" t="str">
        <f>""</f>
        <v/>
      </c>
      <c r="H1065" t="str">
        <f>"IDC at 15%"</f>
        <v>IDC at 15%</v>
      </c>
    </row>
    <row r="1066" spans="1:8" x14ac:dyDescent="0.25">
      <c r="E1066" t="str">
        <f>"9-4120"</f>
        <v>9-4120</v>
      </c>
      <c r="F1066" t="str">
        <f>"inv# 9-4120"</f>
        <v>inv# 9-4120</v>
      </c>
      <c r="G1066" s="4">
        <v>747.24</v>
      </c>
      <c r="H1066" t="str">
        <f>"Total Direct Cost"</f>
        <v>Total Direct Cost</v>
      </c>
    </row>
    <row r="1067" spans="1:8" x14ac:dyDescent="0.25">
      <c r="E1067" t="str">
        <f>""</f>
        <v/>
      </c>
      <c r="F1067" t="str">
        <f>""</f>
        <v/>
      </c>
      <c r="H1067" t="str">
        <f>"IDC at 15%"</f>
        <v>IDC at 15%</v>
      </c>
    </row>
    <row r="1068" spans="1:8" x14ac:dyDescent="0.25">
      <c r="A1068" t="s">
        <v>316</v>
      </c>
      <c r="B1068">
        <v>3034</v>
      </c>
      <c r="C1068">
        <v>199.19</v>
      </c>
      <c r="D1068" s="1">
        <v>44068</v>
      </c>
      <c r="E1068" t="str">
        <f>"202008178390"</f>
        <v>202008178390</v>
      </c>
      <c r="F1068" t="str">
        <f>"INDIGENT HEALTH"</f>
        <v>INDIGENT HEALTH</v>
      </c>
      <c r="G1068" s="4">
        <v>199.19</v>
      </c>
      <c r="H1068" t="str">
        <f>"INDIGENT HEALTH"</f>
        <v>INDIGENT HEALTH</v>
      </c>
    </row>
    <row r="1069" spans="1:8" x14ac:dyDescent="0.25">
      <c r="A1069" t="s">
        <v>317</v>
      </c>
      <c r="B1069">
        <v>2950</v>
      </c>
      <c r="C1069">
        <v>1679</v>
      </c>
      <c r="D1069" s="1">
        <v>44054</v>
      </c>
      <c r="E1069" t="str">
        <f>"169589"</f>
        <v>169589</v>
      </c>
      <c r="F1069" t="str">
        <f>"ACCT#188757/JP4/TAX OFFICE"</f>
        <v>ACCT#188757/JP4/TAX OFFICE</v>
      </c>
      <c r="G1069" s="4">
        <v>95</v>
      </c>
      <c r="H1069" t="str">
        <f>"ACCT#188757/JP4/TAX OFFICE"</f>
        <v>ACCT#188757/JP4/TAX OFFICE</v>
      </c>
    </row>
    <row r="1070" spans="1:8" x14ac:dyDescent="0.25">
      <c r="E1070" t="str">
        <f>"170776"</f>
        <v>170776</v>
      </c>
      <c r="F1070" t="str">
        <f>"ACCT#188757/STONY POINT PARK"</f>
        <v>ACCT#188757/STONY POINT PARK</v>
      </c>
      <c r="G1070" s="4">
        <v>95</v>
      </c>
      <c r="H1070" t="str">
        <f>"ACCT#188757/STONY POINT PARK"</f>
        <v>ACCT#188757/STONY POINT PARK</v>
      </c>
    </row>
    <row r="1071" spans="1:8" x14ac:dyDescent="0.25">
      <c r="E1071" t="str">
        <f>"170861"</f>
        <v>170861</v>
      </c>
      <c r="F1071" t="str">
        <f>"ACCT#188757/RD&amp;BRIDGE/SIGN SHP"</f>
        <v>ACCT#188757/RD&amp;BRIDGE/SIGN SHP</v>
      </c>
      <c r="G1071" s="4">
        <v>95</v>
      </c>
      <c r="H1071" t="str">
        <f>"ACCT#188757/RD&amp;BRIDGE/SIGN SHP"</f>
        <v>ACCT#188757/RD&amp;BRIDGE/SIGN SHP</v>
      </c>
    </row>
    <row r="1072" spans="1:8" x14ac:dyDescent="0.25">
      <c r="E1072" t="str">
        <f>"170877"</f>
        <v>170877</v>
      </c>
      <c r="F1072" t="str">
        <f>"ACCT#188757/COM CT JUVENILE BO"</f>
        <v>ACCT#188757/COM CT JUVENILE BO</v>
      </c>
      <c r="G1072" s="4">
        <v>118.5</v>
      </c>
      <c r="H1072" t="str">
        <f>"ACCT#188757/COM CT JUVENILE BO"</f>
        <v>ACCT#188757/COM CT JUVENILE BO</v>
      </c>
    </row>
    <row r="1073" spans="1:8" x14ac:dyDescent="0.25">
      <c r="E1073" t="str">
        <f>"171037"</f>
        <v>171037</v>
      </c>
      <c r="F1073" t="str">
        <f>"ACCT#188757/LBJ BLDG/HLTH DPT"</f>
        <v>ACCT#188757/LBJ BLDG/HLTH DPT</v>
      </c>
      <c r="G1073" s="4">
        <v>69</v>
      </c>
      <c r="H1073" t="str">
        <f>"ACCT#188757/LBJ BLDG/HLTH DPT"</f>
        <v>ACCT#188757/LBJ BLDG/HLTH DPT</v>
      </c>
    </row>
    <row r="1074" spans="1:8" x14ac:dyDescent="0.25">
      <c r="E1074" t="str">
        <f>"171061"</f>
        <v>171061</v>
      </c>
      <c r="F1074" t="str">
        <f>"ACCT#188757/TAX OFFICE"</f>
        <v>ACCT#188757/TAX OFFICE</v>
      </c>
      <c r="G1074" s="4">
        <v>102</v>
      </c>
      <c r="H1074" t="str">
        <f>"ACCT#188757/TAX OFFICE"</f>
        <v>ACCT#188757/TAX OFFICE</v>
      </c>
    </row>
    <row r="1075" spans="1:8" x14ac:dyDescent="0.25">
      <c r="E1075" t="str">
        <f>"171070"</f>
        <v>171070</v>
      </c>
      <c r="F1075" t="str">
        <f>"ACCT#171070/PCT#4 RD &amp; BRIDGE"</f>
        <v>ACCT#171070/PCT#4 RD &amp; BRIDGE</v>
      </c>
      <c r="G1075" s="4">
        <v>95.5</v>
      </c>
      <c r="H1075" t="str">
        <f>"ACCT#171070/PCT#4 RD &amp; BRIDGE"</f>
        <v>ACCT#171070/PCT#4 RD &amp; BRIDGE</v>
      </c>
    </row>
    <row r="1076" spans="1:8" x14ac:dyDescent="0.25">
      <c r="E1076" t="str">
        <f>"171277"</f>
        <v>171277</v>
      </c>
      <c r="F1076" t="str">
        <f>"ACCT#188757/PCT#2 MAINT BARN"</f>
        <v>ACCT#188757/PCT#2 MAINT BARN</v>
      </c>
      <c r="G1076" s="4">
        <v>95</v>
      </c>
      <c r="H1076" t="str">
        <f>"ACCT#188757/PCT#2 MAINT BARN"</f>
        <v>ACCT#188757/PCT#2 MAINT BARN</v>
      </c>
    </row>
    <row r="1077" spans="1:8" x14ac:dyDescent="0.25">
      <c r="E1077" t="str">
        <f>"171286"</f>
        <v>171286</v>
      </c>
      <c r="F1077" t="str">
        <f>"ACCT#188757/JP2 ANNEX BUILDING"</f>
        <v>ACCT#188757/JP2 ANNEX BUILDING</v>
      </c>
      <c r="G1077" s="4">
        <v>95</v>
      </c>
      <c r="H1077" t="str">
        <f>"ACCT#188757/JP2 ANNEX BUILDING"</f>
        <v>ACCT#188757/JP2 ANNEX BUILDING</v>
      </c>
    </row>
    <row r="1078" spans="1:8" x14ac:dyDescent="0.25">
      <c r="E1078" t="str">
        <f>"171720"</f>
        <v>171720</v>
      </c>
      <c r="F1078" t="str">
        <f>"ACCT#188757/JUVENILE PROBATION"</f>
        <v>ACCT#188757/JUVENILE PROBATION</v>
      </c>
      <c r="G1078" s="4">
        <v>132</v>
      </c>
      <c r="H1078" t="str">
        <f>"ACCT#188757/JUVENILE PROBATION"</f>
        <v>ACCT#188757/JUVENILE PROBATION</v>
      </c>
    </row>
    <row r="1079" spans="1:8" x14ac:dyDescent="0.25">
      <c r="E1079" t="str">
        <f>"171735"</f>
        <v>171735</v>
      </c>
      <c r="F1079" t="str">
        <f>"ACCT#188757/COURTHOUSE MAIN/AN"</f>
        <v>ACCT#188757/COURTHOUSE MAIN/AN</v>
      </c>
      <c r="G1079" s="4">
        <v>137</v>
      </c>
      <c r="H1079" t="str">
        <f>"ACCT#188757/COURTHOUSE MAIN/AN"</f>
        <v>ACCT#188757/COURTHOUSE MAIN/AN</v>
      </c>
    </row>
    <row r="1080" spans="1:8" x14ac:dyDescent="0.25">
      <c r="E1080" t="str">
        <f>"171737"</f>
        <v>171737</v>
      </c>
      <c r="F1080" t="str">
        <f>"ACCT#188757/HISTORIC JAIL"</f>
        <v>ACCT#188757/HISTORIC JAIL</v>
      </c>
      <c r="G1080" s="4">
        <v>76</v>
      </c>
      <c r="H1080" t="str">
        <f>"ACCT#188757/HISTORIC JAIL"</f>
        <v>ACCT#188757/HISTORIC JAIL</v>
      </c>
    </row>
    <row r="1081" spans="1:8" x14ac:dyDescent="0.25">
      <c r="E1081" t="str">
        <f>"171743"</f>
        <v>171743</v>
      </c>
      <c r="F1081" t="str">
        <f>"ACCT#188757/EXT HABITAT OFF BL"</f>
        <v>ACCT#188757/EXT HABITAT OFF BL</v>
      </c>
      <c r="G1081" s="4">
        <v>89</v>
      </c>
      <c r="H1081" t="str">
        <f>"ACCT#188757/EXT HABITAT OFF BL"</f>
        <v>ACCT#188757/EXT HABITAT OFF BL</v>
      </c>
    </row>
    <row r="1082" spans="1:8" x14ac:dyDescent="0.25">
      <c r="E1082" t="str">
        <f>"171919"</f>
        <v>171919</v>
      </c>
      <c r="F1082" t="str">
        <f>"ACCT#188757/PCT#3 WAREHOUSE"</f>
        <v>ACCT#188757/PCT#3 WAREHOUSE</v>
      </c>
      <c r="G1082" s="4">
        <v>95</v>
      </c>
      <c r="H1082" t="str">
        <f>"ACCT#188757/PCT#3 WAREHOUSE"</f>
        <v>ACCT#188757/PCT#3 WAREHOUSE</v>
      </c>
    </row>
    <row r="1083" spans="1:8" x14ac:dyDescent="0.25">
      <c r="E1083" t="str">
        <f>"172388"</f>
        <v>172388</v>
      </c>
      <c r="F1083" t="str">
        <f>"ACCT#188757/ANIMAL SHELTER"</f>
        <v>ACCT#188757/ANIMAL SHELTER</v>
      </c>
      <c r="G1083" s="4">
        <v>290</v>
      </c>
      <c r="H1083" t="str">
        <f>"ACCT#188757/ANIMAL SHELTER"</f>
        <v>ACCT#188757/ANIMAL SHELTER</v>
      </c>
    </row>
    <row r="1084" spans="1:8" x14ac:dyDescent="0.25">
      <c r="A1084" t="s">
        <v>317</v>
      </c>
      <c r="B1084">
        <v>3021</v>
      </c>
      <c r="C1084">
        <v>201</v>
      </c>
      <c r="D1084" s="1">
        <v>44068</v>
      </c>
      <c r="E1084" t="str">
        <f>"174269"</f>
        <v>174269</v>
      </c>
      <c r="F1084" t="str">
        <f>"ACCT#188757/CEDAR CREEK PARK"</f>
        <v>ACCT#188757/CEDAR CREEK PARK</v>
      </c>
      <c r="G1084" s="4">
        <v>125</v>
      </c>
      <c r="H1084" t="str">
        <f>"ACCT#188757/CEDAR CREEK PARK"</f>
        <v>ACCT#188757/CEDAR CREEK PARK</v>
      </c>
    </row>
    <row r="1085" spans="1:8" x14ac:dyDescent="0.25">
      <c r="E1085" t="str">
        <f>"174768"</f>
        <v>174768</v>
      </c>
      <c r="F1085" t="str">
        <f>"ACCT#188757/DPS/TDL AQUA WTR B"</f>
        <v>ACCT#188757/DPS/TDL AQUA WTR B</v>
      </c>
      <c r="G1085" s="4">
        <v>76</v>
      </c>
      <c r="H1085" t="str">
        <f>"ACCT#188757/DPS/TDL AQUA WTR B"</f>
        <v>ACCT#188757/DPS/TDL AQUA WTR B</v>
      </c>
    </row>
    <row r="1086" spans="1:8" x14ac:dyDescent="0.25">
      <c r="A1086" t="s">
        <v>318</v>
      </c>
      <c r="B1086">
        <v>2940</v>
      </c>
      <c r="C1086">
        <v>875</v>
      </c>
      <c r="D1086" s="1">
        <v>44054</v>
      </c>
      <c r="E1086" t="str">
        <f>"202008058182"</f>
        <v>202008058182</v>
      </c>
      <c r="F1086" t="str">
        <f>"02-1221-1  19-507031"</f>
        <v>02-1221-1  19-507031</v>
      </c>
      <c r="G1086" s="4">
        <v>250</v>
      </c>
      <c r="H1086" t="str">
        <f>"02-1221-1  19-507031"</f>
        <v>02-1221-1  19-507031</v>
      </c>
    </row>
    <row r="1087" spans="1:8" x14ac:dyDescent="0.25">
      <c r="E1087" t="str">
        <f>"202008058185"</f>
        <v>202008058185</v>
      </c>
      <c r="F1087" t="str">
        <f>"JP105282020K/J"</f>
        <v>JP105282020K/J</v>
      </c>
      <c r="G1087" s="4">
        <v>375</v>
      </c>
      <c r="H1087" t="str">
        <f>"JP105282020K/J"</f>
        <v>JP105282020K/J</v>
      </c>
    </row>
    <row r="1088" spans="1:8" x14ac:dyDescent="0.25">
      <c r="E1088" t="str">
        <f>"202008058187"</f>
        <v>202008058187</v>
      </c>
      <c r="F1088" t="str">
        <f>"JP1020502020A"</f>
        <v>JP1020502020A</v>
      </c>
      <c r="G1088" s="4">
        <v>250</v>
      </c>
      <c r="H1088" t="str">
        <f>"JP1020502020A"</f>
        <v>JP1020502020A</v>
      </c>
    </row>
    <row r="1089" spans="1:8" x14ac:dyDescent="0.25">
      <c r="A1089" t="s">
        <v>318</v>
      </c>
      <c r="B1089">
        <v>3011</v>
      </c>
      <c r="C1089">
        <v>2025</v>
      </c>
      <c r="D1089" s="1">
        <v>44068</v>
      </c>
      <c r="E1089" t="str">
        <f>"202008138340"</f>
        <v>202008138340</v>
      </c>
      <c r="F1089" t="str">
        <f>"1590-335"</f>
        <v>1590-335</v>
      </c>
      <c r="G1089" s="4">
        <v>100</v>
      </c>
      <c r="H1089" t="str">
        <f>"1590-335"</f>
        <v>1590-335</v>
      </c>
    </row>
    <row r="1090" spans="1:8" x14ac:dyDescent="0.25">
      <c r="E1090" t="str">
        <f>"202008138341"</f>
        <v>202008138341</v>
      </c>
      <c r="F1090" t="str">
        <f>"16 380"</f>
        <v>16 380</v>
      </c>
      <c r="G1090" s="4">
        <v>400</v>
      </c>
      <c r="H1090" t="str">
        <f>"16 380"</f>
        <v>16 380</v>
      </c>
    </row>
    <row r="1091" spans="1:8" x14ac:dyDescent="0.25">
      <c r="E1091" t="str">
        <f>"202008138342"</f>
        <v>202008138342</v>
      </c>
      <c r="F1091" t="str">
        <f>"JP103312020A"</f>
        <v>JP103312020A</v>
      </c>
      <c r="G1091" s="4">
        <v>800</v>
      </c>
      <c r="H1091" t="str">
        <f>"JP103312020A"</f>
        <v>JP103312020A</v>
      </c>
    </row>
    <row r="1092" spans="1:8" x14ac:dyDescent="0.25">
      <c r="E1092" t="str">
        <f>"202008138354"</f>
        <v>202008138354</v>
      </c>
      <c r="F1092" t="str">
        <f>"19-19537"</f>
        <v>19-19537</v>
      </c>
      <c r="G1092" s="4">
        <v>75</v>
      </c>
      <c r="H1092" t="str">
        <f>"19-19537"</f>
        <v>19-19537</v>
      </c>
    </row>
    <row r="1093" spans="1:8" x14ac:dyDescent="0.25">
      <c r="E1093" t="str">
        <f>"202008138355"</f>
        <v>202008138355</v>
      </c>
      <c r="F1093" t="str">
        <f>"20-20259"</f>
        <v>20-20259</v>
      </c>
      <c r="G1093" s="4">
        <v>250</v>
      </c>
      <c r="H1093" t="str">
        <f>"20-20259"</f>
        <v>20-20259</v>
      </c>
    </row>
    <row r="1094" spans="1:8" x14ac:dyDescent="0.25">
      <c r="E1094" t="str">
        <f>"202008138356"</f>
        <v>202008138356</v>
      </c>
      <c r="F1094" t="str">
        <f>"20-20054"</f>
        <v>20-20054</v>
      </c>
      <c r="G1094" s="4">
        <v>150</v>
      </c>
      <c r="H1094" t="str">
        <f>"20-20054"</f>
        <v>20-20054</v>
      </c>
    </row>
    <row r="1095" spans="1:8" x14ac:dyDescent="0.25">
      <c r="E1095" t="str">
        <f>"202008138362"</f>
        <v>202008138362</v>
      </c>
      <c r="F1095" t="str">
        <f>"JP103022020C"</f>
        <v>JP103022020C</v>
      </c>
      <c r="G1095" s="4">
        <v>250</v>
      </c>
      <c r="H1095" t="str">
        <f>"JP103022020C"</f>
        <v>JP103022020C</v>
      </c>
    </row>
    <row r="1096" spans="1:8" x14ac:dyDescent="0.25">
      <c r="A1096" t="s">
        <v>319</v>
      </c>
      <c r="B1096">
        <v>132690</v>
      </c>
      <c r="C1096">
        <v>366.98</v>
      </c>
      <c r="D1096" s="1">
        <v>44053</v>
      </c>
      <c r="E1096" t="str">
        <f>"51893601"</f>
        <v>51893601</v>
      </c>
      <c r="F1096" t="str">
        <f>"INV 51893601"</f>
        <v>INV 51893601</v>
      </c>
      <c r="G1096" s="4">
        <v>366.98</v>
      </c>
      <c r="H1096" t="str">
        <f>"INV 51893601"</f>
        <v>INV 51893601</v>
      </c>
    </row>
    <row r="1097" spans="1:8" x14ac:dyDescent="0.25">
      <c r="A1097" t="s">
        <v>320</v>
      </c>
      <c r="B1097">
        <v>132691</v>
      </c>
      <c r="C1097">
        <v>572</v>
      </c>
      <c r="D1097" s="1">
        <v>44053</v>
      </c>
      <c r="E1097" t="str">
        <f>"842724238"</f>
        <v>842724238</v>
      </c>
      <c r="F1097" t="str">
        <f>"ACCT#10000648597/WEST INFO CHG"</f>
        <v>ACCT#10000648597/WEST INFO CHG</v>
      </c>
      <c r="G1097" s="4">
        <v>572</v>
      </c>
      <c r="H1097" t="str">
        <f>"ACCT#10000648597/WEST INFO CHG"</f>
        <v>ACCT#10000648597/WEST INFO CHG</v>
      </c>
    </row>
    <row r="1098" spans="1:8" x14ac:dyDescent="0.25">
      <c r="A1098" t="s">
        <v>320</v>
      </c>
      <c r="B1098">
        <v>132840</v>
      </c>
      <c r="C1098">
        <v>952</v>
      </c>
      <c r="D1098" s="1">
        <v>44067</v>
      </c>
      <c r="E1098" t="str">
        <f>"842735604"</f>
        <v>842735604</v>
      </c>
      <c r="F1098" t="str">
        <f>"ACCT#1000310962/WEST INFO CHRG"</f>
        <v>ACCT#1000310962/WEST INFO CHRG</v>
      </c>
      <c r="G1098" s="4">
        <v>952</v>
      </c>
      <c r="H1098" t="str">
        <f>"ACCT#1000310962/WEST INFO CHRG"</f>
        <v>ACCT#1000310962/WEST INFO CHRG</v>
      </c>
    </row>
    <row r="1099" spans="1:8" x14ac:dyDescent="0.25">
      <c r="A1099" t="s">
        <v>321</v>
      </c>
      <c r="B1099">
        <v>132692</v>
      </c>
      <c r="C1099">
        <v>745</v>
      </c>
      <c r="D1099" s="1">
        <v>44053</v>
      </c>
      <c r="E1099" t="str">
        <f>"202007298028"</f>
        <v>202007298028</v>
      </c>
      <c r="F1099" t="str">
        <f>"423-6426"</f>
        <v>423-6426</v>
      </c>
      <c r="G1099" s="4">
        <v>745</v>
      </c>
      <c r="H1099" t="str">
        <f>"423-6426"</f>
        <v>423-6426</v>
      </c>
    </row>
    <row r="1100" spans="1:8" x14ac:dyDescent="0.25">
      <c r="A1100" t="s">
        <v>322</v>
      </c>
      <c r="B1100">
        <v>132693</v>
      </c>
      <c r="C1100">
        <v>245.95</v>
      </c>
      <c r="D1100" s="1">
        <v>44053</v>
      </c>
      <c r="E1100" t="str">
        <f>"200661161 20066108"</f>
        <v>200661161 20066108</v>
      </c>
      <c r="F1100" t="str">
        <f>"ACCT# 6035301200160982"</f>
        <v>ACCT# 6035301200160982</v>
      </c>
      <c r="G1100" s="4">
        <v>245.95</v>
      </c>
      <c r="H1100" t="str">
        <f>"INV# 200661161"</f>
        <v>INV# 200661161</v>
      </c>
    </row>
    <row r="1101" spans="1:8" x14ac:dyDescent="0.25">
      <c r="E1101" t="str">
        <f>""</f>
        <v/>
      </c>
      <c r="F1101" t="str">
        <f>""</f>
        <v/>
      </c>
      <c r="H1101" t="str">
        <f>"INV# 200661085"</f>
        <v>INV# 200661085</v>
      </c>
    </row>
    <row r="1102" spans="1:8" x14ac:dyDescent="0.25">
      <c r="A1102" t="s">
        <v>323</v>
      </c>
      <c r="B1102">
        <v>132694</v>
      </c>
      <c r="C1102">
        <v>926</v>
      </c>
      <c r="D1102" s="1">
        <v>44053</v>
      </c>
      <c r="E1102" t="str">
        <f>"20-001348"</f>
        <v>20-001348</v>
      </c>
      <c r="F1102" t="str">
        <f>"C-1-MH-20-001348"</f>
        <v>C-1-MH-20-001348</v>
      </c>
      <c r="G1102" s="4">
        <v>463</v>
      </c>
      <c r="H1102" t="str">
        <f>"C-1-MH-20-001348"</f>
        <v>C-1-MH-20-001348</v>
      </c>
    </row>
    <row r="1103" spans="1:8" x14ac:dyDescent="0.25">
      <c r="E1103" t="str">
        <f>"20-001349"</f>
        <v>20-001349</v>
      </c>
      <c r="F1103" t="str">
        <f>"C-1-MH-20-001349"</f>
        <v>C-1-MH-20-001349</v>
      </c>
      <c r="G1103" s="4">
        <v>463</v>
      </c>
      <c r="H1103" t="str">
        <f>"C-1-MH-20-001349"</f>
        <v>C-1-MH-20-001349</v>
      </c>
    </row>
    <row r="1104" spans="1:8" x14ac:dyDescent="0.25">
      <c r="A1104" t="s">
        <v>324</v>
      </c>
      <c r="B1104">
        <v>132695</v>
      </c>
      <c r="C1104">
        <v>910</v>
      </c>
      <c r="D1104" s="1">
        <v>44053</v>
      </c>
      <c r="E1104" t="str">
        <f>"12679"</f>
        <v>12679</v>
      </c>
      <c r="F1104" t="str">
        <f t="shared" ref="F1104:F1111" si="16">"SERVICE"</f>
        <v>SERVICE</v>
      </c>
      <c r="G1104" s="4">
        <v>75</v>
      </c>
      <c r="H1104" t="str">
        <f t="shared" ref="H1104:H1111" si="17">"SERVICE"</f>
        <v>SERVICE</v>
      </c>
    </row>
    <row r="1105" spans="1:8" x14ac:dyDescent="0.25">
      <c r="E1105" t="str">
        <f>"13003"</f>
        <v>13003</v>
      </c>
      <c r="F1105" t="str">
        <f t="shared" si="16"/>
        <v>SERVICE</v>
      </c>
      <c r="G1105" s="4">
        <v>75</v>
      </c>
      <c r="H1105" t="str">
        <f t="shared" si="17"/>
        <v>SERVICE</v>
      </c>
    </row>
    <row r="1106" spans="1:8" x14ac:dyDescent="0.25">
      <c r="E1106" t="str">
        <f>"13344"</f>
        <v>13344</v>
      </c>
      <c r="F1106" t="str">
        <f t="shared" si="16"/>
        <v>SERVICE</v>
      </c>
      <c r="G1106" s="4">
        <v>600</v>
      </c>
      <c r="H1106" t="str">
        <f t="shared" si="17"/>
        <v>SERVICE</v>
      </c>
    </row>
    <row r="1107" spans="1:8" x14ac:dyDescent="0.25">
      <c r="E1107" t="str">
        <f>"13368"</f>
        <v>13368</v>
      </c>
      <c r="F1107" t="str">
        <f t="shared" si="16"/>
        <v>SERVICE</v>
      </c>
      <c r="G1107" s="4">
        <v>80</v>
      </c>
      <c r="H1107" t="str">
        <f t="shared" si="17"/>
        <v>SERVICE</v>
      </c>
    </row>
    <row r="1108" spans="1:8" x14ac:dyDescent="0.25">
      <c r="E1108" t="str">
        <f>"13477"</f>
        <v>13477</v>
      </c>
      <c r="F1108" t="str">
        <f t="shared" si="16"/>
        <v>SERVICE</v>
      </c>
      <c r="G1108" s="4">
        <v>80</v>
      </c>
      <c r="H1108" t="str">
        <f t="shared" si="17"/>
        <v>SERVICE</v>
      </c>
    </row>
    <row r="1109" spans="1:8" x14ac:dyDescent="0.25">
      <c r="A1109" t="s">
        <v>324</v>
      </c>
      <c r="B1109">
        <v>132841</v>
      </c>
      <c r="C1109">
        <v>530</v>
      </c>
      <c r="D1109" s="1">
        <v>44067</v>
      </c>
      <c r="E1109" t="str">
        <f>"12195"</f>
        <v>12195</v>
      </c>
      <c r="F1109" t="str">
        <f t="shared" si="16"/>
        <v>SERVICE</v>
      </c>
      <c r="G1109" s="4">
        <v>375</v>
      </c>
      <c r="H1109" t="str">
        <f t="shared" si="17"/>
        <v>SERVICE</v>
      </c>
    </row>
    <row r="1110" spans="1:8" x14ac:dyDescent="0.25">
      <c r="E1110" t="str">
        <f>"13265"</f>
        <v>13265</v>
      </c>
      <c r="F1110" t="str">
        <f t="shared" si="16"/>
        <v>SERVICE</v>
      </c>
      <c r="G1110" s="4">
        <v>75</v>
      </c>
      <c r="H1110" t="str">
        <f t="shared" si="17"/>
        <v>SERVICE</v>
      </c>
    </row>
    <row r="1111" spans="1:8" x14ac:dyDescent="0.25">
      <c r="E1111" t="str">
        <f>"13485"</f>
        <v>13485</v>
      </c>
      <c r="F1111" t="str">
        <f t="shared" si="16"/>
        <v>SERVICE</v>
      </c>
      <c r="G1111" s="4">
        <v>80</v>
      </c>
      <c r="H1111" t="str">
        <f t="shared" si="17"/>
        <v>SERVICE</v>
      </c>
    </row>
    <row r="1112" spans="1:8" x14ac:dyDescent="0.25">
      <c r="A1112" t="s">
        <v>325</v>
      </c>
      <c r="B1112">
        <v>132842</v>
      </c>
      <c r="C1112">
        <v>832.93</v>
      </c>
      <c r="D1112" s="1">
        <v>44067</v>
      </c>
      <c r="E1112" t="str">
        <f>"202008198441"</f>
        <v>202008198441</v>
      </c>
      <c r="F1112" t="str">
        <f>"JAIL MEDICAL"</f>
        <v>JAIL MEDICAL</v>
      </c>
      <c r="G1112" s="4">
        <v>832.93</v>
      </c>
      <c r="H1112" t="str">
        <f>"JAIL MEDICAL"</f>
        <v>JAIL MEDICAL</v>
      </c>
    </row>
    <row r="1113" spans="1:8" x14ac:dyDescent="0.25">
      <c r="A1113" t="s">
        <v>326</v>
      </c>
      <c r="B1113">
        <v>132843</v>
      </c>
      <c r="C1113">
        <v>11600</v>
      </c>
      <c r="D1113" s="1">
        <v>44067</v>
      </c>
      <c r="E1113" t="str">
        <f>"3300002883"</f>
        <v>3300002883</v>
      </c>
      <c r="F1113" t="str">
        <f>"CUST#100011/INV#3300002883"</f>
        <v>CUST#100011/INV#3300002883</v>
      </c>
      <c r="G1113" s="4">
        <v>2900</v>
      </c>
      <c r="H1113" t="str">
        <f>"CUST#100011/INV#3300002883"</f>
        <v>CUST#100011/INV#3300002883</v>
      </c>
    </row>
    <row r="1114" spans="1:8" x14ac:dyDescent="0.25">
      <c r="E1114" t="str">
        <f>"3300003320"</f>
        <v>3300003320</v>
      </c>
      <c r="F1114" t="str">
        <f>"CUST#100011/INV#3300003320"</f>
        <v>CUST#100011/INV#3300003320</v>
      </c>
      <c r="G1114" s="4">
        <v>2900</v>
      </c>
      <c r="H1114" t="str">
        <f>"CUST#100011/INV#3300003320"</f>
        <v>CUST#100011/INV#3300003320</v>
      </c>
    </row>
    <row r="1115" spans="1:8" x14ac:dyDescent="0.25">
      <c r="E1115" t="str">
        <f>"3300003738"</f>
        <v>3300003738</v>
      </c>
      <c r="F1115" t="str">
        <f>"CUST#100010/INV#3300003738"</f>
        <v>CUST#100010/INV#3300003738</v>
      </c>
      <c r="G1115" s="4">
        <v>2900</v>
      </c>
      <c r="H1115" t="str">
        <f>"CUST#100010/INV#3300003738"</f>
        <v>CUST#100010/INV#3300003738</v>
      </c>
    </row>
    <row r="1116" spans="1:8" x14ac:dyDescent="0.25">
      <c r="E1116" t="str">
        <f>"3300003739"</f>
        <v>3300003739</v>
      </c>
      <c r="F1116" t="str">
        <f>"CUST#100011/INV#3300003739"</f>
        <v>CUST#100011/INV#3300003739</v>
      </c>
      <c r="G1116" s="4">
        <v>2900</v>
      </c>
      <c r="H1116" t="str">
        <f>"CUST#100011/INV#3300003739"</f>
        <v>CUST#100011/INV#3300003739</v>
      </c>
    </row>
    <row r="1117" spans="1:8" x14ac:dyDescent="0.25">
      <c r="A1117" t="s">
        <v>327</v>
      </c>
      <c r="B1117">
        <v>2941</v>
      </c>
      <c r="C1117">
        <v>135.79</v>
      </c>
      <c r="D1117" s="1">
        <v>44054</v>
      </c>
      <c r="E1117" t="str">
        <f>"809267"</f>
        <v>809267</v>
      </c>
      <c r="F1117" t="str">
        <f>"INV 809267"</f>
        <v>INV 809267</v>
      </c>
      <c r="G1117" s="4">
        <v>135.79</v>
      </c>
      <c r="H1117" t="str">
        <f>"INV 809267"</f>
        <v>INV 809267</v>
      </c>
    </row>
    <row r="1118" spans="1:8" x14ac:dyDescent="0.25">
      <c r="A1118" t="s">
        <v>328</v>
      </c>
      <c r="B1118">
        <v>132844</v>
      </c>
      <c r="C1118">
        <v>215.88</v>
      </c>
      <c r="D1118" s="1">
        <v>44067</v>
      </c>
      <c r="E1118" t="str">
        <f>"202008178388"</f>
        <v>202008178388</v>
      </c>
      <c r="F1118" t="str">
        <f>"INDIGENT HEALTH"</f>
        <v>INDIGENT HEALTH</v>
      </c>
      <c r="G1118" s="4">
        <v>96.89</v>
      </c>
      <c r="H1118" t="str">
        <f>"INDIGENT HEALTH"</f>
        <v>INDIGENT HEALTH</v>
      </c>
    </row>
    <row r="1119" spans="1:8" x14ac:dyDescent="0.25">
      <c r="E1119" t="str">
        <f>"4584*131*3 / 4"</f>
        <v>4584*131*3 / 4</v>
      </c>
      <c r="F1119" t="str">
        <f>"JAIL MEDICAL"</f>
        <v>JAIL MEDICAL</v>
      </c>
      <c r="G1119" s="4">
        <v>118.99</v>
      </c>
      <c r="H1119" t="str">
        <f>"JAIL MEDICAL"</f>
        <v>JAIL MEDICAL</v>
      </c>
    </row>
    <row r="1120" spans="1:8" x14ac:dyDescent="0.25">
      <c r="A1120" t="s">
        <v>329</v>
      </c>
      <c r="B1120">
        <v>132696</v>
      </c>
      <c r="C1120">
        <v>398</v>
      </c>
      <c r="D1120" s="1">
        <v>44053</v>
      </c>
      <c r="E1120" t="str">
        <f>"9333"</f>
        <v>9333</v>
      </c>
      <c r="F1120" t="str">
        <f>"KENNETH D LYNCH"</f>
        <v>KENNETH D LYNCH</v>
      </c>
      <c r="G1120" s="4">
        <v>398</v>
      </c>
      <c r="H1120" t="str">
        <f>"Shipping"</f>
        <v>Shipping</v>
      </c>
    </row>
    <row r="1121" spans="1:8" x14ac:dyDescent="0.25">
      <c r="E1121" t="str">
        <f>""</f>
        <v/>
      </c>
      <c r="F1121" t="str">
        <f>""</f>
        <v/>
      </c>
      <c r="H1121" t="str">
        <f>"Re-delivery"</f>
        <v>Re-delivery</v>
      </c>
    </row>
    <row r="1122" spans="1:8" x14ac:dyDescent="0.25">
      <c r="A1122" t="s">
        <v>330</v>
      </c>
      <c r="B1122">
        <v>132845</v>
      </c>
      <c r="C1122">
        <v>1425</v>
      </c>
      <c r="D1122" s="1">
        <v>44067</v>
      </c>
      <c r="E1122" t="str">
        <f>"00006053"</f>
        <v>00006053</v>
      </c>
      <c r="F1122" t="str">
        <f>"CUST#BASTROPCO/PCT#3"</f>
        <v>CUST#BASTROPCO/PCT#3</v>
      </c>
      <c r="G1122" s="4">
        <v>1425</v>
      </c>
      <c r="H1122" t="str">
        <f>"CUST#BASTROPCO/PCT#3"</f>
        <v>CUST#BASTROPCO/PCT#3</v>
      </c>
    </row>
    <row r="1123" spans="1:8" x14ac:dyDescent="0.25">
      <c r="A1123" t="s">
        <v>331</v>
      </c>
      <c r="B1123">
        <v>132697</v>
      </c>
      <c r="C1123">
        <v>51</v>
      </c>
      <c r="D1123" s="1">
        <v>44053</v>
      </c>
      <c r="E1123" t="str">
        <f>"202007298044"</f>
        <v>202007298044</v>
      </c>
      <c r="F1123" t="str">
        <f>"1LT-0027-20/REFUND FILING FEE"</f>
        <v>1LT-0027-20/REFUND FILING FEE</v>
      </c>
      <c r="G1123" s="4">
        <v>51</v>
      </c>
      <c r="H1123" t="str">
        <f>"1LT-0027-20/REFUND FILING FEE"</f>
        <v>1LT-0027-20/REFUND FILING FEE</v>
      </c>
    </row>
    <row r="1124" spans="1:8" x14ac:dyDescent="0.25">
      <c r="A1124" t="s">
        <v>332</v>
      </c>
      <c r="B1124">
        <v>2989</v>
      </c>
      <c r="C1124">
        <v>1250</v>
      </c>
      <c r="D1124" s="1">
        <v>44054</v>
      </c>
      <c r="E1124" t="str">
        <f>"202008058167"</f>
        <v>202008058167</v>
      </c>
      <c r="F1124" t="str">
        <f>"02-0314-5"</f>
        <v>02-0314-5</v>
      </c>
      <c r="G1124" s="4">
        <v>250</v>
      </c>
      <c r="H1124" t="str">
        <f>"02-0314-5"</f>
        <v>02-0314-5</v>
      </c>
    </row>
    <row r="1125" spans="1:8" x14ac:dyDescent="0.25">
      <c r="E1125" t="str">
        <f>"202008058168"</f>
        <v>202008058168</v>
      </c>
      <c r="F1125" t="str">
        <f>"57 274"</f>
        <v>57 274</v>
      </c>
      <c r="G1125" s="4">
        <v>250</v>
      </c>
      <c r="H1125" t="str">
        <f>"57 274"</f>
        <v>57 274</v>
      </c>
    </row>
    <row r="1126" spans="1:8" x14ac:dyDescent="0.25">
      <c r="E1126" t="str">
        <f>"202008058175"</f>
        <v>202008058175</v>
      </c>
      <c r="F1126" t="str">
        <f>"4022420-21"</f>
        <v>4022420-21</v>
      </c>
      <c r="G1126" s="4">
        <v>250</v>
      </c>
      <c r="H1126" t="str">
        <f>"4022420-21"</f>
        <v>4022420-21</v>
      </c>
    </row>
    <row r="1127" spans="1:8" x14ac:dyDescent="0.25">
      <c r="E1127" t="str">
        <f>"202008058176"</f>
        <v>202008058176</v>
      </c>
      <c r="F1127" t="str">
        <f>"40201207"</f>
        <v>40201207</v>
      </c>
      <c r="G1127" s="4">
        <v>250</v>
      </c>
      <c r="H1127" t="str">
        <f>"40201207"</f>
        <v>40201207</v>
      </c>
    </row>
    <row r="1128" spans="1:8" x14ac:dyDescent="0.25">
      <c r="E1128" t="str">
        <f>"202008058177"</f>
        <v>202008058177</v>
      </c>
      <c r="F1128" t="str">
        <f>"002020021614"</f>
        <v>002020021614</v>
      </c>
      <c r="G1128" s="4">
        <v>250</v>
      </c>
      <c r="H1128" t="str">
        <f>"002020021614"</f>
        <v>002020021614</v>
      </c>
    </row>
    <row r="1129" spans="1:8" x14ac:dyDescent="0.25">
      <c r="A1129" t="s">
        <v>333</v>
      </c>
      <c r="B1129">
        <v>2934</v>
      </c>
      <c r="C1129">
        <v>88.25</v>
      </c>
      <c r="D1129" s="1">
        <v>44054</v>
      </c>
      <c r="E1129" t="str">
        <f>"122292646"</f>
        <v>122292646</v>
      </c>
      <c r="F1129" t="str">
        <f>"INV 122292646"</f>
        <v>INV 122292646</v>
      </c>
      <c r="G1129" s="4">
        <v>88.25</v>
      </c>
      <c r="H1129" t="str">
        <f>"INV 122292646"</f>
        <v>INV 122292646</v>
      </c>
    </row>
    <row r="1130" spans="1:8" x14ac:dyDescent="0.25">
      <c r="A1130" t="s">
        <v>333</v>
      </c>
      <c r="B1130">
        <v>3001</v>
      </c>
      <c r="C1130">
        <v>186.49</v>
      </c>
      <c r="D1130" s="1">
        <v>44068</v>
      </c>
      <c r="E1130" t="str">
        <f>"123021053"</f>
        <v>123021053</v>
      </c>
      <c r="F1130" t="str">
        <f>"BCAS Paper Towels"</f>
        <v>BCAS Paper Towels</v>
      </c>
      <c r="G1130" s="4">
        <v>186.49</v>
      </c>
      <c r="H1130" t="str">
        <f>"Paper Towels"</f>
        <v>Paper Towels</v>
      </c>
    </row>
    <row r="1131" spans="1:8" x14ac:dyDescent="0.25">
      <c r="E1131" t="str">
        <f>""</f>
        <v/>
      </c>
      <c r="F1131" t="str">
        <f>""</f>
        <v/>
      </c>
      <c r="H1131" t="str">
        <f>"Shipping"</f>
        <v>Shipping</v>
      </c>
    </row>
    <row r="1132" spans="1:8" x14ac:dyDescent="0.25">
      <c r="A1132" t="s">
        <v>334</v>
      </c>
      <c r="B1132">
        <v>3066</v>
      </c>
      <c r="C1132">
        <v>1016.04</v>
      </c>
      <c r="D1132" s="1">
        <v>44068</v>
      </c>
      <c r="E1132" t="str">
        <f>"74816326-00 749158"</f>
        <v>74816326-00 749158</v>
      </c>
      <c r="F1132" t="str">
        <f>"INV74816326-00"</f>
        <v>INV74816326-00</v>
      </c>
      <c r="G1132" s="4">
        <v>1016.04</v>
      </c>
      <c r="H1132" t="str">
        <f>"INV74816326-00"</f>
        <v>INV74816326-00</v>
      </c>
    </row>
    <row r="1133" spans="1:8" x14ac:dyDescent="0.25">
      <c r="E1133" t="str">
        <f>""</f>
        <v/>
      </c>
      <c r="F1133" t="str">
        <f>""</f>
        <v/>
      </c>
      <c r="H1133" t="str">
        <f>"CM 74915931-00"</f>
        <v>CM 74915931-00</v>
      </c>
    </row>
    <row r="1134" spans="1:8" x14ac:dyDescent="0.25">
      <c r="E1134" t="str">
        <f>""</f>
        <v/>
      </c>
      <c r="F1134" t="str">
        <f>""</f>
        <v/>
      </c>
      <c r="H1134" t="str">
        <f>"INV 74915893-00"</f>
        <v>INV 74915893-00</v>
      </c>
    </row>
    <row r="1135" spans="1:8" x14ac:dyDescent="0.25">
      <c r="A1135" t="s">
        <v>335</v>
      </c>
      <c r="B1135">
        <v>132846</v>
      </c>
      <c r="C1135">
        <v>9186.32</v>
      </c>
      <c r="D1135" s="1">
        <v>44067</v>
      </c>
      <c r="E1135" t="str">
        <f>"202008178379"</f>
        <v>202008178379</v>
      </c>
      <c r="F1135" t="str">
        <f>"INDIGENT HEALTH"</f>
        <v>INDIGENT HEALTH</v>
      </c>
      <c r="G1135" s="4">
        <v>1236.52</v>
      </c>
      <c r="H1135" t="str">
        <f>"INDIGENT HEALTH"</f>
        <v>INDIGENT HEALTH</v>
      </c>
    </row>
    <row r="1136" spans="1:8" x14ac:dyDescent="0.25">
      <c r="E1136" t="str">
        <f>"4584*98041*1/4/5/6"</f>
        <v>4584*98041*1/4/5/6</v>
      </c>
      <c r="F1136" t="str">
        <f>"JAIL MEDICAL"</f>
        <v>JAIL MEDICAL</v>
      </c>
      <c r="G1136" s="4">
        <v>7949.8</v>
      </c>
      <c r="H1136" t="str">
        <f>"JAIL MEDICAL"</f>
        <v>JAIL MEDICAL</v>
      </c>
    </row>
    <row r="1137" spans="1:8" x14ac:dyDescent="0.25">
      <c r="A1137" t="s">
        <v>336</v>
      </c>
      <c r="B1137">
        <v>132847</v>
      </c>
      <c r="C1137">
        <v>687.5</v>
      </c>
      <c r="D1137" s="1">
        <v>44067</v>
      </c>
      <c r="E1137" t="str">
        <f>"0038096"</f>
        <v>0038096</v>
      </c>
      <c r="F1137" t="str">
        <f>"INV 0038096"</f>
        <v>INV 0038096</v>
      </c>
      <c r="G1137" s="4">
        <v>687.5</v>
      </c>
      <c r="H1137" t="str">
        <f>"INV 0038096"</f>
        <v>INV 0038096</v>
      </c>
    </row>
    <row r="1138" spans="1:8" x14ac:dyDescent="0.25">
      <c r="A1138" t="s">
        <v>337</v>
      </c>
      <c r="B1138">
        <v>132698</v>
      </c>
      <c r="C1138">
        <v>10</v>
      </c>
      <c r="D1138" s="1">
        <v>44053</v>
      </c>
      <c r="E1138" t="str">
        <f>"00045039"</f>
        <v>00045039</v>
      </c>
      <c r="F1138" t="str">
        <f>"CUST#00-01943/RETURN MATERIALS"</f>
        <v>CUST#00-01943/RETURN MATERIALS</v>
      </c>
      <c r="G1138" s="4">
        <v>-790</v>
      </c>
      <c r="H1138" t="str">
        <f>"CUST#00-01943/RETURN MATERIALS"</f>
        <v>CUST#00-01943/RETURN MATERIALS</v>
      </c>
    </row>
    <row r="1139" spans="1:8" x14ac:dyDescent="0.25">
      <c r="E1139" t="str">
        <f>"00044987"</f>
        <v>00044987</v>
      </c>
      <c r="F1139" t="str">
        <f>"CUST#00-01943/PCT#1"</f>
        <v>CUST#00-01943/PCT#1</v>
      </c>
      <c r="G1139" s="4">
        <v>800</v>
      </c>
      <c r="H1139" t="str">
        <f>"CUST#00-01943/PCT#1"</f>
        <v>CUST#00-01943/PCT#1</v>
      </c>
    </row>
    <row r="1140" spans="1:8" x14ac:dyDescent="0.25">
      <c r="A1140" t="s">
        <v>338</v>
      </c>
      <c r="B1140">
        <v>132848</v>
      </c>
      <c r="C1140">
        <v>215.94</v>
      </c>
      <c r="D1140" s="1">
        <v>44067</v>
      </c>
      <c r="E1140" t="str">
        <f>"2011408"</f>
        <v>2011408</v>
      </c>
      <c r="F1140" t="str">
        <f>"ACCT#17460002268 003-JULY 2020"</f>
        <v>ACCT#17460002268 003-JULY 2020</v>
      </c>
      <c r="G1140" s="4">
        <v>215.94</v>
      </c>
      <c r="H1140" t="str">
        <f>"ACCT#17460002268 003-JULY 2020"</f>
        <v>ACCT#17460002268 003-JULY 2020</v>
      </c>
    </row>
    <row r="1141" spans="1:8" x14ac:dyDescent="0.25">
      <c r="A1141" t="s">
        <v>339</v>
      </c>
      <c r="B1141">
        <v>2953</v>
      </c>
      <c r="C1141">
        <v>850</v>
      </c>
      <c r="D1141" s="1">
        <v>44054</v>
      </c>
      <c r="E1141" t="str">
        <f>"202007298026"</f>
        <v>202007298026</v>
      </c>
      <c r="F1141" t="str">
        <f>"423-7306"</f>
        <v>423-7306</v>
      </c>
      <c r="G1141" s="4">
        <v>850</v>
      </c>
      <c r="H1141" t="str">
        <f>"423-7306"</f>
        <v>423-7306</v>
      </c>
    </row>
    <row r="1142" spans="1:8" x14ac:dyDescent="0.25">
      <c r="A1142" t="s">
        <v>340</v>
      </c>
      <c r="B1142">
        <v>132849</v>
      </c>
      <c r="C1142">
        <v>36888.15</v>
      </c>
      <c r="D1142" s="1">
        <v>44067</v>
      </c>
      <c r="E1142" t="str">
        <f>"202008188432"</f>
        <v>202008188432</v>
      </c>
      <c r="F1142" t="str">
        <f>"acct# 869395921"</f>
        <v>acct# 869395921</v>
      </c>
      <c r="G1142" s="4">
        <v>36888.15</v>
      </c>
      <c r="H1142" t="str">
        <f>"fuel rebate"</f>
        <v>fuel rebate</v>
      </c>
    </row>
    <row r="1143" spans="1:8" x14ac:dyDescent="0.25">
      <c r="E1143" t="str">
        <f>""</f>
        <v/>
      </c>
      <c r="F1143" t="str">
        <f>""</f>
        <v/>
      </c>
      <c r="H1143" t="str">
        <f>"fuel"</f>
        <v>fuel</v>
      </c>
    </row>
    <row r="1144" spans="1:8" x14ac:dyDescent="0.25">
      <c r="E1144" t="str">
        <f>""</f>
        <v/>
      </c>
      <c r="F1144" t="str">
        <f>""</f>
        <v/>
      </c>
      <c r="H1144" t="str">
        <f>"Tax"</f>
        <v>Tax</v>
      </c>
    </row>
    <row r="1145" spans="1:8" x14ac:dyDescent="0.25">
      <c r="E1145" t="str">
        <f>""</f>
        <v/>
      </c>
      <c r="F1145" t="str">
        <f>""</f>
        <v/>
      </c>
      <c r="H1145" t="str">
        <f>"general services"</f>
        <v>general services</v>
      </c>
    </row>
    <row r="1146" spans="1:8" x14ac:dyDescent="0.25">
      <c r="E1146" t="str">
        <f>""</f>
        <v/>
      </c>
      <c r="F1146" t="str">
        <f>""</f>
        <v/>
      </c>
      <c r="H1146" t="str">
        <f>"tax"</f>
        <v>tax</v>
      </c>
    </row>
    <row r="1147" spans="1:8" x14ac:dyDescent="0.25">
      <c r="E1147" t="str">
        <f>""</f>
        <v/>
      </c>
      <c r="F1147" t="str">
        <f>""</f>
        <v/>
      </c>
      <c r="H1147" t="str">
        <f>"maintenance"</f>
        <v>maintenance</v>
      </c>
    </row>
    <row r="1148" spans="1:8" x14ac:dyDescent="0.25">
      <c r="E1148" t="str">
        <f>""</f>
        <v/>
      </c>
      <c r="F1148" t="str">
        <f>""</f>
        <v/>
      </c>
      <c r="H1148" t="str">
        <f>"fuel"</f>
        <v>fuel</v>
      </c>
    </row>
    <row r="1149" spans="1:8" x14ac:dyDescent="0.25">
      <c r="E1149" t="str">
        <f>""</f>
        <v/>
      </c>
      <c r="F1149" t="str">
        <f>""</f>
        <v/>
      </c>
      <c r="H1149" t="str">
        <f>"tax"</f>
        <v>tax</v>
      </c>
    </row>
    <row r="1150" spans="1:8" x14ac:dyDescent="0.25">
      <c r="E1150" t="str">
        <f>""</f>
        <v/>
      </c>
      <c r="F1150" t="str">
        <f>""</f>
        <v/>
      </c>
      <c r="H1150" t="str">
        <f>"maintenance"</f>
        <v>maintenance</v>
      </c>
    </row>
    <row r="1151" spans="1:8" x14ac:dyDescent="0.25">
      <c r="E1151" t="str">
        <f>""</f>
        <v/>
      </c>
      <c r="F1151" t="str">
        <f>""</f>
        <v/>
      </c>
      <c r="H1151" t="str">
        <f>"fuel"</f>
        <v>fuel</v>
      </c>
    </row>
    <row r="1152" spans="1:8" x14ac:dyDescent="0.25">
      <c r="E1152" t="str">
        <f>""</f>
        <v/>
      </c>
      <c r="F1152" t="str">
        <f>""</f>
        <v/>
      </c>
      <c r="H1152" t="str">
        <f>"tax"</f>
        <v>tax</v>
      </c>
    </row>
    <row r="1153" spans="5:8" x14ac:dyDescent="0.25">
      <c r="E1153" t="str">
        <f>""</f>
        <v/>
      </c>
      <c r="F1153" t="str">
        <f>""</f>
        <v/>
      </c>
      <c r="H1153" t="str">
        <f>"maintenance"</f>
        <v>maintenance</v>
      </c>
    </row>
    <row r="1154" spans="5:8" x14ac:dyDescent="0.25">
      <c r="E1154" t="str">
        <f>""</f>
        <v/>
      </c>
      <c r="F1154" t="str">
        <f>""</f>
        <v/>
      </c>
      <c r="H1154" t="str">
        <f>"fuel"</f>
        <v>fuel</v>
      </c>
    </row>
    <row r="1155" spans="5:8" x14ac:dyDescent="0.25">
      <c r="E1155" t="str">
        <f>""</f>
        <v/>
      </c>
      <c r="F1155" t="str">
        <f>""</f>
        <v/>
      </c>
      <c r="H1155" t="str">
        <f>"maintenance"</f>
        <v>maintenance</v>
      </c>
    </row>
    <row r="1156" spans="5:8" x14ac:dyDescent="0.25">
      <c r="E1156" t="str">
        <f>""</f>
        <v/>
      </c>
      <c r="F1156" t="str">
        <f>""</f>
        <v/>
      </c>
      <c r="H1156" t="str">
        <f>"fuel"</f>
        <v>fuel</v>
      </c>
    </row>
    <row r="1157" spans="5:8" x14ac:dyDescent="0.25">
      <c r="E1157" t="str">
        <f>""</f>
        <v/>
      </c>
      <c r="F1157" t="str">
        <f>""</f>
        <v/>
      </c>
      <c r="H1157" t="str">
        <f>"tax"</f>
        <v>tax</v>
      </c>
    </row>
    <row r="1158" spans="5:8" x14ac:dyDescent="0.25">
      <c r="E1158" t="str">
        <f>""</f>
        <v/>
      </c>
      <c r="F1158" t="str">
        <f>""</f>
        <v/>
      </c>
      <c r="H1158" t="str">
        <f>"maintenance"</f>
        <v>maintenance</v>
      </c>
    </row>
    <row r="1159" spans="5:8" x14ac:dyDescent="0.25">
      <c r="E1159" t="str">
        <f>""</f>
        <v/>
      </c>
      <c r="F1159" t="str">
        <f>""</f>
        <v/>
      </c>
      <c r="H1159" t="str">
        <f>"fuel"</f>
        <v>fuel</v>
      </c>
    </row>
    <row r="1160" spans="5:8" x14ac:dyDescent="0.25">
      <c r="E1160" t="str">
        <f>""</f>
        <v/>
      </c>
      <c r="F1160" t="str">
        <f>""</f>
        <v/>
      </c>
      <c r="H1160" t="str">
        <f>"tax"</f>
        <v>tax</v>
      </c>
    </row>
    <row r="1161" spans="5:8" x14ac:dyDescent="0.25">
      <c r="E1161" t="str">
        <f>""</f>
        <v/>
      </c>
      <c r="F1161" t="str">
        <f>""</f>
        <v/>
      </c>
      <c r="H1161" t="str">
        <f>"maintenance"</f>
        <v>maintenance</v>
      </c>
    </row>
    <row r="1162" spans="5:8" x14ac:dyDescent="0.25">
      <c r="E1162" t="str">
        <f>""</f>
        <v/>
      </c>
      <c r="F1162" t="str">
        <f>""</f>
        <v/>
      </c>
      <c r="H1162" t="str">
        <f>"Fuel"</f>
        <v>Fuel</v>
      </c>
    </row>
    <row r="1163" spans="5:8" x14ac:dyDescent="0.25">
      <c r="E1163" t="str">
        <f>""</f>
        <v/>
      </c>
      <c r="F1163" t="str">
        <f>""</f>
        <v/>
      </c>
      <c r="H1163" t="str">
        <f>"Tax"</f>
        <v>Tax</v>
      </c>
    </row>
    <row r="1164" spans="5:8" x14ac:dyDescent="0.25">
      <c r="E1164" t="str">
        <f>""</f>
        <v/>
      </c>
      <c r="F1164" t="str">
        <f>""</f>
        <v/>
      </c>
      <c r="H1164" t="str">
        <f>"fuel"</f>
        <v>fuel</v>
      </c>
    </row>
    <row r="1165" spans="5:8" x14ac:dyDescent="0.25">
      <c r="E1165" t="str">
        <f>""</f>
        <v/>
      </c>
      <c r="F1165" t="str">
        <f>""</f>
        <v/>
      </c>
      <c r="H1165" t="str">
        <f>"tax"</f>
        <v>tax</v>
      </c>
    </row>
    <row r="1166" spans="5:8" x14ac:dyDescent="0.25">
      <c r="E1166" t="str">
        <f>""</f>
        <v/>
      </c>
      <c r="F1166" t="str">
        <f>""</f>
        <v/>
      </c>
      <c r="H1166" t="str">
        <f>"maintenance"</f>
        <v>maintenance</v>
      </c>
    </row>
    <row r="1167" spans="5:8" x14ac:dyDescent="0.25">
      <c r="E1167" t="str">
        <f>""</f>
        <v/>
      </c>
      <c r="F1167" t="str">
        <f>""</f>
        <v/>
      </c>
      <c r="H1167" t="str">
        <f>"fuel"</f>
        <v>fuel</v>
      </c>
    </row>
    <row r="1168" spans="5:8" x14ac:dyDescent="0.25">
      <c r="E1168" t="str">
        <f>""</f>
        <v/>
      </c>
      <c r="F1168" t="str">
        <f>""</f>
        <v/>
      </c>
      <c r="H1168" t="str">
        <f>"tax"</f>
        <v>tax</v>
      </c>
    </row>
    <row r="1169" spans="1:8" x14ac:dyDescent="0.25">
      <c r="E1169" t="str">
        <f>""</f>
        <v/>
      </c>
      <c r="F1169" t="str">
        <f>""</f>
        <v/>
      </c>
      <c r="H1169" t="str">
        <f>"maintance"</f>
        <v>maintance</v>
      </c>
    </row>
    <row r="1170" spans="1:8" x14ac:dyDescent="0.25">
      <c r="A1170" t="s">
        <v>341</v>
      </c>
      <c r="B1170">
        <v>132699</v>
      </c>
      <c r="C1170">
        <v>90</v>
      </c>
      <c r="D1170" s="1">
        <v>44053</v>
      </c>
      <c r="E1170" t="str">
        <f>"10334240"</f>
        <v>10334240</v>
      </c>
      <c r="F1170" t="str">
        <f>"ACCT#00010699-4/PCT#3"</f>
        <v>ACCT#00010699-4/PCT#3</v>
      </c>
      <c r="G1170" s="4">
        <v>90</v>
      </c>
      <c r="H1170" t="str">
        <f>"ACCT#00010699-4/PCT#3"</f>
        <v>ACCT#00010699-4/PCT#3</v>
      </c>
    </row>
    <row r="1171" spans="1:8" x14ac:dyDescent="0.25">
      <c r="A1171" t="s">
        <v>342</v>
      </c>
      <c r="B1171">
        <v>2990</v>
      </c>
      <c r="C1171">
        <v>534</v>
      </c>
      <c r="D1171" s="1">
        <v>44054</v>
      </c>
      <c r="E1171" t="str">
        <f>"359777"</f>
        <v>359777</v>
      </c>
      <c r="F1171" t="str">
        <f>"Sign Shop Materials"</f>
        <v>Sign Shop Materials</v>
      </c>
      <c r="G1171" s="4">
        <v>534</v>
      </c>
      <c r="H1171" t="str">
        <f>"12 x6  Ref. White"</f>
        <v>12 x6  Ref. White</v>
      </c>
    </row>
    <row r="1172" spans="1:8" x14ac:dyDescent="0.25">
      <c r="E1172" t="str">
        <f>""</f>
        <v/>
      </c>
      <c r="F1172" t="str">
        <f>""</f>
        <v/>
      </c>
      <c r="H1172" t="str">
        <f>"5 1/4 Blade Holder"</f>
        <v>5 1/4 Blade Holder</v>
      </c>
    </row>
    <row r="1173" spans="1:8" x14ac:dyDescent="0.25">
      <c r="A1173" t="s">
        <v>343</v>
      </c>
      <c r="B1173">
        <v>132850</v>
      </c>
      <c r="C1173">
        <v>72.25</v>
      </c>
      <c r="D1173" s="1">
        <v>44067</v>
      </c>
      <c r="E1173" t="str">
        <f>"0720 - DR14926"</f>
        <v>0720 - DR14926</v>
      </c>
      <c r="F1173" t="str">
        <f>"CLIENT ID:CXD 14926/JULY 2020"</f>
        <v>CLIENT ID:CXD 14926/JULY 2020</v>
      </c>
      <c r="G1173" s="4">
        <v>72.25</v>
      </c>
      <c r="H1173" t="str">
        <f>"CLIENT ID:CXD 14926/JULY 2020"</f>
        <v>CLIENT ID:CXD 14926/JULY 2020</v>
      </c>
    </row>
    <row r="1174" spans="1:8" x14ac:dyDescent="0.25">
      <c r="A1174" t="s">
        <v>344</v>
      </c>
      <c r="B1174">
        <v>132851</v>
      </c>
      <c r="C1174">
        <v>60</v>
      </c>
      <c r="D1174" s="1">
        <v>44067</v>
      </c>
      <c r="E1174" t="s">
        <v>345</v>
      </c>
      <c r="F1174" t="str">
        <f>"RESTITUTION - A. VILLEGAS"</f>
        <v>RESTITUTION - A. VILLEGAS</v>
      </c>
      <c r="G1174" s="4">
        <v>60</v>
      </c>
      <c r="H1174" t="str">
        <f>"RESTITUTION - A. VILLEGAS"</f>
        <v>RESTITUTION - A. VILLEGAS</v>
      </c>
    </row>
    <row r="1175" spans="1:8" x14ac:dyDescent="0.25">
      <c r="A1175" t="s">
        <v>346</v>
      </c>
      <c r="B1175">
        <v>2944</v>
      </c>
      <c r="C1175">
        <v>2618.77</v>
      </c>
      <c r="D1175" s="1">
        <v>44054</v>
      </c>
      <c r="E1175" t="str">
        <f>"19245"</f>
        <v>19245</v>
      </c>
      <c r="F1175" t="str">
        <f>"COLD MIX/FREIGHT/PCT#4"</f>
        <v>COLD MIX/FREIGHT/PCT#4</v>
      </c>
      <c r="G1175" s="4">
        <v>2618.77</v>
      </c>
      <c r="H1175" t="str">
        <f>"COLD MIX/FREIGHT/PCT#4"</f>
        <v>COLD MIX/FREIGHT/PCT#4</v>
      </c>
    </row>
    <row r="1176" spans="1:8" x14ac:dyDescent="0.25">
      <c r="A1176" t="s">
        <v>346</v>
      </c>
      <c r="B1176">
        <v>3016</v>
      </c>
      <c r="C1176">
        <v>3120.3</v>
      </c>
      <c r="D1176" s="1">
        <v>44068</v>
      </c>
      <c r="E1176" t="str">
        <f>"19312"</f>
        <v>19312</v>
      </c>
      <c r="F1176" t="str">
        <f>"COLD MIX/PCT#1"</f>
        <v>COLD MIX/PCT#1</v>
      </c>
      <c r="G1176" s="4">
        <v>1803.6</v>
      </c>
      <c r="H1176" t="str">
        <f>"COLD MIX/PCT#1"</f>
        <v>COLD MIX/PCT#1</v>
      </c>
    </row>
    <row r="1177" spans="1:8" x14ac:dyDescent="0.25">
      <c r="E1177" t="str">
        <f>"202008198453"</f>
        <v>202008198453</v>
      </c>
      <c r="F1177" t="str">
        <f>"COLD MIX/PCT#1"</f>
        <v>COLD MIX/PCT#1</v>
      </c>
      <c r="G1177" s="4">
        <v>1316.7</v>
      </c>
      <c r="H1177" t="str">
        <f>"COLD MIX/PCT#1"</f>
        <v>COLD MIX/PCT#1</v>
      </c>
    </row>
    <row r="1178" spans="1:8" x14ac:dyDescent="0.25">
      <c r="A1178" t="s">
        <v>347</v>
      </c>
      <c r="B1178">
        <v>132584</v>
      </c>
      <c r="C1178">
        <v>1360.45</v>
      </c>
      <c r="D1178" s="1">
        <v>44049</v>
      </c>
      <c r="E1178" t="str">
        <f>"10657468"</f>
        <v>10657468</v>
      </c>
      <c r="F1178" t="str">
        <f>"ACCT#5150-005117630 / 08012020"</f>
        <v>ACCT#5150-005117630 / 08012020</v>
      </c>
      <c r="G1178" s="4">
        <v>262.81</v>
      </c>
      <c r="H1178" t="str">
        <f>"ACCT#5150-005117630 / 08012020"</f>
        <v>ACCT#5150-005117630 / 08012020</v>
      </c>
    </row>
    <row r="1179" spans="1:8" x14ac:dyDescent="0.25">
      <c r="E1179" t="str">
        <f>"10657475"</f>
        <v>10657475</v>
      </c>
      <c r="F1179" t="str">
        <f>"ACCT#5150-005117766 / 08012020"</f>
        <v>ACCT#5150-005117766 / 08012020</v>
      </c>
      <c r="G1179" s="4">
        <v>115.36</v>
      </c>
      <c r="H1179" t="str">
        <f>"ACCT#5150-005117766 / 08012020"</f>
        <v>ACCT#5150-005117766 / 08012020</v>
      </c>
    </row>
    <row r="1180" spans="1:8" x14ac:dyDescent="0.25">
      <c r="E1180" t="str">
        <f>"10657479"</f>
        <v>10657479</v>
      </c>
      <c r="F1180" t="str">
        <f>"ACCT#5150-005117838 / 08012020"</f>
        <v>ACCT#5150-005117838 / 08012020</v>
      </c>
      <c r="G1180" s="4">
        <v>106.76</v>
      </c>
      <c r="H1180" t="str">
        <f>"ACCT#5150-005117838 / 08012020"</f>
        <v>ACCT#5150-005117838 / 08012020</v>
      </c>
    </row>
    <row r="1181" spans="1:8" x14ac:dyDescent="0.25">
      <c r="E1181" t="str">
        <f>"10657481"</f>
        <v>10657481</v>
      </c>
      <c r="F1181" t="str">
        <f>"ACCT#5150-005117882 / 08012020"</f>
        <v>ACCT#5150-005117882 / 08012020</v>
      </c>
      <c r="G1181" s="4">
        <v>144.19</v>
      </c>
      <c r="H1181" t="str">
        <f>"ACCT#5150-005117882 / 08012020"</f>
        <v>ACCT#5150-005117882 / 08012020</v>
      </c>
    </row>
    <row r="1182" spans="1:8" x14ac:dyDescent="0.25">
      <c r="E1182" t="str">
        <f>"10657489"</f>
        <v>10657489</v>
      </c>
      <c r="F1182" t="str">
        <f>"ACCT#5150-005118183 / 08012020"</f>
        <v>ACCT#5150-005118183 / 08012020</v>
      </c>
      <c r="G1182" s="4">
        <v>618.96</v>
      </c>
      <c r="H1182" t="str">
        <f>"ACCT#5150-005118183 / 08012020"</f>
        <v>ACCT#5150-005118183 / 08012020</v>
      </c>
    </row>
    <row r="1183" spans="1:8" x14ac:dyDescent="0.25">
      <c r="E1183" t="str">
        <f>"10661836"</f>
        <v>10661836</v>
      </c>
      <c r="F1183" t="str">
        <f>"ACCT#5150-16203415 / 08012020"</f>
        <v>ACCT#5150-16203415 / 08012020</v>
      </c>
      <c r="G1183" s="4">
        <v>83.48</v>
      </c>
      <c r="H1183" t="str">
        <f>"ACCT#5150-16203415 / 08012020"</f>
        <v>ACCT#5150-16203415 / 08012020</v>
      </c>
    </row>
    <row r="1184" spans="1:8" x14ac:dyDescent="0.25">
      <c r="E1184" t="str">
        <f>"10661837"</f>
        <v>10661837</v>
      </c>
      <c r="F1184" t="str">
        <f>"ACCT#5150-16203417 / 08012020"</f>
        <v>ACCT#5150-16203417 / 08012020</v>
      </c>
      <c r="G1184" s="4">
        <v>28.89</v>
      </c>
      <c r="H1184" t="str">
        <f>"ACCT#5150-16203417 / 08012020"</f>
        <v>ACCT#5150-16203417 / 08012020</v>
      </c>
    </row>
    <row r="1185" spans="1:8" x14ac:dyDescent="0.25">
      <c r="A1185" t="s">
        <v>348</v>
      </c>
      <c r="B1185">
        <v>132700</v>
      </c>
      <c r="C1185">
        <v>429.69</v>
      </c>
      <c r="D1185" s="1">
        <v>44053</v>
      </c>
      <c r="E1185" t="str">
        <f>"0090365-2161-6"</f>
        <v>0090365-2161-6</v>
      </c>
      <c r="F1185" t="str">
        <f>"CUST ID:2-56581-95066"</f>
        <v>CUST ID:2-56581-95066</v>
      </c>
      <c r="G1185" s="4">
        <v>429.69</v>
      </c>
      <c r="H1185" t="str">
        <f>"CUST ID:2-56581-95066"</f>
        <v>CUST ID:2-56581-95066</v>
      </c>
    </row>
    <row r="1186" spans="1:8" x14ac:dyDescent="0.25">
      <c r="A1186" t="s">
        <v>348</v>
      </c>
      <c r="B1186">
        <v>132852</v>
      </c>
      <c r="C1186">
        <v>5263.72</v>
      </c>
      <c r="D1186" s="1">
        <v>44067</v>
      </c>
      <c r="E1186" t="str">
        <f>"0028206-2161-9"</f>
        <v>0028206-2161-9</v>
      </c>
      <c r="F1186" t="str">
        <f>"CUST ID:2-57060-55062/PCT#4"</f>
        <v>CUST ID:2-57060-55062/PCT#4</v>
      </c>
      <c r="G1186" s="4">
        <v>5148.5</v>
      </c>
      <c r="H1186" t="str">
        <f>"CUST ID:2-57060-55062/PCT#4"</f>
        <v>CUST ID:2-57060-55062/PCT#4</v>
      </c>
    </row>
    <row r="1187" spans="1:8" x14ac:dyDescent="0.25">
      <c r="E1187" t="str">
        <f>"0041098-2162-1"</f>
        <v>0041098-2162-1</v>
      </c>
      <c r="F1187" t="str">
        <f>"CUST#16-27603-83003/ANIMAL SVC"</f>
        <v>CUST#16-27603-83003/ANIMAL SVC</v>
      </c>
      <c r="G1187" s="4">
        <v>115.22</v>
      </c>
      <c r="H1187" t="str">
        <f>"CUST#16-27603-83003/ANIMAL SVC"</f>
        <v>CUST#16-27603-83003/ANIMAL SVC</v>
      </c>
    </row>
    <row r="1188" spans="1:8" x14ac:dyDescent="0.25">
      <c r="A1188" t="s">
        <v>349</v>
      </c>
      <c r="B1188">
        <v>2952</v>
      </c>
      <c r="C1188">
        <v>100</v>
      </c>
      <c r="D1188" s="1">
        <v>44054</v>
      </c>
      <c r="E1188" t="str">
        <f>"5441"</f>
        <v>5441</v>
      </c>
      <c r="F1188" t="str">
        <f>"EMBROIDERY/PCT#2"</f>
        <v>EMBROIDERY/PCT#2</v>
      </c>
      <c r="G1188" s="4">
        <v>100</v>
      </c>
      <c r="H1188" t="str">
        <f>"EMBROIDERY/PCT#2"</f>
        <v>EMBROIDERY/PCT#2</v>
      </c>
    </row>
    <row r="1189" spans="1:8" x14ac:dyDescent="0.25">
      <c r="A1189" t="s">
        <v>350</v>
      </c>
      <c r="B1189">
        <v>132853</v>
      </c>
      <c r="C1189">
        <v>51.88</v>
      </c>
      <c r="D1189" s="1">
        <v>44067</v>
      </c>
      <c r="E1189" t="str">
        <f>"202008188423"</f>
        <v>202008188423</v>
      </c>
      <c r="F1189" t="str">
        <f>"REIMBURSEMENT"</f>
        <v>REIMBURSEMENT</v>
      </c>
      <c r="G1189" s="4">
        <v>51.88</v>
      </c>
      <c r="H1189" t="str">
        <f>"REIMBURSEMENT"</f>
        <v>REIMBURSEMENT</v>
      </c>
    </row>
    <row r="1190" spans="1:8" x14ac:dyDescent="0.25">
      <c r="A1190" t="s">
        <v>351</v>
      </c>
      <c r="B1190">
        <v>132854</v>
      </c>
      <c r="C1190">
        <v>239.44</v>
      </c>
      <c r="D1190" s="1">
        <v>44067</v>
      </c>
      <c r="E1190" t="str">
        <f>"20058"</f>
        <v>20058</v>
      </c>
      <c r="F1190" t="str">
        <f>"INTERPRETATION SVCS/MILEAGE"</f>
        <v>INTERPRETATION SVCS/MILEAGE</v>
      </c>
      <c r="G1190" s="4">
        <v>239.44</v>
      </c>
      <c r="H1190" t="str">
        <f>"INTERPRETATION SVCS/MILEAGE"</f>
        <v>INTERPRETATION SVCS/MILEAGE</v>
      </c>
    </row>
    <row r="1191" spans="1:8" x14ac:dyDescent="0.25">
      <c r="A1191" t="s">
        <v>352</v>
      </c>
      <c r="B1191">
        <v>132701</v>
      </c>
      <c r="C1191">
        <v>140</v>
      </c>
      <c r="D1191" s="1">
        <v>44053</v>
      </c>
      <c r="E1191" t="s">
        <v>45</v>
      </c>
      <c r="F1191" t="str">
        <f>"SERVICE"</f>
        <v>SERVICE</v>
      </c>
      <c r="G1191" s="4">
        <v>140</v>
      </c>
      <c r="H1191" t="str">
        <f>"SERVICE"</f>
        <v>SERVICE</v>
      </c>
    </row>
    <row r="1192" spans="1:8" x14ac:dyDescent="0.25">
      <c r="A1192" t="s">
        <v>353</v>
      </c>
      <c r="B1192">
        <v>132855</v>
      </c>
      <c r="C1192">
        <v>140</v>
      </c>
      <c r="D1192" s="1">
        <v>44067</v>
      </c>
      <c r="E1192" t="str">
        <f>"13265"</f>
        <v>13265</v>
      </c>
      <c r="F1192" t="str">
        <f>"SERVICE"</f>
        <v>SERVICE</v>
      </c>
      <c r="G1192" s="4">
        <v>140</v>
      </c>
      <c r="H1192" t="str">
        <f>"SERVICE"</f>
        <v>SERVICE</v>
      </c>
    </row>
    <row r="1193" spans="1:8" x14ac:dyDescent="0.25">
      <c r="A1193" t="s">
        <v>354</v>
      </c>
      <c r="B1193">
        <v>132856</v>
      </c>
      <c r="C1193">
        <v>70</v>
      </c>
      <c r="D1193" s="1">
        <v>44067</v>
      </c>
      <c r="E1193" t="str">
        <f>"12195"</f>
        <v>12195</v>
      </c>
      <c r="F1193" t="str">
        <f>"SERVICE"</f>
        <v>SERVICE</v>
      </c>
      <c r="G1193" s="4">
        <v>70</v>
      </c>
      <c r="H1193" t="str">
        <f>"SERVICE"</f>
        <v>SERVICE</v>
      </c>
    </row>
    <row r="1194" spans="1:8" x14ac:dyDescent="0.25">
      <c r="A1194" t="s">
        <v>355</v>
      </c>
      <c r="B1194">
        <v>132857</v>
      </c>
      <c r="C1194">
        <v>27.6</v>
      </c>
      <c r="D1194" s="1">
        <v>44067</v>
      </c>
      <c r="E1194" t="str">
        <f>"001-220457"</f>
        <v>001-220457</v>
      </c>
      <c r="F1194" t="str">
        <f>"BOLT/PCT#3"</f>
        <v>BOLT/PCT#3</v>
      </c>
      <c r="G1194" s="4">
        <v>27.6</v>
      </c>
    </row>
    <row r="1195" spans="1:8" x14ac:dyDescent="0.25">
      <c r="A1195" t="s">
        <v>356</v>
      </c>
      <c r="B1195">
        <v>132858</v>
      </c>
      <c r="C1195">
        <v>2881.2</v>
      </c>
      <c r="D1195" s="1">
        <v>44067</v>
      </c>
      <c r="E1195" t="str">
        <f>"IN00022169"</f>
        <v>IN00022169</v>
      </c>
      <c r="F1195" t="str">
        <f>"XM Maintence"</f>
        <v>XM Maintence</v>
      </c>
      <c r="G1195" s="4">
        <v>2881.2</v>
      </c>
      <c r="H1195" t="str">
        <f>"FY 20/21"</f>
        <v>FY 20/21</v>
      </c>
    </row>
    <row r="1196" spans="1:8" x14ac:dyDescent="0.25">
      <c r="E1196" t="str">
        <f>""</f>
        <v/>
      </c>
      <c r="F1196" t="str">
        <f>""</f>
        <v/>
      </c>
      <c r="H1196" t="str">
        <f>"FY 19/20"</f>
        <v>FY 19/20</v>
      </c>
    </row>
    <row r="1197" spans="1:8" x14ac:dyDescent="0.25">
      <c r="A1197" t="s">
        <v>357</v>
      </c>
      <c r="B1197">
        <v>132859</v>
      </c>
      <c r="C1197">
        <v>185</v>
      </c>
      <c r="D1197" s="1">
        <v>44067</v>
      </c>
      <c r="E1197" t="str">
        <f>"202008188424"</f>
        <v>202008188424</v>
      </c>
      <c r="F1197" t="str">
        <f>"PER DIEM"</f>
        <v>PER DIEM</v>
      </c>
      <c r="G1197" s="4">
        <v>185</v>
      </c>
      <c r="H1197" t="str">
        <f>"PER DIEM"</f>
        <v>PER DIEM</v>
      </c>
    </row>
    <row r="1198" spans="1:8" x14ac:dyDescent="0.25">
      <c r="A1198" t="s">
        <v>358</v>
      </c>
      <c r="B1198">
        <v>132702</v>
      </c>
      <c r="C1198">
        <v>3422.8</v>
      </c>
      <c r="D1198" s="1">
        <v>44053</v>
      </c>
      <c r="E1198" t="str">
        <f>"9010962329"</f>
        <v>9010962329</v>
      </c>
      <c r="F1198" t="str">
        <f>"CUST#1000113183/ANIMAL SHELTER"</f>
        <v>CUST#1000113183/ANIMAL SHELTER</v>
      </c>
      <c r="G1198" s="4">
        <v>1465.2</v>
      </c>
      <c r="H1198" t="str">
        <f>"CUST#1000113183/ANIMAL SHELTER"</f>
        <v>CUST#1000113183/ANIMAL SHELTER</v>
      </c>
    </row>
    <row r="1199" spans="1:8" x14ac:dyDescent="0.25">
      <c r="E1199" t="str">
        <f>"9010962360"</f>
        <v>9010962360</v>
      </c>
      <c r="F1199" t="str">
        <f>"CUST#1000113183/ANIMAL SHELTER"</f>
        <v>CUST#1000113183/ANIMAL SHELTER</v>
      </c>
      <c r="G1199" s="4">
        <v>729.2</v>
      </c>
      <c r="H1199" t="str">
        <f>"CUST#1000113183/ANIMAL SHELTER"</f>
        <v>CUST#1000113183/ANIMAL SHELTER</v>
      </c>
    </row>
    <row r="1200" spans="1:8" x14ac:dyDescent="0.25">
      <c r="E1200" t="str">
        <f>"9011021529"</f>
        <v>9011021529</v>
      </c>
      <c r="F1200" t="str">
        <f>"CUST#1000113183/ANIMAL SHELTER"</f>
        <v>CUST#1000113183/ANIMAL SHELTER</v>
      </c>
      <c r="G1200" s="4">
        <v>1228.4000000000001</v>
      </c>
      <c r="H1200" t="str">
        <f>"CUST#1000113183/ANIMAL SHELTER"</f>
        <v>CUST#1000113183/ANIMAL SHELTER</v>
      </c>
    </row>
    <row r="1201" spans="1:8" x14ac:dyDescent="0.25">
      <c r="A1201" t="s">
        <v>358</v>
      </c>
      <c r="B1201">
        <v>132860</v>
      </c>
      <c r="C1201">
        <v>1980.1</v>
      </c>
      <c r="D1201" s="1">
        <v>44067</v>
      </c>
      <c r="E1201" t="str">
        <f>"9011066186"</f>
        <v>9011066186</v>
      </c>
      <c r="F1201" t="str">
        <f>"ORD#1009291139/ANIMAL SVCS"</f>
        <v>ORD#1009291139/ANIMAL SVCS</v>
      </c>
      <c r="G1201" s="4">
        <v>773.9</v>
      </c>
      <c r="H1201" t="str">
        <f>"ORD#1009291139/ANIMAL SVCS"</f>
        <v>ORD#1009291139/ANIMAL SVCS</v>
      </c>
    </row>
    <row r="1202" spans="1:8" x14ac:dyDescent="0.25">
      <c r="E1202" t="str">
        <f>"9011066215"</f>
        <v>9011066215</v>
      </c>
      <c r="F1202" t="str">
        <f>"CUST#1000113183/ANIMAL SVCS"</f>
        <v>CUST#1000113183/ANIMAL SVCS</v>
      </c>
      <c r="G1202" s="4">
        <v>444</v>
      </c>
      <c r="H1202" t="str">
        <f>"CUST#1000113183/ANIMAL SVCS"</f>
        <v>CUST#1000113183/ANIMAL SVCS</v>
      </c>
    </row>
    <row r="1203" spans="1:8" x14ac:dyDescent="0.25">
      <c r="E1203" t="str">
        <f>"9011122159"</f>
        <v>9011122159</v>
      </c>
      <c r="F1203" t="str">
        <f>"CUST#1000113183/ANIMAL SVC"</f>
        <v>CUST#1000113183/ANIMAL SVC</v>
      </c>
      <c r="G1203" s="4">
        <v>762.2</v>
      </c>
      <c r="H1203" t="str">
        <f>"CUST#1000113183/ANIMAL SVC"</f>
        <v>CUST#1000113183/ANIMAL SVC</v>
      </c>
    </row>
    <row r="1204" spans="1:8" x14ac:dyDescent="0.25">
      <c r="A1204" t="s">
        <v>359</v>
      </c>
      <c r="B1204">
        <v>132861</v>
      </c>
      <c r="C1204">
        <v>1745.11</v>
      </c>
      <c r="D1204" s="1">
        <v>44067</v>
      </c>
      <c r="E1204" t="s">
        <v>360</v>
      </c>
      <c r="F1204" t="str">
        <f>"RESTITUTION - E.F. RAMON"</f>
        <v>RESTITUTION - E.F. RAMON</v>
      </c>
      <c r="G1204" s="4">
        <v>100</v>
      </c>
      <c r="H1204" t="str">
        <f>"RESTITUTION - E.F. RAMON"</f>
        <v>RESTITUTION - E.F. RAMON</v>
      </c>
    </row>
    <row r="1205" spans="1:8" x14ac:dyDescent="0.25">
      <c r="E1205" t="s">
        <v>361</v>
      </c>
      <c r="F1205" t="str">
        <f>"RESTITUTION - E.F. RAMON"</f>
        <v>RESTITUTION - E.F. RAMON</v>
      </c>
      <c r="G1205" s="4">
        <v>1645.11</v>
      </c>
      <c r="H1205" t="str">
        <f>"RESTITUTION - E.F. RAMON"</f>
        <v>RESTITUTION - E.F. RAMON</v>
      </c>
    </row>
    <row r="1206" spans="1:8" x14ac:dyDescent="0.25">
      <c r="A1206" t="s">
        <v>22</v>
      </c>
      <c r="B1206">
        <v>2992</v>
      </c>
      <c r="C1206">
        <v>4948</v>
      </c>
      <c r="D1206" s="1">
        <v>44054</v>
      </c>
      <c r="E1206" t="str">
        <f>"13HD-MJ17-7VKT"</f>
        <v>13HD-MJ17-7VKT</v>
      </c>
      <c r="F1206" t="str">
        <f>"PPE Order"</f>
        <v>PPE Order</v>
      </c>
      <c r="G1206" s="4">
        <v>4948</v>
      </c>
      <c r="H1206" t="str">
        <f>"XL GLoves"</f>
        <v>XL GLoves</v>
      </c>
    </row>
    <row r="1207" spans="1:8" x14ac:dyDescent="0.25">
      <c r="E1207" t="str">
        <f>""</f>
        <v/>
      </c>
      <c r="F1207" t="str">
        <f>""</f>
        <v/>
      </c>
      <c r="H1207" t="str">
        <f>"L Gloves"</f>
        <v>L Gloves</v>
      </c>
    </row>
    <row r="1208" spans="1:8" x14ac:dyDescent="0.25">
      <c r="E1208" t="str">
        <f>""</f>
        <v/>
      </c>
      <c r="F1208" t="str">
        <f>""</f>
        <v/>
      </c>
      <c r="H1208" t="str">
        <f>"Mask"</f>
        <v>Mask</v>
      </c>
    </row>
    <row r="1209" spans="1:8" x14ac:dyDescent="0.25">
      <c r="A1209" t="s">
        <v>22</v>
      </c>
      <c r="B1209">
        <v>3075</v>
      </c>
      <c r="C1209">
        <v>2245.8000000000002</v>
      </c>
      <c r="D1209" s="1">
        <v>44068</v>
      </c>
      <c r="E1209" t="str">
        <f>"17C9-KWLH-DJPC"</f>
        <v>17C9-KWLH-DJPC</v>
      </c>
      <c r="F1209" t="str">
        <f>"Purell"</f>
        <v>Purell</v>
      </c>
      <c r="G1209" s="4">
        <v>2245.8000000000002</v>
      </c>
      <c r="H1209" t="str">
        <f>"inv# 17C9-KWLH-DJPC"</f>
        <v>inv# 17C9-KWLH-DJPC</v>
      </c>
    </row>
    <row r="1210" spans="1:8" x14ac:dyDescent="0.25">
      <c r="E1210" t="str">
        <f>""</f>
        <v/>
      </c>
      <c r="F1210" t="str">
        <f>""</f>
        <v/>
      </c>
      <c r="H1210" t="str">
        <f>"cm# 1JM6-RM3F-PQP9"</f>
        <v>cm# 1JM6-RM3F-PQP9</v>
      </c>
    </row>
    <row r="1211" spans="1:8" x14ac:dyDescent="0.25">
      <c r="A1211" t="s">
        <v>33</v>
      </c>
      <c r="B1211">
        <v>132703</v>
      </c>
      <c r="C1211">
        <v>719.58</v>
      </c>
      <c r="D1211" s="1">
        <v>44053</v>
      </c>
      <c r="E1211" t="str">
        <f>"90524359X07272020"</f>
        <v>90524359X07272020</v>
      </c>
      <c r="F1211" t="str">
        <f>"ACCT#287290524359/FAN#58143538"</f>
        <v>ACCT#287290524359/FAN#58143538</v>
      </c>
      <c r="G1211" s="4">
        <v>719.58</v>
      </c>
      <c r="H1211" t="str">
        <f>"ACCT#287290524359/FAN#58143538"</f>
        <v>ACCT#287290524359/FAN#58143538</v>
      </c>
    </row>
    <row r="1212" spans="1:8" x14ac:dyDescent="0.25">
      <c r="A1212" t="s">
        <v>362</v>
      </c>
      <c r="B1212">
        <v>132862</v>
      </c>
      <c r="C1212">
        <v>36549.61</v>
      </c>
      <c r="D1212" s="1">
        <v>44067</v>
      </c>
      <c r="E1212" t="str">
        <f>"1089"</f>
        <v>1089</v>
      </c>
      <c r="F1212" t="str">
        <f>"BOOT CAMP EXPS JAN-MAR 2020"</f>
        <v>BOOT CAMP EXPS JAN-MAR 2020</v>
      </c>
      <c r="G1212" s="4">
        <v>14348.26</v>
      </c>
      <c r="H1212" t="str">
        <f>"BOOT CAMP EXPS JAN-MAR 2020"</f>
        <v>BOOT CAMP EXPS JAN-MAR 2020</v>
      </c>
    </row>
    <row r="1213" spans="1:8" x14ac:dyDescent="0.25">
      <c r="E1213" t="str">
        <f>"1096"</f>
        <v>1096</v>
      </c>
      <c r="F1213" t="str">
        <f>"BOOT CAMP EXPS APR-JUN 2020"</f>
        <v>BOOT CAMP EXPS APR-JUN 2020</v>
      </c>
      <c r="G1213" s="4">
        <v>22201.35</v>
      </c>
      <c r="H1213" t="str">
        <f>"BOOT CAMP EXPS APR-JUN 2020"</f>
        <v>BOOT CAMP EXPS APR-JUN 2020</v>
      </c>
    </row>
    <row r="1214" spans="1:8" x14ac:dyDescent="0.25">
      <c r="A1214" t="s">
        <v>363</v>
      </c>
      <c r="B1214">
        <v>132704</v>
      </c>
      <c r="C1214">
        <v>90523.9</v>
      </c>
      <c r="D1214" s="1">
        <v>44053</v>
      </c>
      <c r="E1214" t="str">
        <f>"202008048094"</f>
        <v>202008048094</v>
      </c>
      <c r="F1214" t="str">
        <f>"DAMAGE TO WATER SYSTEM FACILIT"</f>
        <v>DAMAGE TO WATER SYSTEM FACILIT</v>
      </c>
      <c r="G1214" s="4">
        <v>90523.9</v>
      </c>
      <c r="H1214" t="str">
        <f>"DAMAGE TO WATER SYSTEM FACILIT"</f>
        <v>DAMAGE TO WATER SYSTEM FACILIT</v>
      </c>
    </row>
    <row r="1215" spans="1:8" x14ac:dyDescent="0.25">
      <c r="A1215" t="s">
        <v>61</v>
      </c>
      <c r="B1215">
        <v>132717</v>
      </c>
      <c r="C1215">
        <v>318.26</v>
      </c>
      <c r="D1215" s="1">
        <v>44055</v>
      </c>
      <c r="E1215" t="str">
        <f>"202008128315"</f>
        <v>202008128315</v>
      </c>
      <c r="F1215" t="str">
        <f>"ACCT#5000057374 / 08052020"</f>
        <v>ACCT#5000057374 / 08052020</v>
      </c>
      <c r="G1215" s="4">
        <v>318.26</v>
      </c>
      <c r="H1215" t="str">
        <f>"ACCT#5000057374 / 08052020"</f>
        <v>ACCT#5000057374 / 08052020</v>
      </c>
    </row>
    <row r="1216" spans="1:8" x14ac:dyDescent="0.25">
      <c r="A1216" t="s">
        <v>64</v>
      </c>
      <c r="B1216">
        <v>132705</v>
      </c>
      <c r="C1216">
        <v>208.85</v>
      </c>
      <c r="D1216" s="1">
        <v>44053</v>
      </c>
      <c r="E1216" t="str">
        <f>"202007298048"</f>
        <v>202007298048</v>
      </c>
      <c r="F1216" t="str">
        <f>"REIMBURSE AMMO PURCHASE"</f>
        <v>REIMBURSE AMMO PURCHASE</v>
      </c>
      <c r="G1216" s="4">
        <v>208.85</v>
      </c>
      <c r="H1216" t="str">
        <f>"REIMBURSE AMMO PURCHASE"</f>
        <v>REIMBURSE AMMO PURCHASE</v>
      </c>
    </row>
    <row r="1217" spans="1:8" x14ac:dyDescent="0.25">
      <c r="A1217" t="s">
        <v>364</v>
      </c>
      <c r="B1217">
        <v>132706</v>
      </c>
      <c r="C1217">
        <v>2590</v>
      </c>
      <c r="D1217" s="1">
        <v>44053</v>
      </c>
      <c r="E1217" t="str">
        <f>"76"</f>
        <v>76</v>
      </c>
      <c r="F1217" t="str">
        <f>"REMOVE &amp; INSTALL CHAIN LINK FE"</f>
        <v>REMOVE &amp; INSTALL CHAIN LINK FE</v>
      </c>
      <c r="G1217" s="4">
        <v>2590</v>
      </c>
      <c r="H1217" t="str">
        <f>"REMOVE &amp; INSTALL CHAIN LINK FE"</f>
        <v>REMOVE &amp; INSTALL CHAIN LINK FE</v>
      </c>
    </row>
    <row r="1218" spans="1:8" x14ac:dyDescent="0.25">
      <c r="A1218" t="s">
        <v>364</v>
      </c>
      <c r="B1218">
        <v>132863</v>
      </c>
      <c r="C1218">
        <v>600</v>
      </c>
      <c r="D1218" s="1">
        <v>44067</v>
      </c>
      <c r="E1218" t="str">
        <f>"109"</f>
        <v>109</v>
      </c>
      <c r="F1218" t="str">
        <f>"ADA RAMP DESIGN/599 COOL WATER"</f>
        <v>ADA RAMP DESIGN/599 COOL WATER</v>
      </c>
      <c r="G1218" s="4">
        <v>600</v>
      </c>
      <c r="H1218" t="str">
        <f>"ADA RAMP DESIGN/599 COOL WATER"</f>
        <v>ADA RAMP DESIGN/599 COOL WATER</v>
      </c>
    </row>
    <row r="1219" spans="1:8" x14ac:dyDescent="0.25">
      <c r="A1219" t="s">
        <v>69</v>
      </c>
      <c r="B1219">
        <v>656</v>
      </c>
      <c r="C1219">
        <v>555.53</v>
      </c>
      <c r="D1219" s="1">
        <v>44053</v>
      </c>
      <c r="E1219" t="str">
        <f>"202008058193"</f>
        <v>202008058193</v>
      </c>
      <c r="F1219" t="str">
        <f>"acct# 0058"</f>
        <v>acct# 0058</v>
      </c>
      <c r="G1219" s="4">
        <v>555.53</v>
      </c>
      <c r="H1219" t="str">
        <f>"Walmart"</f>
        <v>Walmart</v>
      </c>
    </row>
    <row r="1220" spans="1:8" x14ac:dyDescent="0.25">
      <c r="E1220" t="str">
        <f>""</f>
        <v/>
      </c>
      <c r="F1220" t="str">
        <f>""</f>
        <v/>
      </c>
      <c r="H1220" t="str">
        <f>"J&amp;P"</f>
        <v>J&amp;P</v>
      </c>
    </row>
    <row r="1221" spans="1:8" x14ac:dyDescent="0.25">
      <c r="A1221" t="s">
        <v>73</v>
      </c>
      <c r="B1221">
        <v>2994</v>
      </c>
      <c r="C1221">
        <v>208.54</v>
      </c>
      <c r="D1221" s="1">
        <v>44054</v>
      </c>
      <c r="E1221" t="str">
        <f>"ZPL1222"</f>
        <v>ZPL1222</v>
      </c>
      <c r="F1221" t="str">
        <f>"Label Maker"</f>
        <v>Label Maker</v>
      </c>
      <c r="G1221" s="4">
        <v>208.54</v>
      </c>
      <c r="H1221" t="str">
        <f>"DYMO Label Maker"</f>
        <v>DYMO Label Maker</v>
      </c>
    </row>
    <row r="1222" spans="1:8" x14ac:dyDescent="0.25">
      <c r="E1222" t="str">
        <f>""</f>
        <v/>
      </c>
      <c r="F1222" t="str">
        <f>""</f>
        <v/>
      </c>
      <c r="H1222" t="str">
        <f>"Labels"</f>
        <v>Labels</v>
      </c>
    </row>
    <row r="1223" spans="1:8" x14ac:dyDescent="0.25">
      <c r="A1223" t="s">
        <v>365</v>
      </c>
      <c r="B1223">
        <v>132864</v>
      </c>
      <c r="C1223">
        <v>650586.6</v>
      </c>
      <c r="D1223" s="1">
        <v>44067</v>
      </c>
      <c r="E1223" t="str">
        <f>"202008128335"</f>
        <v>202008128335</v>
      </c>
      <c r="F1223" t="str">
        <f>"APP#6/PROJ#20-19073"</f>
        <v>APP#6/PROJ#20-19073</v>
      </c>
      <c r="G1223" s="4">
        <v>650586.6</v>
      </c>
      <c r="H1223" t="str">
        <f>"APP#6/PROJ#20-19073"</f>
        <v>APP#6/PROJ#20-19073</v>
      </c>
    </row>
    <row r="1224" spans="1:8" x14ac:dyDescent="0.25">
      <c r="A1224" t="s">
        <v>83</v>
      </c>
      <c r="B1224">
        <v>132715</v>
      </c>
      <c r="C1224">
        <v>2797.19</v>
      </c>
      <c r="D1224" s="1">
        <v>44054</v>
      </c>
      <c r="E1224" t="str">
        <f>"202008118300"</f>
        <v>202008118300</v>
      </c>
      <c r="F1224" t="str">
        <f>"ACCT#72-5613 / 08032020"</f>
        <v>ACCT#72-5613 / 08032020</v>
      </c>
      <c r="G1224" s="4">
        <v>2797.19</v>
      </c>
      <c r="H1224" t="str">
        <f>"ACCT#72-5613 / 08032020"</f>
        <v>ACCT#72-5613 / 08032020</v>
      </c>
    </row>
    <row r="1225" spans="1:8" x14ac:dyDescent="0.25">
      <c r="A1225" t="s">
        <v>83</v>
      </c>
      <c r="B1225">
        <v>132719</v>
      </c>
      <c r="C1225">
        <v>1825.7</v>
      </c>
      <c r="D1225" s="1">
        <v>44061</v>
      </c>
      <c r="E1225" t="str">
        <f>"202008188410"</f>
        <v>202008188410</v>
      </c>
      <c r="F1225" t="str">
        <f>"ACCT#72-5613 /06032020 REISSUE"</f>
        <v>ACCT#72-5613 /06032020 REISSUE</v>
      </c>
      <c r="G1225" s="4">
        <v>1825.7</v>
      </c>
      <c r="H1225" t="str">
        <f>"ACCT#72-5613 /06032020 REISSUE"</f>
        <v>ACCT#72-5613 /06032020 REISSUE</v>
      </c>
    </row>
    <row r="1226" spans="1:8" x14ac:dyDescent="0.25">
      <c r="A1226" t="s">
        <v>366</v>
      </c>
      <c r="B1226">
        <v>132865</v>
      </c>
      <c r="C1226">
        <v>2000</v>
      </c>
      <c r="D1226" s="1">
        <v>44067</v>
      </c>
      <c r="E1226" t="str">
        <f>"202008128336"</f>
        <v>202008128336</v>
      </c>
      <c r="F1226" t="str">
        <f>"19-20028"</f>
        <v>19-20028</v>
      </c>
      <c r="G1226" s="4">
        <v>2000</v>
      </c>
      <c r="H1226" t="str">
        <f>"19-20028"</f>
        <v>19-20028</v>
      </c>
    </row>
    <row r="1227" spans="1:8" x14ac:dyDescent="0.25">
      <c r="A1227" t="s">
        <v>367</v>
      </c>
      <c r="B1227">
        <v>3076</v>
      </c>
      <c r="C1227">
        <v>3000</v>
      </c>
      <c r="D1227" s="1">
        <v>44068</v>
      </c>
      <c r="E1227" t="str">
        <f>"1012"</f>
        <v>1012</v>
      </c>
      <c r="F1227" t="str">
        <f>"CLOTH MASK ORDER"</f>
        <v>CLOTH MASK ORDER</v>
      </c>
      <c r="G1227" s="4">
        <v>3000</v>
      </c>
      <c r="H1227" t="str">
        <f>"CLOTH MASK ORDER"</f>
        <v>CLOTH MASK ORDER</v>
      </c>
    </row>
    <row r="1228" spans="1:8" x14ac:dyDescent="0.25">
      <c r="A1228" t="s">
        <v>103</v>
      </c>
      <c r="B1228">
        <v>132707</v>
      </c>
      <c r="C1228">
        <v>18864.22</v>
      </c>
      <c r="D1228" s="1">
        <v>44053</v>
      </c>
      <c r="E1228" t="str">
        <f>"1040753027"</f>
        <v>1040753027</v>
      </c>
      <c r="F1228" t="str">
        <f>"Monitors"</f>
        <v>Monitors</v>
      </c>
      <c r="G1228" s="4">
        <v>1079.98</v>
      </c>
      <c r="H1228" t="str">
        <f>"UltraSharp 27"</f>
        <v>UltraSharp 27</v>
      </c>
    </row>
    <row r="1229" spans="1:8" x14ac:dyDescent="0.25">
      <c r="E1229" t="str">
        <f>""</f>
        <v/>
      </c>
      <c r="F1229" t="str">
        <f>""</f>
        <v/>
      </c>
      <c r="H1229" t="str">
        <f>"Premier Discount"</f>
        <v>Premier Discount</v>
      </c>
    </row>
    <row r="1230" spans="1:8" x14ac:dyDescent="0.25">
      <c r="E1230" t="str">
        <f>"10411440246"</f>
        <v>10411440246</v>
      </c>
      <c r="F1230" t="str">
        <f>"Tablets for IT"</f>
        <v>Tablets for IT</v>
      </c>
      <c r="G1230" s="4">
        <v>2128.56</v>
      </c>
      <c r="H1230" t="str">
        <f>"Latitude 5310"</f>
        <v>Latitude 5310</v>
      </c>
    </row>
    <row r="1231" spans="1:8" x14ac:dyDescent="0.25">
      <c r="E1231" t="str">
        <f>""</f>
        <v/>
      </c>
      <c r="F1231" t="str">
        <f>""</f>
        <v/>
      </c>
      <c r="H1231" t="str">
        <f>"Active Pen (PN579X)"</f>
        <v>Active Pen (PN579X)</v>
      </c>
    </row>
    <row r="1232" spans="1:8" x14ac:dyDescent="0.25">
      <c r="E1232" t="str">
        <f>"10412103753"</f>
        <v>10412103753</v>
      </c>
      <c r="F1232" t="str">
        <f>"Laptops for COVID"</f>
        <v>Laptops for COVID</v>
      </c>
      <c r="G1232" s="4">
        <v>2609.2800000000002</v>
      </c>
      <c r="H1232" t="str">
        <f>"Latitude 5500 BTX"</f>
        <v>Latitude 5500 BTX</v>
      </c>
    </row>
    <row r="1233" spans="1:8" x14ac:dyDescent="0.25">
      <c r="E1233" t="str">
        <f>""</f>
        <v/>
      </c>
      <c r="F1233" t="str">
        <f>""</f>
        <v/>
      </c>
      <c r="H1233" t="str">
        <f>"Premier Discount"</f>
        <v>Premier Discount</v>
      </c>
    </row>
    <row r="1234" spans="1:8" x14ac:dyDescent="0.25">
      <c r="E1234" t="str">
        <f>"10412168891"</f>
        <v>10412168891</v>
      </c>
      <c r="F1234" t="str">
        <f>"Laptops for COVID"</f>
        <v>Laptops for COVID</v>
      </c>
      <c r="G1234" s="4">
        <v>13046.4</v>
      </c>
      <c r="H1234" t="str">
        <f>"Latitude 5500"</f>
        <v>Latitude 5500</v>
      </c>
    </row>
    <row r="1235" spans="1:8" x14ac:dyDescent="0.25">
      <c r="E1235" t="str">
        <f>""</f>
        <v/>
      </c>
      <c r="F1235" t="str">
        <f>""</f>
        <v/>
      </c>
      <c r="H1235" t="str">
        <f>"Premier Discount"</f>
        <v>Premier Discount</v>
      </c>
    </row>
    <row r="1236" spans="1:8" x14ac:dyDescent="0.25">
      <c r="A1236" t="s">
        <v>103</v>
      </c>
      <c r="B1236">
        <v>132866</v>
      </c>
      <c r="C1236">
        <v>6523.2</v>
      </c>
      <c r="D1236" s="1">
        <v>44067</v>
      </c>
      <c r="E1236" t="str">
        <f>"10409489398"</f>
        <v>10409489398</v>
      </c>
      <c r="F1236" t="str">
        <f>"Laptops"</f>
        <v>Laptops</v>
      </c>
      <c r="G1236" s="4">
        <v>6523.2</v>
      </c>
      <c r="H1236" t="str">
        <f>"Latitude 5500 BTX"</f>
        <v>Latitude 5500 BTX</v>
      </c>
    </row>
    <row r="1237" spans="1:8" x14ac:dyDescent="0.25">
      <c r="E1237" t="str">
        <f>""</f>
        <v/>
      </c>
      <c r="F1237" t="str">
        <f>""</f>
        <v/>
      </c>
      <c r="H1237" t="str">
        <f>"Discount"</f>
        <v>Discount</v>
      </c>
    </row>
    <row r="1238" spans="1:8" x14ac:dyDescent="0.25">
      <c r="A1238" t="s">
        <v>368</v>
      </c>
      <c r="B1238">
        <v>132867</v>
      </c>
      <c r="C1238">
        <v>28680</v>
      </c>
      <c r="D1238" s="1">
        <v>44067</v>
      </c>
      <c r="E1238" t="str">
        <f>"15785"</f>
        <v>15785</v>
      </c>
      <c r="F1238" t="str">
        <f>"inv# 15785"</f>
        <v>inv# 15785</v>
      </c>
      <c r="G1238" s="4">
        <v>14340</v>
      </c>
      <c r="H1238" t="str">
        <f>"TEnt"</f>
        <v>TEnt</v>
      </c>
    </row>
    <row r="1239" spans="1:8" x14ac:dyDescent="0.25">
      <c r="E1239" t="str">
        <f>""</f>
        <v/>
      </c>
      <c r="F1239" t="str">
        <f>""</f>
        <v/>
      </c>
      <c r="H1239" t="str">
        <f>"Barell"</f>
        <v>Barell</v>
      </c>
    </row>
    <row r="1240" spans="1:8" x14ac:dyDescent="0.25">
      <c r="E1240" t="str">
        <f>""</f>
        <v/>
      </c>
      <c r="F1240" t="str">
        <f>""</f>
        <v/>
      </c>
      <c r="H1240" t="str">
        <f>"Tent Walls"</f>
        <v>Tent Walls</v>
      </c>
    </row>
    <row r="1241" spans="1:8" x14ac:dyDescent="0.25">
      <c r="E1241" t="str">
        <f>"15788"</f>
        <v>15788</v>
      </c>
      <c r="F1241" t="str">
        <f>"inv# 15788"</f>
        <v>inv# 15788</v>
      </c>
      <c r="G1241" s="4">
        <v>14340</v>
      </c>
      <c r="H1241" t="str">
        <f>"30X30 Tent"</f>
        <v>30X30 Tent</v>
      </c>
    </row>
    <row r="1242" spans="1:8" x14ac:dyDescent="0.25">
      <c r="E1242" t="str">
        <f>""</f>
        <v/>
      </c>
      <c r="F1242" t="str">
        <f>""</f>
        <v/>
      </c>
      <c r="H1242" t="str">
        <f>"Barell"</f>
        <v>Barell</v>
      </c>
    </row>
    <row r="1243" spans="1:8" x14ac:dyDescent="0.25">
      <c r="E1243" t="str">
        <f>""</f>
        <v/>
      </c>
      <c r="F1243" t="str">
        <f>""</f>
        <v/>
      </c>
      <c r="H1243" t="str">
        <f>"Tent Walls"</f>
        <v>Tent Walls</v>
      </c>
    </row>
    <row r="1244" spans="1:8" x14ac:dyDescent="0.25">
      <c r="A1244" t="s">
        <v>138</v>
      </c>
      <c r="B1244">
        <v>3077</v>
      </c>
      <c r="C1244">
        <v>770.99</v>
      </c>
      <c r="D1244" s="1">
        <v>44068</v>
      </c>
      <c r="E1244" t="str">
        <f>"1840038 1844069"</f>
        <v>1840038 1844069</v>
      </c>
      <c r="F1244" t="str">
        <f>"INV# 1840038 1844069"</f>
        <v>INV# 1840038 1844069</v>
      </c>
      <c r="G1244" s="4">
        <v>395.15</v>
      </c>
      <c r="H1244" t="str">
        <f>"INV# 1840038"</f>
        <v>INV# 1840038</v>
      </c>
    </row>
    <row r="1245" spans="1:8" x14ac:dyDescent="0.25">
      <c r="E1245" t="str">
        <f>""</f>
        <v/>
      </c>
      <c r="F1245" t="str">
        <f>""</f>
        <v/>
      </c>
      <c r="H1245" t="str">
        <f>"INV# 1844069"</f>
        <v>INV# 1844069</v>
      </c>
    </row>
    <row r="1246" spans="1:8" x14ac:dyDescent="0.25">
      <c r="E1246" t="str">
        <f>"1889309 1892113 18"</f>
        <v>1889309 1892113 18</v>
      </c>
      <c r="F1246" t="str">
        <f>"INV# 4067 8328 9309 2113"</f>
        <v>INV# 4067 8328 9309 2113</v>
      </c>
      <c r="G1246" s="4">
        <v>375.84</v>
      </c>
      <c r="H1246" t="str">
        <f>"INV# 1889309"</f>
        <v>INV# 1889309</v>
      </c>
    </row>
    <row r="1247" spans="1:8" x14ac:dyDescent="0.25">
      <c r="E1247" t="str">
        <f>""</f>
        <v/>
      </c>
      <c r="F1247" t="str">
        <f>""</f>
        <v/>
      </c>
      <c r="H1247" t="str">
        <f>"INV# 1892113"</f>
        <v>INV# 1892113</v>
      </c>
    </row>
    <row r="1248" spans="1:8" x14ac:dyDescent="0.25">
      <c r="A1248" t="s">
        <v>159</v>
      </c>
      <c r="B1248">
        <v>2995</v>
      </c>
      <c r="C1248">
        <v>24000</v>
      </c>
      <c r="D1248" s="1">
        <v>44054</v>
      </c>
      <c r="E1248" t="str">
        <f>"105350"</f>
        <v>105350</v>
      </c>
      <c r="F1248" t="str">
        <f>"Pressure Washer"</f>
        <v>Pressure Washer</v>
      </c>
      <c r="G1248" s="4">
        <v>24000</v>
      </c>
      <c r="H1248" t="str">
        <f>"1291SS"</f>
        <v>1291SS</v>
      </c>
    </row>
    <row r="1249" spans="1:8" x14ac:dyDescent="0.25">
      <c r="E1249" t="str">
        <f>""</f>
        <v/>
      </c>
      <c r="F1249" t="str">
        <f>""</f>
        <v/>
      </c>
      <c r="H1249" t="str">
        <f>"FRT1200"</f>
        <v>FRT1200</v>
      </c>
    </row>
    <row r="1250" spans="1:8" x14ac:dyDescent="0.25">
      <c r="E1250" t="str">
        <f>""</f>
        <v/>
      </c>
      <c r="F1250" t="str">
        <f>""</f>
        <v/>
      </c>
      <c r="H1250" t="str">
        <f>"DLRPREP"</f>
        <v>DLRPREP</v>
      </c>
    </row>
    <row r="1251" spans="1:8" x14ac:dyDescent="0.25">
      <c r="E1251" t="str">
        <f>""</f>
        <v/>
      </c>
      <c r="F1251" t="str">
        <f>""</f>
        <v/>
      </c>
      <c r="H1251" t="str">
        <f>"73.6830"</f>
        <v>73.6830</v>
      </c>
    </row>
    <row r="1252" spans="1:8" x14ac:dyDescent="0.25">
      <c r="E1252" t="str">
        <f>""</f>
        <v/>
      </c>
      <c r="F1252" t="str">
        <f>""</f>
        <v/>
      </c>
      <c r="H1252" t="str">
        <f>"73.9640"</f>
        <v>73.9640</v>
      </c>
    </row>
    <row r="1253" spans="1:8" x14ac:dyDescent="0.25">
      <c r="E1253" t="str">
        <f>""</f>
        <v/>
      </c>
      <c r="F1253" t="str">
        <f>""</f>
        <v/>
      </c>
      <c r="H1253" t="str">
        <f>"154225"</f>
        <v>154225</v>
      </c>
    </row>
    <row r="1254" spans="1:8" x14ac:dyDescent="0.25">
      <c r="E1254" t="str">
        <f>""</f>
        <v/>
      </c>
      <c r="F1254" t="str">
        <f>""</f>
        <v/>
      </c>
      <c r="H1254" t="str">
        <f>"DISCOUNT"</f>
        <v>DISCOUNT</v>
      </c>
    </row>
    <row r="1255" spans="1:8" x14ac:dyDescent="0.25">
      <c r="A1255" t="s">
        <v>369</v>
      </c>
      <c r="B1255">
        <v>132708</v>
      </c>
      <c r="C1255">
        <v>146676</v>
      </c>
      <c r="D1255" s="1">
        <v>44053</v>
      </c>
      <c r="E1255" t="str">
        <f>"172282"</f>
        <v>172282</v>
      </c>
      <c r="F1255" t="str">
        <f>"HEAT TRANSFER SOLUTIONS  INC."</f>
        <v>HEAT TRANSFER SOLUTIONS  INC.</v>
      </c>
      <c r="G1255" s="4">
        <v>146676</v>
      </c>
      <c r="H1255" t="str">
        <f>"Air Purifiers"</f>
        <v>Air Purifiers</v>
      </c>
    </row>
    <row r="1256" spans="1:8" x14ac:dyDescent="0.25">
      <c r="A1256" t="s">
        <v>183</v>
      </c>
      <c r="B1256">
        <v>2991</v>
      </c>
      <c r="C1256">
        <v>140</v>
      </c>
      <c r="D1256" s="1">
        <v>44054</v>
      </c>
      <c r="E1256" t="str">
        <f>"202007308051"</f>
        <v>202007308051</v>
      </c>
      <c r="F1256" t="str">
        <f>"REIMBURSE - FACE MASKS"</f>
        <v>REIMBURSE - FACE MASKS</v>
      </c>
      <c r="G1256" s="4">
        <v>140</v>
      </c>
      <c r="H1256" t="str">
        <f>"REIMBURSE - FACE MASKS"</f>
        <v>REIMBURSE - FACE MASKS</v>
      </c>
    </row>
    <row r="1257" spans="1:8" x14ac:dyDescent="0.25">
      <c r="A1257" t="s">
        <v>261</v>
      </c>
      <c r="B1257">
        <v>3074</v>
      </c>
      <c r="C1257">
        <v>1427.9</v>
      </c>
      <c r="D1257" s="1">
        <v>44068</v>
      </c>
      <c r="E1257" t="str">
        <f>"50601355363-APTF"</f>
        <v>50601355363-APTF</v>
      </c>
      <c r="F1257" t="str">
        <f>"CUST#12847097/CONT#4896380"</f>
        <v>CUST#12847097/CONT#4896380</v>
      </c>
      <c r="G1257" s="4">
        <v>1427.9</v>
      </c>
      <c r="H1257" t="str">
        <f>"CUST#12847097/CONT#4896380"</f>
        <v>CUST#12847097/CONT#4896380</v>
      </c>
    </row>
    <row r="1258" spans="1:8" x14ac:dyDescent="0.25">
      <c r="A1258" t="s">
        <v>370</v>
      </c>
      <c r="B1258">
        <v>132709</v>
      </c>
      <c r="C1258">
        <v>17500</v>
      </c>
      <c r="D1258" s="1">
        <v>44053</v>
      </c>
      <c r="E1258" t="str">
        <f>"94-2438"</f>
        <v>94-2438</v>
      </c>
      <c r="F1258" t="str">
        <f>"ACTIVATION RATE - 2500"</f>
        <v>ACTIVATION RATE - 2500</v>
      </c>
      <c r="G1258" s="4">
        <v>17500</v>
      </c>
      <c r="H1258" t="str">
        <f>"ACTIVATION RATE - 2500"</f>
        <v>ACTIVATION RATE - 2500</v>
      </c>
    </row>
    <row r="1259" spans="1:8" x14ac:dyDescent="0.25">
      <c r="A1259" t="s">
        <v>278</v>
      </c>
      <c r="B1259">
        <v>132710</v>
      </c>
      <c r="C1259">
        <v>12328.1</v>
      </c>
      <c r="D1259" s="1">
        <v>44053</v>
      </c>
      <c r="E1259" t="str">
        <f>"GB00375634"</f>
        <v>GB00375634</v>
      </c>
      <c r="F1259" t="str">
        <f>"Webcams for OEM"</f>
        <v>Webcams for OEM</v>
      </c>
      <c r="G1259" s="4">
        <v>50</v>
      </c>
      <c r="H1259" t="str">
        <f>"Webcams"</f>
        <v>Webcams</v>
      </c>
    </row>
    <row r="1260" spans="1:8" x14ac:dyDescent="0.25">
      <c r="E1260" t="str">
        <f>"GB00378075"</f>
        <v>GB00378075</v>
      </c>
      <c r="F1260" t="str">
        <f>"VMWare"</f>
        <v>VMWare</v>
      </c>
      <c r="G1260" s="4">
        <v>12278.1</v>
      </c>
      <c r="H1260" t="str">
        <f>"VMWare Adv. Edition"</f>
        <v>VMWare Adv. Edition</v>
      </c>
    </row>
    <row r="1261" spans="1:8" x14ac:dyDescent="0.25">
      <c r="E1261" t="str">
        <f>""</f>
        <v/>
      </c>
      <c r="F1261" t="str">
        <f>""</f>
        <v/>
      </c>
      <c r="H1261" t="str">
        <f>"Techinal Support"</f>
        <v>Techinal Support</v>
      </c>
    </row>
    <row r="1262" spans="1:8" x14ac:dyDescent="0.25">
      <c r="A1262" t="s">
        <v>278</v>
      </c>
      <c r="B1262">
        <v>132868</v>
      </c>
      <c r="C1262">
        <v>120</v>
      </c>
      <c r="D1262" s="1">
        <v>44067</v>
      </c>
      <c r="E1262" t="str">
        <f>"GB00378382"</f>
        <v>GB00378382</v>
      </c>
      <c r="F1262" t="str">
        <f>"HDMI cables"</f>
        <v>HDMI cables</v>
      </c>
      <c r="G1262" s="4">
        <v>120</v>
      </c>
      <c r="H1262" t="str">
        <f>"Part#: HDMM3"</f>
        <v>Part#: HDMM3</v>
      </c>
    </row>
    <row r="1263" spans="1:8" x14ac:dyDescent="0.25">
      <c r="A1263" t="s">
        <v>371</v>
      </c>
      <c r="B1263">
        <v>132711</v>
      </c>
      <c r="C1263">
        <v>8600</v>
      </c>
      <c r="D1263" s="1">
        <v>44053</v>
      </c>
      <c r="E1263" t="str">
        <f>"20200729"</f>
        <v>20200729</v>
      </c>
      <c r="F1263" t="str">
        <f>"PORTABLE BLDG - JJAEP/MOVING"</f>
        <v>PORTABLE BLDG - JJAEP/MOVING</v>
      </c>
      <c r="G1263" s="4">
        <v>8600</v>
      </c>
      <c r="H1263" t="str">
        <f>"PORTABLE BLDG - JJAEP/MOVING"</f>
        <v>PORTABLE BLDG - JJAEP/MOVING</v>
      </c>
    </row>
    <row r="1264" spans="1:8" x14ac:dyDescent="0.25">
      <c r="A1264" t="s">
        <v>287</v>
      </c>
      <c r="B1264">
        <v>132712</v>
      </c>
      <c r="C1264">
        <v>356.89</v>
      </c>
      <c r="D1264" s="1">
        <v>44053</v>
      </c>
      <c r="E1264" t="str">
        <f>"8059001004"</f>
        <v>8059001004</v>
      </c>
      <c r="F1264" t="str">
        <f>"Staples"</f>
        <v>Staples</v>
      </c>
      <c r="G1264" s="4">
        <v>356.89</v>
      </c>
      <c r="H1264" t="str">
        <f>"3451352573"</f>
        <v>3451352573</v>
      </c>
    </row>
    <row r="1265" spans="1:8" x14ac:dyDescent="0.25">
      <c r="A1265" t="s">
        <v>372</v>
      </c>
      <c r="B1265">
        <v>132713</v>
      </c>
      <c r="C1265">
        <v>450</v>
      </c>
      <c r="D1265" s="1">
        <v>44053</v>
      </c>
      <c r="E1265" t="str">
        <f>"5783989"</f>
        <v>5783989</v>
      </c>
      <c r="F1265" t="str">
        <f>"PAYING AGENT FEE - SERIES 2017"</f>
        <v>PAYING AGENT FEE - SERIES 2017</v>
      </c>
      <c r="G1265" s="4">
        <v>450</v>
      </c>
      <c r="H1265" t="str">
        <f>"PAYING AGENT FEE - SERIES 2017"</f>
        <v>PAYING AGENT FEE - SERIES 2017</v>
      </c>
    </row>
    <row r="1266" spans="1:8" x14ac:dyDescent="0.25">
      <c r="A1266" t="s">
        <v>333</v>
      </c>
      <c r="B1266">
        <v>3073</v>
      </c>
      <c r="C1266">
        <v>576.09</v>
      </c>
      <c r="D1266" s="1">
        <v>44068</v>
      </c>
      <c r="E1266" t="str">
        <f>"122802288"</f>
        <v>122802288</v>
      </c>
      <c r="F1266" t="str">
        <f>"Plastic &amp; Fiber Drum Truc"</f>
        <v>Plastic &amp; Fiber Drum Truc</v>
      </c>
      <c r="G1266" s="4">
        <v>576.09</v>
      </c>
      <c r="H1266" t="str">
        <f>"item# H-3012"</f>
        <v>item# H-3012</v>
      </c>
    </row>
    <row r="1267" spans="1:8" x14ac:dyDescent="0.25">
      <c r="E1267" t="str">
        <f>""</f>
        <v/>
      </c>
      <c r="F1267" t="str">
        <f>""</f>
        <v/>
      </c>
      <c r="H1267" t="str">
        <f>"Shipping"</f>
        <v>Shipping</v>
      </c>
    </row>
    <row r="1268" spans="1:8" x14ac:dyDescent="0.25">
      <c r="A1268" t="s">
        <v>373</v>
      </c>
      <c r="B1268">
        <v>2993</v>
      </c>
      <c r="C1268">
        <v>34022.5</v>
      </c>
      <c r="D1268" s="1">
        <v>44054</v>
      </c>
      <c r="E1268" t="str">
        <f>"VZ-CV-#2047"</f>
        <v>VZ-CV-#2047</v>
      </c>
      <c r="F1268" t="str">
        <f>"PPE Restock"</f>
        <v>PPE Restock</v>
      </c>
      <c r="G1268" s="4">
        <v>34022.5</v>
      </c>
      <c r="H1268" t="str">
        <f>"FM-3 N95 Mask"</f>
        <v>FM-3 N95 Mask</v>
      </c>
    </row>
    <row r="1269" spans="1:8" x14ac:dyDescent="0.25">
      <c r="E1269" t="str">
        <f>""</f>
        <v/>
      </c>
      <c r="F1269" t="str">
        <f>""</f>
        <v/>
      </c>
      <c r="H1269" t="str">
        <f>"FM-4 3-Ply Dispos"</f>
        <v>FM-4 3-Ply Dispos</v>
      </c>
    </row>
    <row r="1270" spans="1:8" x14ac:dyDescent="0.25">
      <c r="E1270" t="str">
        <f>""</f>
        <v/>
      </c>
      <c r="F1270" t="str">
        <f>""</f>
        <v/>
      </c>
      <c r="H1270" t="str">
        <f>"DG-5 Isolation Gown"</f>
        <v>DG-5 Isolation Gown</v>
      </c>
    </row>
    <row r="1271" spans="1:8" x14ac:dyDescent="0.25">
      <c r="E1271" t="str">
        <f>""</f>
        <v/>
      </c>
      <c r="F1271" t="str">
        <f>""</f>
        <v/>
      </c>
      <c r="H1271" t="str">
        <f>"MG-1 Gloves"</f>
        <v>MG-1 Gloves</v>
      </c>
    </row>
    <row r="1272" spans="1:8" x14ac:dyDescent="0.25">
      <c r="A1272" t="s">
        <v>374</v>
      </c>
      <c r="B1272">
        <v>687</v>
      </c>
      <c r="C1272">
        <v>4797.84</v>
      </c>
      <c r="D1272" s="1">
        <v>44068</v>
      </c>
      <c r="E1272" t="str">
        <f>"AS 202008058198"</f>
        <v>AS 202008058198</v>
      </c>
      <c r="F1272" t="str">
        <f t="shared" ref="F1272:F1285" si="18">"ALLSTATE"</f>
        <v>ALLSTATE</v>
      </c>
      <c r="G1272" s="4">
        <v>450.59</v>
      </c>
      <c r="H1272" t="str">
        <f t="shared" ref="H1272:H1285" si="19">"ALLSTATE"</f>
        <v>ALLSTATE</v>
      </c>
    </row>
    <row r="1273" spans="1:8" x14ac:dyDescent="0.25">
      <c r="E1273" t="str">
        <f>"AS 202008058199"</f>
        <v>AS 202008058199</v>
      </c>
      <c r="F1273" t="str">
        <f t="shared" si="18"/>
        <v>ALLSTATE</v>
      </c>
      <c r="G1273" s="4">
        <v>27.14</v>
      </c>
      <c r="H1273" t="str">
        <f t="shared" si="19"/>
        <v>ALLSTATE</v>
      </c>
    </row>
    <row r="1274" spans="1:8" x14ac:dyDescent="0.25">
      <c r="E1274" t="str">
        <f>"AS 202008198437"</f>
        <v>AS 202008198437</v>
      </c>
      <c r="F1274" t="str">
        <f t="shared" si="18"/>
        <v>ALLSTATE</v>
      </c>
      <c r="G1274" s="4">
        <v>450.59</v>
      </c>
      <c r="H1274" t="str">
        <f t="shared" si="19"/>
        <v>ALLSTATE</v>
      </c>
    </row>
    <row r="1275" spans="1:8" x14ac:dyDescent="0.25">
      <c r="E1275" t="str">
        <f>"AS 202008198438"</f>
        <v>AS 202008198438</v>
      </c>
      <c r="F1275" t="str">
        <f t="shared" si="18"/>
        <v>ALLSTATE</v>
      </c>
      <c r="G1275" s="4">
        <v>27.14</v>
      </c>
      <c r="H1275" t="str">
        <f t="shared" si="19"/>
        <v>ALLSTATE</v>
      </c>
    </row>
    <row r="1276" spans="1:8" x14ac:dyDescent="0.25">
      <c r="E1276" t="str">
        <f>"ASD202008058198"</f>
        <v>ASD202008058198</v>
      </c>
      <c r="F1276" t="str">
        <f t="shared" si="18"/>
        <v>ALLSTATE</v>
      </c>
      <c r="G1276" s="4">
        <v>170.21</v>
      </c>
      <c r="H1276" t="str">
        <f t="shared" si="19"/>
        <v>ALLSTATE</v>
      </c>
    </row>
    <row r="1277" spans="1:8" x14ac:dyDescent="0.25">
      <c r="E1277" t="str">
        <f>"ASD202008198437"</f>
        <v>ASD202008198437</v>
      </c>
      <c r="F1277" t="str">
        <f t="shared" si="18"/>
        <v>ALLSTATE</v>
      </c>
      <c r="G1277" s="4">
        <v>170.21</v>
      </c>
      <c r="H1277" t="str">
        <f t="shared" si="19"/>
        <v>ALLSTATE</v>
      </c>
    </row>
    <row r="1278" spans="1:8" x14ac:dyDescent="0.25">
      <c r="E1278" t="str">
        <f>"ASI202008058198"</f>
        <v>ASI202008058198</v>
      </c>
      <c r="F1278" t="str">
        <f t="shared" si="18"/>
        <v>ALLSTATE</v>
      </c>
      <c r="G1278" s="4">
        <v>576.13</v>
      </c>
      <c r="H1278" t="str">
        <f t="shared" si="19"/>
        <v>ALLSTATE</v>
      </c>
    </row>
    <row r="1279" spans="1:8" x14ac:dyDescent="0.25">
      <c r="E1279" t="str">
        <f>"ASI202008058199"</f>
        <v>ASI202008058199</v>
      </c>
      <c r="F1279" t="str">
        <f t="shared" si="18"/>
        <v>ALLSTATE</v>
      </c>
      <c r="G1279" s="4">
        <v>67.150000000000006</v>
      </c>
      <c r="H1279" t="str">
        <f t="shared" si="19"/>
        <v>ALLSTATE</v>
      </c>
    </row>
    <row r="1280" spans="1:8" x14ac:dyDescent="0.25">
      <c r="E1280" t="str">
        <f>"ASI202008198437"</f>
        <v>ASI202008198437</v>
      </c>
      <c r="F1280" t="str">
        <f t="shared" si="18"/>
        <v>ALLSTATE</v>
      </c>
      <c r="G1280" s="4">
        <v>576.13</v>
      </c>
      <c r="H1280" t="str">
        <f t="shared" si="19"/>
        <v>ALLSTATE</v>
      </c>
    </row>
    <row r="1281" spans="1:8" x14ac:dyDescent="0.25">
      <c r="E1281" t="str">
        <f>"ASI202008198438"</f>
        <v>ASI202008198438</v>
      </c>
      <c r="F1281" t="str">
        <f t="shared" si="18"/>
        <v>ALLSTATE</v>
      </c>
      <c r="G1281" s="4">
        <v>67.150000000000006</v>
      </c>
      <c r="H1281" t="str">
        <f t="shared" si="19"/>
        <v>ALLSTATE</v>
      </c>
    </row>
    <row r="1282" spans="1:8" x14ac:dyDescent="0.25">
      <c r="E1282" t="str">
        <f>"AST202008058198"</f>
        <v>AST202008058198</v>
      </c>
      <c r="F1282" t="str">
        <f t="shared" si="18"/>
        <v>ALLSTATE</v>
      </c>
      <c r="G1282" s="4">
        <v>1065.0899999999999</v>
      </c>
      <c r="H1282" t="str">
        <f t="shared" si="19"/>
        <v>ALLSTATE</v>
      </c>
    </row>
    <row r="1283" spans="1:8" x14ac:dyDescent="0.25">
      <c r="E1283" t="str">
        <f>"AST202008058199"</f>
        <v>AST202008058199</v>
      </c>
      <c r="F1283" t="str">
        <f t="shared" si="18"/>
        <v>ALLSTATE</v>
      </c>
      <c r="G1283" s="4">
        <v>42.61</v>
      </c>
      <c r="H1283" t="str">
        <f t="shared" si="19"/>
        <v>ALLSTATE</v>
      </c>
    </row>
    <row r="1284" spans="1:8" x14ac:dyDescent="0.25">
      <c r="E1284" t="str">
        <f>"AST202008198437"</f>
        <v>AST202008198437</v>
      </c>
      <c r="F1284" t="str">
        <f t="shared" si="18"/>
        <v>ALLSTATE</v>
      </c>
      <c r="G1284" s="4">
        <v>1065.0899999999999</v>
      </c>
      <c r="H1284" t="str">
        <f t="shared" si="19"/>
        <v>ALLSTATE</v>
      </c>
    </row>
    <row r="1285" spans="1:8" x14ac:dyDescent="0.25">
      <c r="E1285" t="str">
        <f>"AST202008198438"</f>
        <v>AST202008198438</v>
      </c>
      <c r="F1285" t="str">
        <f t="shared" si="18"/>
        <v>ALLSTATE</v>
      </c>
      <c r="G1285" s="4">
        <v>42.61</v>
      </c>
      <c r="H1285" t="str">
        <f t="shared" si="19"/>
        <v>ALLSTATE</v>
      </c>
    </row>
    <row r="1286" spans="1:8" x14ac:dyDescent="0.25">
      <c r="A1286" t="s">
        <v>374</v>
      </c>
      <c r="B1286">
        <v>688</v>
      </c>
      <c r="C1286">
        <v>0.03</v>
      </c>
      <c r="D1286" s="1">
        <v>44068</v>
      </c>
      <c r="E1286" t="str">
        <f>"202008258469"</f>
        <v>202008258469</v>
      </c>
      <c r="F1286" t="str">
        <f>"AUGUST 2020 - ROUNDING"</f>
        <v>AUGUST 2020 - ROUNDING</v>
      </c>
      <c r="G1286" s="4">
        <v>0.03</v>
      </c>
      <c r="H1286" t="str">
        <f>"AUGUST 2020 - ROUNDING"</f>
        <v>AUGUST 2020 - ROUNDING</v>
      </c>
    </row>
    <row r="1287" spans="1:8" x14ac:dyDescent="0.25">
      <c r="A1287" t="s">
        <v>375</v>
      </c>
      <c r="B1287">
        <v>682</v>
      </c>
      <c r="C1287">
        <v>28003.06</v>
      </c>
      <c r="D1287" s="1">
        <v>44068</v>
      </c>
      <c r="E1287" t="str">
        <f>"202008258466"</f>
        <v>202008258466</v>
      </c>
      <c r="F1287" t="str">
        <f>"RETIREE INS - AUGUST 2020"</f>
        <v>RETIREE INS - AUGUST 2020</v>
      </c>
      <c r="G1287" s="4">
        <v>28003.06</v>
      </c>
      <c r="H1287" t="str">
        <f>"RETIREE INS - AUGUST 2020"</f>
        <v>RETIREE INS - AUGUST 2020</v>
      </c>
    </row>
    <row r="1288" spans="1:8" x14ac:dyDescent="0.25">
      <c r="A1288" t="s">
        <v>376</v>
      </c>
      <c r="B1288">
        <v>649</v>
      </c>
      <c r="C1288">
        <v>2028.36</v>
      </c>
      <c r="D1288" s="1">
        <v>44050</v>
      </c>
      <c r="E1288" t="str">
        <f>"DHM202008058200"</f>
        <v>DHM202008058200</v>
      </c>
      <c r="F1288" t="str">
        <f>"AP - DENTAL HMO"</f>
        <v>AP - DENTAL HMO</v>
      </c>
      <c r="G1288" s="4">
        <v>45.09</v>
      </c>
      <c r="H1288" t="str">
        <f>"AP - DENTAL HMO"</f>
        <v>AP - DENTAL HMO</v>
      </c>
    </row>
    <row r="1289" spans="1:8" x14ac:dyDescent="0.25">
      <c r="E1289" t="str">
        <f>"DTX202008058200"</f>
        <v>DTX202008058200</v>
      </c>
      <c r="F1289" t="str">
        <f>"AP - TEXAS DENTAL"</f>
        <v>AP - TEXAS DENTAL</v>
      </c>
      <c r="G1289" s="4">
        <v>359.12</v>
      </c>
      <c r="H1289" t="str">
        <f>"AP - TEXAS DENTAL"</f>
        <v>AP - TEXAS DENTAL</v>
      </c>
    </row>
    <row r="1290" spans="1:8" x14ac:dyDescent="0.25">
      <c r="E1290" t="str">
        <f>"FD 202008058200"</f>
        <v>FD 202008058200</v>
      </c>
      <c r="F1290" t="str">
        <f>"AP - FT DEARBORN PRE-TAX"</f>
        <v>AP - FT DEARBORN PRE-TAX</v>
      </c>
      <c r="G1290" s="4">
        <v>80.09</v>
      </c>
      <c r="H1290" t="str">
        <f>"AP - FT DEARBORN PRE-TAX"</f>
        <v>AP - FT DEARBORN PRE-TAX</v>
      </c>
    </row>
    <row r="1291" spans="1:8" x14ac:dyDescent="0.25">
      <c r="E1291" t="str">
        <f>"FDT202008058200"</f>
        <v>FDT202008058200</v>
      </c>
      <c r="F1291" t="str">
        <f>"AP - FT DEARBORN AFTER TAX"</f>
        <v>AP - FT DEARBORN AFTER TAX</v>
      </c>
      <c r="G1291" s="4">
        <v>63.83</v>
      </c>
      <c r="H1291" t="str">
        <f>"AP - FT DEARBORN AFTER TAX"</f>
        <v>AP - FT DEARBORN AFTER TAX</v>
      </c>
    </row>
    <row r="1292" spans="1:8" x14ac:dyDescent="0.25">
      <c r="E1292" t="str">
        <f>"FLX202008058200"</f>
        <v>FLX202008058200</v>
      </c>
      <c r="F1292" t="str">
        <f>"AP - TEX FLEX"</f>
        <v>AP - TEX FLEX</v>
      </c>
      <c r="G1292" s="4">
        <v>80.5</v>
      </c>
      <c r="H1292" t="str">
        <f>"AP - TEX FLEX"</f>
        <v>AP - TEX FLEX</v>
      </c>
    </row>
    <row r="1293" spans="1:8" x14ac:dyDescent="0.25">
      <c r="E1293" t="str">
        <f>"HSA202008058200"</f>
        <v>HSA202008058200</v>
      </c>
      <c r="F1293" t="str">
        <f>"AP- HSA"</f>
        <v>AP- HSA</v>
      </c>
      <c r="G1293" s="4">
        <v>20</v>
      </c>
      <c r="H1293" t="str">
        <f>"AP- HSA"</f>
        <v>AP- HSA</v>
      </c>
    </row>
    <row r="1294" spans="1:8" x14ac:dyDescent="0.25">
      <c r="E1294" t="str">
        <f>"MHS202008058200"</f>
        <v>MHS202008058200</v>
      </c>
      <c r="F1294" t="str">
        <f>"AP - HEALTH SELECT MEDICAL"</f>
        <v>AP - HEALTH SELECT MEDICAL</v>
      </c>
      <c r="G1294" s="4">
        <v>958.8</v>
      </c>
      <c r="H1294" t="str">
        <f>"AP - HEALTH SELECT MEDICAL"</f>
        <v>AP - HEALTH SELECT MEDICAL</v>
      </c>
    </row>
    <row r="1295" spans="1:8" x14ac:dyDescent="0.25">
      <c r="E1295" t="str">
        <f>"MSW202008058200"</f>
        <v>MSW202008058200</v>
      </c>
      <c r="F1295" t="str">
        <f>"AP - SCOTT &amp; WHITE MEDICAL"</f>
        <v>AP - SCOTT &amp; WHITE MEDICAL</v>
      </c>
      <c r="G1295" s="4">
        <v>372.9</v>
      </c>
      <c r="H1295" t="str">
        <f>"AP - SCOTT &amp; WHITE MEDICAL"</f>
        <v>AP - SCOTT &amp; WHITE MEDICAL</v>
      </c>
    </row>
    <row r="1296" spans="1:8" x14ac:dyDescent="0.25">
      <c r="E1296" t="str">
        <f>"SPE202008058200"</f>
        <v>SPE202008058200</v>
      </c>
      <c r="F1296" t="str">
        <f>"AP - STATE VISION"</f>
        <v>AP - STATE VISION</v>
      </c>
      <c r="G1296" s="4">
        <v>48.03</v>
      </c>
      <c r="H1296" t="str">
        <f>"AP - STATE VISION"</f>
        <v>AP - STATE VISION</v>
      </c>
    </row>
    <row r="1297" spans="1:8" x14ac:dyDescent="0.25">
      <c r="A1297" t="s">
        <v>376</v>
      </c>
      <c r="B1297">
        <v>675</v>
      </c>
      <c r="C1297">
        <v>2028.36</v>
      </c>
      <c r="D1297" s="1">
        <v>44064</v>
      </c>
      <c r="E1297" t="str">
        <f>"DHM202008198439"</f>
        <v>DHM202008198439</v>
      </c>
      <c r="F1297" t="str">
        <f>"AP - DENTAL HMO"</f>
        <v>AP - DENTAL HMO</v>
      </c>
      <c r="G1297" s="4">
        <v>45.09</v>
      </c>
      <c r="H1297" t="str">
        <f>"AP - DENTAL HMO"</f>
        <v>AP - DENTAL HMO</v>
      </c>
    </row>
    <row r="1298" spans="1:8" x14ac:dyDescent="0.25">
      <c r="E1298" t="str">
        <f>"DTX202008198439"</f>
        <v>DTX202008198439</v>
      </c>
      <c r="F1298" t="str">
        <f>"AP - TEXAS DENTAL"</f>
        <v>AP - TEXAS DENTAL</v>
      </c>
      <c r="G1298" s="4">
        <v>359.12</v>
      </c>
      <c r="H1298" t="str">
        <f>"AP - TEXAS DENTAL"</f>
        <v>AP - TEXAS DENTAL</v>
      </c>
    </row>
    <row r="1299" spans="1:8" x14ac:dyDescent="0.25">
      <c r="E1299" t="str">
        <f>"FD 202008198439"</f>
        <v>FD 202008198439</v>
      </c>
      <c r="F1299" t="str">
        <f>"AP - FT DEARBORN PRE-TAX"</f>
        <v>AP - FT DEARBORN PRE-TAX</v>
      </c>
      <c r="G1299" s="4">
        <v>80.09</v>
      </c>
      <c r="H1299" t="str">
        <f>"AP - FT DEARBORN PRE-TAX"</f>
        <v>AP - FT DEARBORN PRE-TAX</v>
      </c>
    </row>
    <row r="1300" spans="1:8" x14ac:dyDescent="0.25">
      <c r="E1300" t="str">
        <f>"FDT202008198439"</f>
        <v>FDT202008198439</v>
      </c>
      <c r="F1300" t="str">
        <f>"AP - FT DEARBORN AFTER TAX"</f>
        <v>AP - FT DEARBORN AFTER TAX</v>
      </c>
      <c r="G1300" s="4">
        <v>63.83</v>
      </c>
      <c r="H1300" t="str">
        <f>"AP - FT DEARBORN AFTER TAX"</f>
        <v>AP - FT DEARBORN AFTER TAX</v>
      </c>
    </row>
    <row r="1301" spans="1:8" x14ac:dyDescent="0.25">
      <c r="E1301" t="str">
        <f>"FLX202008198439"</f>
        <v>FLX202008198439</v>
      </c>
      <c r="F1301" t="str">
        <f>"AP - TEX FLEX"</f>
        <v>AP - TEX FLEX</v>
      </c>
      <c r="G1301" s="4">
        <v>80.5</v>
      </c>
      <c r="H1301" t="str">
        <f>"AP - TEX FLEX"</f>
        <v>AP - TEX FLEX</v>
      </c>
    </row>
    <row r="1302" spans="1:8" x14ac:dyDescent="0.25">
      <c r="E1302" t="str">
        <f>"HSA202008198439"</f>
        <v>HSA202008198439</v>
      </c>
      <c r="F1302" t="str">
        <f>"AP- HSA"</f>
        <v>AP- HSA</v>
      </c>
      <c r="G1302" s="4">
        <v>20</v>
      </c>
      <c r="H1302" t="str">
        <f>"AP- HSA"</f>
        <v>AP- HSA</v>
      </c>
    </row>
    <row r="1303" spans="1:8" x14ac:dyDescent="0.25">
      <c r="E1303" t="str">
        <f>"MHS202008198439"</f>
        <v>MHS202008198439</v>
      </c>
      <c r="F1303" t="str">
        <f>"AP - HEALTH SELECT MEDICAL"</f>
        <v>AP - HEALTH SELECT MEDICAL</v>
      </c>
      <c r="G1303" s="4">
        <v>958.8</v>
      </c>
      <c r="H1303" t="str">
        <f>"AP - HEALTH SELECT MEDICAL"</f>
        <v>AP - HEALTH SELECT MEDICAL</v>
      </c>
    </row>
    <row r="1304" spans="1:8" x14ac:dyDescent="0.25">
      <c r="E1304" t="str">
        <f>"MSW202008198439"</f>
        <v>MSW202008198439</v>
      </c>
      <c r="F1304" t="str">
        <f>"AP - SCOTT &amp; WHITE MEDICAL"</f>
        <v>AP - SCOTT &amp; WHITE MEDICAL</v>
      </c>
      <c r="G1304" s="4">
        <v>372.9</v>
      </c>
      <c r="H1304" t="str">
        <f>"AP - SCOTT &amp; WHITE MEDICAL"</f>
        <v>AP - SCOTT &amp; WHITE MEDICAL</v>
      </c>
    </row>
    <row r="1305" spans="1:8" x14ac:dyDescent="0.25">
      <c r="E1305" t="str">
        <f>"SPE202008198439"</f>
        <v>SPE202008198439</v>
      </c>
      <c r="F1305" t="str">
        <f>"AP - STATE VISION"</f>
        <v>AP - STATE VISION</v>
      </c>
      <c r="G1305" s="4">
        <v>48.03</v>
      </c>
      <c r="H1305" t="str">
        <f>"AP - STATE VISION"</f>
        <v>AP - STATE VISION</v>
      </c>
    </row>
    <row r="1306" spans="1:8" x14ac:dyDescent="0.25">
      <c r="A1306" t="s">
        <v>377</v>
      </c>
      <c r="B1306">
        <v>689</v>
      </c>
      <c r="C1306">
        <v>4693.72</v>
      </c>
      <c r="D1306" s="1">
        <v>44068</v>
      </c>
      <c r="E1306" t="str">
        <f>"CL 202008058198"</f>
        <v>CL 202008058198</v>
      </c>
      <c r="F1306" t="str">
        <f t="shared" ref="F1306:F1325" si="20">"COLONIAL"</f>
        <v>COLONIAL</v>
      </c>
      <c r="G1306" s="4">
        <v>596.15</v>
      </c>
      <c r="H1306" t="str">
        <f t="shared" ref="H1306:H1325" si="21">"COLONIAL"</f>
        <v>COLONIAL</v>
      </c>
    </row>
    <row r="1307" spans="1:8" x14ac:dyDescent="0.25">
      <c r="E1307" t="str">
        <f>"CL 202008058199"</f>
        <v>CL 202008058199</v>
      </c>
      <c r="F1307" t="str">
        <f t="shared" si="20"/>
        <v>COLONIAL</v>
      </c>
      <c r="G1307" s="4">
        <v>14.49</v>
      </c>
      <c r="H1307" t="str">
        <f t="shared" si="21"/>
        <v>COLONIAL</v>
      </c>
    </row>
    <row r="1308" spans="1:8" x14ac:dyDescent="0.25">
      <c r="E1308" t="str">
        <f>"CL 202008198437"</f>
        <v>CL 202008198437</v>
      </c>
      <c r="F1308" t="str">
        <f t="shared" si="20"/>
        <v>COLONIAL</v>
      </c>
      <c r="G1308" s="4">
        <v>596.15</v>
      </c>
      <c r="H1308" t="str">
        <f t="shared" si="21"/>
        <v>COLONIAL</v>
      </c>
    </row>
    <row r="1309" spans="1:8" x14ac:dyDescent="0.25">
      <c r="E1309" t="str">
        <f>"CL 202008198438"</f>
        <v>CL 202008198438</v>
      </c>
      <c r="F1309" t="str">
        <f t="shared" si="20"/>
        <v>COLONIAL</v>
      </c>
      <c r="G1309" s="4">
        <v>14.49</v>
      </c>
      <c r="H1309" t="str">
        <f t="shared" si="21"/>
        <v>COLONIAL</v>
      </c>
    </row>
    <row r="1310" spans="1:8" x14ac:dyDescent="0.25">
      <c r="E1310" t="str">
        <f>"CLC202008058198"</f>
        <v>CLC202008058198</v>
      </c>
      <c r="F1310" t="str">
        <f t="shared" si="20"/>
        <v>COLONIAL</v>
      </c>
      <c r="G1310" s="4">
        <v>33.99</v>
      </c>
      <c r="H1310" t="str">
        <f t="shared" si="21"/>
        <v>COLONIAL</v>
      </c>
    </row>
    <row r="1311" spans="1:8" x14ac:dyDescent="0.25">
      <c r="E1311" t="str">
        <f>"CLC202008198437"</f>
        <v>CLC202008198437</v>
      </c>
      <c r="F1311" t="str">
        <f t="shared" si="20"/>
        <v>COLONIAL</v>
      </c>
      <c r="G1311" s="4">
        <v>33.99</v>
      </c>
      <c r="H1311" t="str">
        <f t="shared" si="21"/>
        <v>COLONIAL</v>
      </c>
    </row>
    <row r="1312" spans="1:8" x14ac:dyDescent="0.25">
      <c r="E1312" t="str">
        <f>"CLI202008058198"</f>
        <v>CLI202008058198</v>
      </c>
      <c r="F1312" t="str">
        <f t="shared" si="20"/>
        <v>COLONIAL</v>
      </c>
      <c r="G1312" s="4">
        <v>566.54999999999995</v>
      </c>
      <c r="H1312" t="str">
        <f t="shared" si="21"/>
        <v>COLONIAL</v>
      </c>
    </row>
    <row r="1313" spans="1:8" x14ac:dyDescent="0.25">
      <c r="E1313" t="str">
        <f>"CLI202008198437"</f>
        <v>CLI202008198437</v>
      </c>
      <c r="F1313" t="str">
        <f t="shared" si="20"/>
        <v>COLONIAL</v>
      </c>
      <c r="G1313" s="4">
        <v>566.54999999999995</v>
      </c>
      <c r="H1313" t="str">
        <f t="shared" si="21"/>
        <v>COLONIAL</v>
      </c>
    </row>
    <row r="1314" spans="1:8" x14ac:dyDescent="0.25">
      <c r="E1314" t="str">
        <f>"CLK202008058198"</f>
        <v>CLK202008058198</v>
      </c>
      <c r="F1314" t="str">
        <f t="shared" si="20"/>
        <v>COLONIAL</v>
      </c>
      <c r="G1314" s="4">
        <v>27.09</v>
      </c>
      <c r="H1314" t="str">
        <f t="shared" si="21"/>
        <v>COLONIAL</v>
      </c>
    </row>
    <row r="1315" spans="1:8" x14ac:dyDescent="0.25">
      <c r="E1315" t="str">
        <f>"CLK202008198437"</f>
        <v>CLK202008198437</v>
      </c>
      <c r="F1315" t="str">
        <f t="shared" si="20"/>
        <v>COLONIAL</v>
      </c>
      <c r="G1315" s="4">
        <v>27.09</v>
      </c>
      <c r="H1315" t="str">
        <f t="shared" si="21"/>
        <v>COLONIAL</v>
      </c>
    </row>
    <row r="1316" spans="1:8" x14ac:dyDescent="0.25">
      <c r="E1316" t="str">
        <f>"CLS202008058198"</f>
        <v>CLS202008058198</v>
      </c>
      <c r="F1316" t="str">
        <f t="shared" si="20"/>
        <v>COLONIAL</v>
      </c>
      <c r="G1316" s="4">
        <v>307.42</v>
      </c>
      <c r="H1316" t="str">
        <f t="shared" si="21"/>
        <v>COLONIAL</v>
      </c>
    </row>
    <row r="1317" spans="1:8" x14ac:dyDescent="0.25">
      <c r="E1317" t="str">
        <f>"CLS202008058199"</f>
        <v>CLS202008058199</v>
      </c>
      <c r="F1317" t="str">
        <f t="shared" si="20"/>
        <v>COLONIAL</v>
      </c>
      <c r="G1317" s="4">
        <v>15.73</v>
      </c>
      <c r="H1317" t="str">
        <f t="shared" si="21"/>
        <v>COLONIAL</v>
      </c>
    </row>
    <row r="1318" spans="1:8" x14ac:dyDescent="0.25">
      <c r="E1318" t="str">
        <f>"CLS202008198437"</f>
        <v>CLS202008198437</v>
      </c>
      <c r="F1318" t="str">
        <f t="shared" si="20"/>
        <v>COLONIAL</v>
      </c>
      <c r="G1318" s="4">
        <v>307.42</v>
      </c>
      <c r="H1318" t="str">
        <f t="shared" si="21"/>
        <v>COLONIAL</v>
      </c>
    </row>
    <row r="1319" spans="1:8" x14ac:dyDescent="0.25">
      <c r="E1319" t="str">
        <f>"CLS202008198438"</f>
        <v>CLS202008198438</v>
      </c>
      <c r="F1319" t="str">
        <f t="shared" si="20"/>
        <v>COLONIAL</v>
      </c>
      <c r="G1319" s="4">
        <v>15.73</v>
      </c>
      <c r="H1319" t="str">
        <f t="shared" si="21"/>
        <v>COLONIAL</v>
      </c>
    </row>
    <row r="1320" spans="1:8" x14ac:dyDescent="0.25">
      <c r="E1320" t="str">
        <f>"CLT202008058198"</f>
        <v>CLT202008058198</v>
      </c>
      <c r="F1320" t="str">
        <f t="shared" si="20"/>
        <v>COLONIAL</v>
      </c>
      <c r="G1320" s="4">
        <v>365.09</v>
      </c>
      <c r="H1320" t="str">
        <f t="shared" si="21"/>
        <v>COLONIAL</v>
      </c>
    </row>
    <row r="1321" spans="1:8" x14ac:dyDescent="0.25">
      <c r="E1321" t="str">
        <f>"CLT202008198437"</f>
        <v>CLT202008198437</v>
      </c>
      <c r="F1321" t="str">
        <f t="shared" si="20"/>
        <v>COLONIAL</v>
      </c>
      <c r="G1321" s="4">
        <v>365.09</v>
      </c>
      <c r="H1321" t="str">
        <f t="shared" si="21"/>
        <v>COLONIAL</v>
      </c>
    </row>
    <row r="1322" spans="1:8" x14ac:dyDescent="0.25">
      <c r="E1322" t="str">
        <f>"CLU202008058198"</f>
        <v>CLU202008058198</v>
      </c>
      <c r="F1322" t="str">
        <f t="shared" si="20"/>
        <v>COLONIAL</v>
      </c>
      <c r="G1322" s="4">
        <v>111.55</v>
      </c>
      <c r="H1322" t="str">
        <f t="shared" si="21"/>
        <v>COLONIAL</v>
      </c>
    </row>
    <row r="1323" spans="1:8" x14ac:dyDescent="0.25">
      <c r="E1323" t="str">
        <f>"CLU202008198437"</f>
        <v>CLU202008198437</v>
      </c>
      <c r="F1323" t="str">
        <f t="shared" si="20"/>
        <v>COLONIAL</v>
      </c>
      <c r="G1323" s="4">
        <v>111.55</v>
      </c>
      <c r="H1323" t="str">
        <f t="shared" si="21"/>
        <v>COLONIAL</v>
      </c>
    </row>
    <row r="1324" spans="1:8" x14ac:dyDescent="0.25">
      <c r="E1324" t="str">
        <f>"CLW202008058198"</f>
        <v>CLW202008058198</v>
      </c>
      <c r="F1324" t="str">
        <f t="shared" si="20"/>
        <v>COLONIAL</v>
      </c>
      <c r="G1324" s="4">
        <v>308.8</v>
      </c>
      <c r="H1324" t="str">
        <f t="shared" si="21"/>
        <v>COLONIAL</v>
      </c>
    </row>
    <row r="1325" spans="1:8" x14ac:dyDescent="0.25">
      <c r="E1325" t="str">
        <f>"CLW202008198437"</f>
        <v>CLW202008198437</v>
      </c>
      <c r="F1325" t="str">
        <f t="shared" si="20"/>
        <v>COLONIAL</v>
      </c>
      <c r="G1325" s="4">
        <v>308.8</v>
      </c>
      <c r="H1325" t="str">
        <f t="shared" si="21"/>
        <v>COLONIAL</v>
      </c>
    </row>
    <row r="1326" spans="1:8" x14ac:dyDescent="0.25">
      <c r="A1326" t="s">
        <v>377</v>
      </c>
      <c r="B1326">
        <v>690</v>
      </c>
      <c r="C1326">
        <v>0.44</v>
      </c>
      <c r="D1326" s="1">
        <v>44068</v>
      </c>
      <c r="E1326" t="str">
        <f>"202008258471"</f>
        <v>202008258471</v>
      </c>
      <c r="F1326" t="str">
        <f>"AUGUST 2020 - ROUNDING"</f>
        <v>AUGUST 2020 - ROUNDING</v>
      </c>
      <c r="G1326" s="4">
        <v>0.44</v>
      </c>
      <c r="H1326" t="str">
        <f>"AUGUST 2020 - ROUNDING"</f>
        <v>AUGUST 2020 - ROUNDING</v>
      </c>
    </row>
    <row r="1327" spans="1:8" x14ac:dyDescent="0.25">
      <c r="A1327" t="s">
        <v>378</v>
      </c>
      <c r="B1327">
        <v>650</v>
      </c>
      <c r="C1327">
        <v>7444.36</v>
      </c>
      <c r="D1327" s="1">
        <v>44050</v>
      </c>
      <c r="E1327" t="str">
        <f>"CPI202008058198"</f>
        <v>CPI202008058198</v>
      </c>
      <c r="F1327" t="str">
        <f>"DEFERRED COMP 457B PAYABLE"</f>
        <v>DEFERRED COMP 457B PAYABLE</v>
      </c>
      <c r="G1327" s="4">
        <v>7336.86</v>
      </c>
      <c r="H1327" t="str">
        <f>"DEFERRED COMP 457B PAYABLE"</f>
        <v>DEFERRED COMP 457B PAYABLE</v>
      </c>
    </row>
    <row r="1328" spans="1:8" x14ac:dyDescent="0.25">
      <c r="E1328" t="str">
        <f>"CPI202008058199"</f>
        <v>CPI202008058199</v>
      </c>
      <c r="F1328" t="str">
        <f>"DEFERRED COMP 457B PAYABLE"</f>
        <v>DEFERRED COMP 457B PAYABLE</v>
      </c>
      <c r="G1328" s="4">
        <v>107.5</v>
      </c>
      <c r="H1328" t="str">
        <f>"DEFERRED COMP 457B PAYABLE"</f>
        <v>DEFERRED COMP 457B PAYABLE</v>
      </c>
    </row>
    <row r="1329" spans="1:8" x14ac:dyDescent="0.25">
      <c r="A1329" t="s">
        <v>378</v>
      </c>
      <c r="B1329">
        <v>676</v>
      </c>
      <c r="C1329">
        <v>7540.93</v>
      </c>
      <c r="D1329" s="1">
        <v>44064</v>
      </c>
      <c r="E1329" t="str">
        <f>"CPI202008198437"</f>
        <v>CPI202008198437</v>
      </c>
      <c r="F1329" t="str">
        <f>"DEFERRED COMP 457B PAYABLE"</f>
        <v>DEFERRED COMP 457B PAYABLE</v>
      </c>
      <c r="G1329" s="4">
        <v>7433.43</v>
      </c>
      <c r="H1329" t="str">
        <f>"DEFERRED COMP 457B PAYABLE"</f>
        <v>DEFERRED COMP 457B PAYABLE</v>
      </c>
    </row>
    <row r="1330" spans="1:8" x14ac:dyDescent="0.25">
      <c r="E1330" t="str">
        <f>"CPI202008198438"</f>
        <v>CPI202008198438</v>
      </c>
      <c r="F1330" t="str">
        <f>"DEFERRED COMP 457B PAYABLE"</f>
        <v>DEFERRED COMP 457B PAYABLE</v>
      </c>
      <c r="G1330" s="4">
        <v>107.5</v>
      </c>
      <c r="H1330" t="str">
        <f>"DEFERRED COMP 457B PAYABLE"</f>
        <v>DEFERRED COMP 457B PAYABLE</v>
      </c>
    </row>
    <row r="1331" spans="1:8" x14ac:dyDescent="0.25">
      <c r="A1331" t="s">
        <v>379</v>
      </c>
      <c r="B1331">
        <v>683</v>
      </c>
      <c r="C1331">
        <v>37626.660000000003</v>
      </c>
      <c r="D1331" s="1">
        <v>44068</v>
      </c>
      <c r="E1331" t="str">
        <f>"ADC202008058198"</f>
        <v>ADC202008058198</v>
      </c>
      <c r="F1331" t="str">
        <f t="shared" ref="F1331:F1343" si="22">"GUARDIAN"</f>
        <v>GUARDIAN</v>
      </c>
      <c r="G1331" s="4">
        <v>4.25</v>
      </c>
      <c r="H1331" t="str">
        <f t="shared" ref="H1331:H1394" si="23">"GUARDIAN"</f>
        <v>GUARDIAN</v>
      </c>
    </row>
    <row r="1332" spans="1:8" x14ac:dyDescent="0.25">
      <c r="E1332" t="str">
        <f>"ADC202008058199"</f>
        <v>ADC202008058199</v>
      </c>
      <c r="F1332" t="str">
        <f t="shared" si="22"/>
        <v>GUARDIAN</v>
      </c>
      <c r="G1332" s="4">
        <v>0.16</v>
      </c>
      <c r="H1332" t="str">
        <f t="shared" si="23"/>
        <v>GUARDIAN</v>
      </c>
    </row>
    <row r="1333" spans="1:8" x14ac:dyDescent="0.25">
      <c r="E1333" t="str">
        <f>"ADC202008198437"</f>
        <v>ADC202008198437</v>
      </c>
      <c r="F1333" t="str">
        <f t="shared" si="22"/>
        <v>GUARDIAN</v>
      </c>
      <c r="G1333" s="4">
        <v>4.25</v>
      </c>
      <c r="H1333" t="str">
        <f t="shared" si="23"/>
        <v>GUARDIAN</v>
      </c>
    </row>
    <row r="1334" spans="1:8" x14ac:dyDescent="0.25">
      <c r="E1334" t="str">
        <f>"ADC202008198438"</f>
        <v>ADC202008198438</v>
      </c>
      <c r="F1334" t="str">
        <f t="shared" si="22"/>
        <v>GUARDIAN</v>
      </c>
      <c r="G1334" s="4">
        <v>0.16</v>
      </c>
      <c r="H1334" t="str">
        <f t="shared" si="23"/>
        <v>GUARDIAN</v>
      </c>
    </row>
    <row r="1335" spans="1:8" x14ac:dyDescent="0.25">
      <c r="E1335" t="str">
        <f>"ADE202008058198"</f>
        <v>ADE202008058198</v>
      </c>
      <c r="F1335" t="str">
        <f t="shared" si="22"/>
        <v>GUARDIAN</v>
      </c>
      <c r="G1335" s="4">
        <v>215.43</v>
      </c>
      <c r="H1335" t="str">
        <f t="shared" si="23"/>
        <v>GUARDIAN</v>
      </c>
    </row>
    <row r="1336" spans="1:8" x14ac:dyDescent="0.25">
      <c r="E1336" t="str">
        <f>"ADE202008058199"</f>
        <v>ADE202008058199</v>
      </c>
      <c r="F1336" t="str">
        <f t="shared" si="22"/>
        <v>GUARDIAN</v>
      </c>
      <c r="G1336" s="4">
        <v>6.3</v>
      </c>
      <c r="H1336" t="str">
        <f t="shared" si="23"/>
        <v>GUARDIAN</v>
      </c>
    </row>
    <row r="1337" spans="1:8" x14ac:dyDescent="0.25">
      <c r="E1337" t="str">
        <f>"ADE202008198437"</f>
        <v>ADE202008198437</v>
      </c>
      <c r="F1337" t="str">
        <f t="shared" si="22"/>
        <v>GUARDIAN</v>
      </c>
      <c r="G1337" s="4">
        <v>215.43</v>
      </c>
      <c r="H1337" t="str">
        <f t="shared" si="23"/>
        <v>GUARDIAN</v>
      </c>
    </row>
    <row r="1338" spans="1:8" x14ac:dyDescent="0.25">
      <c r="E1338" t="str">
        <f>"ADE202008198438"</f>
        <v>ADE202008198438</v>
      </c>
      <c r="F1338" t="str">
        <f t="shared" si="22"/>
        <v>GUARDIAN</v>
      </c>
      <c r="G1338" s="4">
        <v>6.3</v>
      </c>
      <c r="H1338" t="str">
        <f t="shared" si="23"/>
        <v>GUARDIAN</v>
      </c>
    </row>
    <row r="1339" spans="1:8" x14ac:dyDescent="0.25">
      <c r="E1339" t="str">
        <f>"ADS202008058198"</f>
        <v>ADS202008058198</v>
      </c>
      <c r="F1339" t="str">
        <f t="shared" si="22"/>
        <v>GUARDIAN</v>
      </c>
      <c r="G1339" s="4">
        <v>36.630000000000003</v>
      </c>
      <c r="H1339" t="str">
        <f t="shared" si="23"/>
        <v>GUARDIAN</v>
      </c>
    </row>
    <row r="1340" spans="1:8" x14ac:dyDescent="0.25">
      <c r="E1340" t="str">
        <f>"ADS202008058199"</f>
        <v>ADS202008058199</v>
      </c>
      <c r="F1340" t="str">
        <f t="shared" si="22"/>
        <v>GUARDIAN</v>
      </c>
      <c r="G1340" s="4">
        <v>0.53</v>
      </c>
      <c r="H1340" t="str">
        <f t="shared" si="23"/>
        <v>GUARDIAN</v>
      </c>
    </row>
    <row r="1341" spans="1:8" x14ac:dyDescent="0.25">
      <c r="E1341" t="str">
        <f>"ADS202008198437"</f>
        <v>ADS202008198437</v>
      </c>
      <c r="F1341" t="str">
        <f t="shared" si="22"/>
        <v>GUARDIAN</v>
      </c>
      <c r="G1341" s="4">
        <v>36.630000000000003</v>
      </c>
      <c r="H1341" t="str">
        <f t="shared" si="23"/>
        <v>GUARDIAN</v>
      </c>
    </row>
    <row r="1342" spans="1:8" x14ac:dyDescent="0.25">
      <c r="E1342" t="str">
        <f>"ADS202008198438"</f>
        <v>ADS202008198438</v>
      </c>
      <c r="F1342" t="str">
        <f t="shared" si="22"/>
        <v>GUARDIAN</v>
      </c>
      <c r="G1342" s="4">
        <v>0.53</v>
      </c>
      <c r="H1342" t="str">
        <f t="shared" si="23"/>
        <v>GUARDIAN</v>
      </c>
    </row>
    <row r="1343" spans="1:8" x14ac:dyDescent="0.25">
      <c r="E1343" t="str">
        <f>"GDC202008058198"</f>
        <v>GDC202008058198</v>
      </c>
      <c r="F1343" t="str">
        <f t="shared" si="22"/>
        <v>GUARDIAN</v>
      </c>
      <c r="G1343" s="4">
        <v>2513.04</v>
      </c>
      <c r="H1343" t="str">
        <f t="shared" si="23"/>
        <v>GUARDIAN</v>
      </c>
    </row>
    <row r="1344" spans="1:8" x14ac:dyDescent="0.25">
      <c r="E1344" t="str">
        <f>""</f>
        <v/>
      </c>
      <c r="F1344" t="str">
        <f>""</f>
        <v/>
      </c>
      <c r="H1344" t="str">
        <f t="shared" si="23"/>
        <v>GUARDIAN</v>
      </c>
    </row>
    <row r="1345" spans="5:8" x14ac:dyDescent="0.25">
      <c r="E1345" t="str">
        <f>""</f>
        <v/>
      </c>
      <c r="F1345" t="str">
        <f>""</f>
        <v/>
      </c>
      <c r="H1345" t="str">
        <f t="shared" si="23"/>
        <v>GUARDIAN</v>
      </c>
    </row>
    <row r="1346" spans="5:8" x14ac:dyDescent="0.25">
      <c r="E1346" t="str">
        <f>""</f>
        <v/>
      </c>
      <c r="F1346" t="str">
        <f>""</f>
        <v/>
      </c>
      <c r="H1346" t="str">
        <f t="shared" si="23"/>
        <v>GUARDIAN</v>
      </c>
    </row>
    <row r="1347" spans="5:8" x14ac:dyDescent="0.25">
      <c r="E1347" t="str">
        <f>""</f>
        <v/>
      </c>
      <c r="F1347" t="str">
        <f>""</f>
        <v/>
      </c>
      <c r="H1347" t="str">
        <f t="shared" si="23"/>
        <v>GUARDIAN</v>
      </c>
    </row>
    <row r="1348" spans="5:8" x14ac:dyDescent="0.25">
      <c r="E1348" t="str">
        <f>""</f>
        <v/>
      </c>
      <c r="F1348" t="str">
        <f>""</f>
        <v/>
      </c>
      <c r="H1348" t="str">
        <f t="shared" si="23"/>
        <v>GUARDIAN</v>
      </c>
    </row>
    <row r="1349" spans="5:8" x14ac:dyDescent="0.25">
      <c r="E1349" t="str">
        <f>""</f>
        <v/>
      </c>
      <c r="F1349" t="str">
        <f>""</f>
        <v/>
      </c>
      <c r="H1349" t="str">
        <f t="shared" si="23"/>
        <v>GUARDIAN</v>
      </c>
    </row>
    <row r="1350" spans="5:8" x14ac:dyDescent="0.25">
      <c r="E1350" t="str">
        <f>""</f>
        <v/>
      </c>
      <c r="F1350" t="str">
        <f>""</f>
        <v/>
      </c>
      <c r="H1350" t="str">
        <f t="shared" si="23"/>
        <v>GUARDIAN</v>
      </c>
    </row>
    <row r="1351" spans="5:8" x14ac:dyDescent="0.25">
      <c r="E1351" t="str">
        <f>""</f>
        <v/>
      </c>
      <c r="F1351" t="str">
        <f>""</f>
        <v/>
      </c>
      <c r="H1351" t="str">
        <f t="shared" si="23"/>
        <v>GUARDIAN</v>
      </c>
    </row>
    <row r="1352" spans="5:8" x14ac:dyDescent="0.25">
      <c r="E1352" t="str">
        <f>""</f>
        <v/>
      </c>
      <c r="F1352" t="str">
        <f>""</f>
        <v/>
      </c>
      <c r="H1352" t="str">
        <f t="shared" si="23"/>
        <v>GUARDIAN</v>
      </c>
    </row>
    <row r="1353" spans="5:8" x14ac:dyDescent="0.25">
      <c r="E1353" t="str">
        <f>""</f>
        <v/>
      </c>
      <c r="F1353" t="str">
        <f>""</f>
        <v/>
      </c>
      <c r="H1353" t="str">
        <f t="shared" si="23"/>
        <v>GUARDIAN</v>
      </c>
    </row>
    <row r="1354" spans="5:8" x14ac:dyDescent="0.25">
      <c r="E1354" t="str">
        <f>""</f>
        <v/>
      </c>
      <c r="F1354" t="str">
        <f>""</f>
        <v/>
      </c>
      <c r="H1354" t="str">
        <f t="shared" si="23"/>
        <v>GUARDIAN</v>
      </c>
    </row>
    <row r="1355" spans="5:8" x14ac:dyDescent="0.25">
      <c r="E1355" t="str">
        <f>""</f>
        <v/>
      </c>
      <c r="F1355" t="str">
        <f>""</f>
        <v/>
      </c>
      <c r="H1355" t="str">
        <f t="shared" si="23"/>
        <v>GUARDIAN</v>
      </c>
    </row>
    <row r="1356" spans="5:8" x14ac:dyDescent="0.25">
      <c r="E1356" t="str">
        <f>""</f>
        <v/>
      </c>
      <c r="F1356" t="str">
        <f>""</f>
        <v/>
      </c>
      <c r="H1356" t="str">
        <f t="shared" si="23"/>
        <v>GUARDIAN</v>
      </c>
    </row>
    <row r="1357" spans="5:8" x14ac:dyDescent="0.25">
      <c r="E1357" t="str">
        <f>""</f>
        <v/>
      </c>
      <c r="F1357" t="str">
        <f>""</f>
        <v/>
      </c>
      <c r="H1357" t="str">
        <f t="shared" si="23"/>
        <v>GUARDIAN</v>
      </c>
    </row>
    <row r="1358" spans="5:8" x14ac:dyDescent="0.25">
      <c r="E1358" t="str">
        <f>""</f>
        <v/>
      </c>
      <c r="F1358" t="str">
        <f>""</f>
        <v/>
      </c>
      <c r="H1358" t="str">
        <f t="shared" si="23"/>
        <v>GUARDIAN</v>
      </c>
    </row>
    <row r="1359" spans="5:8" x14ac:dyDescent="0.25">
      <c r="E1359" t="str">
        <f>""</f>
        <v/>
      </c>
      <c r="F1359" t="str">
        <f>""</f>
        <v/>
      </c>
      <c r="H1359" t="str">
        <f t="shared" si="23"/>
        <v>GUARDIAN</v>
      </c>
    </row>
    <row r="1360" spans="5:8" x14ac:dyDescent="0.25">
      <c r="E1360" t="str">
        <f>""</f>
        <v/>
      </c>
      <c r="F1360" t="str">
        <f>""</f>
        <v/>
      </c>
      <c r="H1360" t="str">
        <f t="shared" si="23"/>
        <v>GUARDIAN</v>
      </c>
    </row>
    <row r="1361" spans="5:8" x14ac:dyDescent="0.25">
      <c r="E1361" t="str">
        <f>""</f>
        <v/>
      </c>
      <c r="F1361" t="str">
        <f>""</f>
        <v/>
      </c>
      <c r="H1361" t="str">
        <f t="shared" si="23"/>
        <v>GUARDIAN</v>
      </c>
    </row>
    <row r="1362" spans="5:8" x14ac:dyDescent="0.25">
      <c r="E1362" t="str">
        <f>""</f>
        <v/>
      </c>
      <c r="F1362" t="str">
        <f>""</f>
        <v/>
      </c>
      <c r="H1362" t="str">
        <f t="shared" si="23"/>
        <v>GUARDIAN</v>
      </c>
    </row>
    <row r="1363" spans="5:8" x14ac:dyDescent="0.25">
      <c r="E1363" t="str">
        <f>""</f>
        <v/>
      </c>
      <c r="F1363" t="str">
        <f>""</f>
        <v/>
      </c>
      <c r="H1363" t="str">
        <f t="shared" si="23"/>
        <v>GUARDIAN</v>
      </c>
    </row>
    <row r="1364" spans="5:8" x14ac:dyDescent="0.25">
      <c r="E1364" t="str">
        <f>""</f>
        <v/>
      </c>
      <c r="F1364" t="str">
        <f>""</f>
        <v/>
      </c>
      <c r="H1364" t="str">
        <f t="shared" si="23"/>
        <v>GUARDIAN</v>
      </c>
    </row>
    <row r="1365" spans="5:8" x14ac:dyDescent="0.25">
      <c r="E1365" t="str">
        <f>""</f>
        <v/>
      </c>
      <c r="F1365" t="str">
        <f>""</f>
        <v/>
      </c>
      <c r="H1365" t="str">
        <f t="shared" si="23"/>
        <v>GUARDIAN</v>
      </c>
    </row>
    <row r="1366" spans="5:8" x14ac:dyDescent="0.25">
      <c r="E1366" t="str">
        <f>""</f>
        <v/>
      </c>
      <c r="F1366" t="str">
        <f>""</f>
        <v/>
      </c>
      <c r="H1366" t="str">
        <f t="shared" si="23"/>
        <v>GUARDIAN</v>
      </c>
    </row>
    <row r="1367" spans="5:8" x14ac:dyDescent="0.25">
      <c r="E1367" t="str">
        <f>""</f>
        <v/>
      </c>
      <c r="F1367" t="str">
        <f>""</f>
        <v/>
      </c>
      <c r="H1367" t="str">
        <f t="shared" si="23"/>
        <v>GUARDIAN</v>
      </c>
    </row>
    <row r="1368" spans="5:8" x14ac:dyDescent="0.25">
      <c r="E1368" t="str">
        <f>""</f>
        <v/>
      </c>
      <c r="F1368" t="str">
        <f>""</f>
        <v/>
      </c>
      <c r="H1368" t="str">
        <f t="shared" si="23"/>
        <v>GUARDIAN</v>
      </c>
    </row>
    <row r="1369" spans="5:8" x14ac:dyDescent="0.25">
      <c r="E1369" t="str">
        <f>""</f>
        <v/>
      </c>
      <c r="F1369" t="str">
        <f>""</f>
        <v/>
      </c>
      <c r="H1369" t="str">
        <f t="shared" si="23"/>
        <v>GUARDIAN</v>
      </c>
    </row>
    <row r="1370" spans="5:8" x14ac:dyDescent="0.25">
      <c r="E1370" t="str">
        <f>""</f>
        <v/>
      </c>
      <c r="F1370" t="str">
        <f>""</f>
        <v/>
      </c>
      <c r="H1370" t="str">
        <f t="shared" si="23"/>
        <v>GUARDIAN</v>
      </c>
    </row>
    <row r="1371" spans="5:8" x14ac:dyDescent="0.25">
      <c r="E1371" t="str">
        <f>"GDC202008058199"</f>
        <v>GDC202008058199</v>
      </c>
      <c r="F1371" t="str">
        <f>"GUARDIAN"</f>
        <v>GUARDIAN</v>
      </c>
      <c r="G1371" s="4">
        <v>135.84</v>
      </c>
      <c r="H1371" t="str">
        <f t="shared" si="23"/>
        <v>GUARDIAN</v>
      </c>
    </row>
    <row r="1372" spans="5:8" x14ac:dyDescent="0.25">
      <c r="E1372" t="str">
        <f>""</f>
        <v/>
      </c>
      <c r="F1372" t="str">
        <f>""</f>
        <v/>
      </c>
      <c r="H1372" t="str">
        <f t="shared" si="23"/>
        <v>GUARDIAN</v>
      </c>
    </row>
    <row r="1373" spans="5:8" x14ac:dyDescent="0.25">
      <c r="E1373" t="str">
        <f>"GDC202008198437"</f>
        <v>GDC202008198437</v>
      </c>
      <c r="F1373" t="str">
        <f>"GUARDIAN"</f>
        <v>GUARDIAN</v>
      </c>
      <c r="G1373" s="4">
        <v>2513.04</v>
      </c>
      <c r="H1373" t="str">
        <f t="shared" si="23"/>
        <v>GUARDIAN</v>
      </c>
    </row>
    <row r="1374" spans="5:8" x14ac:dyDescent="0.25">
      <c r="E1374" t="str">
        <f>""</f>
        <v/>
      </c>
      <c r="F1374" t="str">
        <f>""</f>
        <v/>
      </c>
      <c r="H1374" t="str">
        <f t="shared" si="23"/>
        <v>GUARDIAN</v>
      </c>
    </row>
    <row r="1375" spans="5:8" x14ac:dyDescent="0.25">
      <c r="E1375" t="str">
        <f>""</f>
        <v/>
      </c>
      <c r="F1375" t="str">
        <f>""</f>
        <v/>
      </c>
      <c r="H1375" t="str">
        <f t="shared" si="23"/>
        <v>GUARDIAN</v>
      </c>
    </row>
    <row r="1376" spans="5:8" x14ac:dyDescent="0.25">
      <c r="E1376" t="str">
        <f>""</f>
        <v/>
      </c>
      <c r="F1376" t="str">
        <f>""</f>
        <v/>
      </c>
      <c r="H1376" t="str">
        <f t="shared" si="23"/>
        <v>GUARDIAN</v>
      </c>
    </row>
    <row r="1377" spans="5:8" x14ac:dyDescent="0.25">
      <c r="E1377" t="str">
        <f>""</f>
        <v/>
      </c>
      <c r="F1377" t="str">
        <f>""</f>
        <v/>
      </c>
      <c r="H1377" t="str">
        <f t="shared" si="23"/>
        <v>GUARDIAN</v>
      </c>
    </row>
    <row r="1378" spans="5:8" x14ac:dyDescent="0.25">
      <c r="E1378" t="str">
        <f>""</f>
        <v/>
      </c>
      <c r="F1378" t="str">
        <f>""</f>
        <v/>
      </c>
      <c r="H1378" t="str">
        <f t="shared" si="23"/>
        <v>GUARDIAN</v>
      </c>
    </row>
    <row r="1379" spans="5:8" x14ac:dyDescent="0.25">
      <c r="E1379" t="str">
        <f>""</f>
        <v/>
      </c>
      <c r="F1379" t="str">
        <f>""</f>
        <v/>
      </c>
      <c r="H1379" t="str">
        <f t="shared" si="23"/>
        <v>GUARDIAN</v>
      </c>
    </row>
    <row r="1380" spans="5:8" x14ac:dyDescent="0.25">
      <c r="E1380" t="str">
        <f>""</f>
        <v/>
      </c>
      <c r="F1380" t="str">
        <f>""</f>
        <v/>
      </c>
      <c r="H1380" t="str">
        <f t="shared" si="23"/>
        <v>GUARDIAN</v>
      </c>
    </row>
    <row r="1381" spans="5:8" x14ac:dyDescent="0.25">
      <c r="E1381" t="str">
        <f>""</f>
        <v/>
      </c>
      <c r="F1381" t="str">
        <f>""</f>
        <v/>
      </c>
      <c r="H1381" t="str">
        <f t="shared" si="23"/>
        <v>GUARDIAN</v>
      </c>
    </row>
    <row r="1382" spans="5:8" x14ac:dyDescent="0.25">
      <c r="E1382" t="str">
        <f>""</f>
        <v/>
      </c>
      <c r="F1382" t="str">
        <f>""</f>
        <v/>
      </c>
      <c r="H1382" t="str">
        <f t="shared" si="23"/>
        <v>GUARDIAN</v>
      </c>
    </row>
    <row r="1383" spans="5:8" x14ac:dyDescent="0.25">
      <c r="E1383" t="str">
        <f>""</f>
        <v/>
      </c>
      <c r="F1383" t="str">
        <f>""</f>
        <v/>
      </c>
      <c r="H1383" t="str">
        <f t="shared" si="23"/>
        <v>GUARDIAN</v>
      </c>
    </row>
    <row r="1384" spans="5:8" x14ac:dyDescent="0.25">
      <c r="E1384" t="str">
        <f>""</f>
        <v/>
      </c>
      <c r="F1384" t="str">
        <f>""</f>
        <v/>
      </c>
      <c r="H1384" t="str">
        <f t="shared" si="23"/>
        <v>GUARDIAN</v>
      </c>
    </row>
    <row r="1385" spans="5:8" x14ac:dyDescent="0.25">
      <c r="E1385" t="str">
        <f>""</f>
        <v/>
      </c>
      <c r="F1385" t="str">
        <f>""</f>
        <v/>
      </c>
      <c r="H1385" t="str">
        <f t="shared" si="23"/>
        <v>GUARDIAN</v>
      </c>
    </row>
    <row r="1386" spans="5:8" x14ac:dyDescent="0.25">
      <c r="E1386" t="str">
        <f>""</f>
        <v/>
      </c>
      <c r="F1386" t="str">
        <f>""</f>
        <v/>
      </c>
      <c r="H1386" t="str">
        <f t="shared" si="23"/>
        <v>GUARDIAN</v>
      </c>
    </row>
    <row r="1387" spans="5:8" x14ac:dyDescent="0.25">
      <c r="E1387" t="str">
        <f>""</f>
        <v/>
      </c>
      <c r="F1387" t="str">
        <f>""</f>
        <v/>
      </c>
      <c r="H1387" t="str">
        <f t="shared" si="23"/>
        <v>GUARDIAN</v>
      </c>
    </row>
    <row r="1388" spans="5:8" x14ac:dyDescent="0.25">
      <c r="E1388" t="str">
        <f>""</f>
        <v/>
      </c>
      <c r="F1388" t="str">
        <f>""</f>
        <v/>
      </c>
      <c r="H1388" t="str">
        <f t="shared" si="23"/>
        <v>GUARDIAN</v>
      </c>
    </row>
    <row r="1389" spans="5:8" x14ac:dyDescent="0.25">
      <c r="E1389" t="str">
        <f>""</f>
        <v/>
      </c>
      <c r="F1389" t="str">
        <f>""</f>
        <v/>
      </c>
      <c r="H1389" t="str">
        <f t="shared" si="23"/>
        <v>GUARDIAN</v>
      </c>
    </row>
    <row r="1390" spans="5:8" x14ac:dyDescent="0.25">
      <c r="E1390" t="str">
        <f>""</f>
        <v/>
      </c>
      <c r="F1390" t="str">
        <f>""</f>
        <v/>
      </c>
      <c r="H1390" t="str">
        <f t="shared" si="23"/>
        <v>GUARDIAN</v>
      </c>
    </row>
    <row r="1391" spans="5:8" x14ac:dyDescent="0.25">
      <c r="E1391" t="str">
        <f>""</f>
        <v/>
      </c>
      <c r="F1391" t="str">
        <f>""</f>
        <v/>
      </c>
      <c r="H1391" t="str">
        <f t="shared" si="23"/>
        <v>GUARDIAN</v>
      </c>
    </row>
    <row r="1392" spans="5:8" x14ac:dyDescent="0.25">
      <c r="E1392" t="str">
        <f>""</f>
        <v/>
      </c>
      <c r="F1392" t="str">
        <f>""</f>
        <v/>
      </c>
      <c r="H1392" t="str">
        <f t="shared" si="23"/>
        <v>GUARDIAN</v>
      </c>
    </row>
    <row r="1393" spans="5:8" x14ac:dyDescent="0.25">
      <c r="E1393" t="str">
        <f>""</f>
        <v/>
      </c>
      <c r="F1393" t="str">
        <f>""</f>
        <v/>
      </c>
      <c r="H1393" t="str">
        <f t="shared" si="23"/>
        <v>GUARDIAN</v>
      </c>
    </row>
    <row r="1394" spans="5:8" x14ac:dyDescent="0.25">
      <c r="E1394" t="str">
        <f>""</f>
        <v/>
      </c>
      <c r="F1394" t="str">
        <f>""</f>
        <v/>
      </c>
      <c r="H1394" t="str">
        <f t="shared" si="23"/>
        <v>GUARDIAN</v>
      </c>
    </row>
    <row r="1395" spans="5:8" x14ac:dyDescent="0.25">
      <c r="E1395" t="str">
        <f>""</f>
        <v/>
      </c>
      <c r="F1395" t="str">
        <f>""</f>
        <v/>
      </c>
      <c r="H1395" t="str">
        <f t="shared" ref="H1395:H1458" si="24">"GUARDIAN"</f>
        <v>GUARDIAN</v>
      </c>
    </row>
    <row r="1396" spans="5:8" x14ac:dyDescent="0.25">
      <c r="E1396" t="str">
        <f>""</f>
        <v/>
      </c>
      <c r="F1396" t="str">
        <f>""</f>
        <v/>
      </c>
      <c r="H1396" t="str">
        <f t="shared" si="24"/>
        <v>GUARDIAN</v>
      </c>
    </row>
    <row r="1397" spans="5:8" x14ac:dyDescent="0.25">
      <c r="E1397" t="str">
        <f>""</f>
        <v/>
      </c>
      <c r="F1397" t="str">
        <f>""</f>
        <v/>
      </c>
      <c r="H1397" t="str">
        <f t="shared" si="24"/>
        <v>GUARDIAN</v>
      </c>
    </row>
    <row r="1398" spans="5:8" x14ac:dyDescent="0.25">
      <c r="E1398" t="str">
        <f>""</f>
        <v/>
      </c>
      <c r="F1398" t="str">
        <f>""</f>
        <v/>
      </c>
      <c r="H1398" t="str">
        <f t="shared" si="24"/>
        <v>GUARDIAN</v>
      </c>
    </row>
    <row r="1399" spans="5:8" x14ac:dyDescent="0.25">
      <c r="E1399" t="str">
        <f>""</f>
        <v/>
      </c>
      <c r="F1399" t="str">
        <f>""</f>
        <v/>
      </c>
      <c r="H1399" t="str">
        <f t="shared" si="24"/>
        <v>GUARDIAN</v>
      </c>
    </row>
    <row r="1400" spans="5:8" x14ac:dyDescent="0.25">
      <c r="E1400" t="str">
        <f>""</f>
        <v/>
      </c>
      <c r="F1400" t="str">
        <f>""</f>
        <v/>
      </c>
      <c r="H1400" t="str">
        <f t="shared" si="24"/>
        <v>GUARDIAN</v>
      </c>
    </row>
    <row r="1401" spans="5:8" x14ac:dyDescent="0.25">
      <c r="E1401" t="str">
        <f>"GDC202008198438"</f>
        <v>GDC202008198438</v>
      </c>
      <c r="F1401" t="str">
        <f>"GUARDIAN"</f>
        <v>GUARDIAN</v>
      </c>
      <c r="G1401" s="4">
        <v>135.84</v>
      </c>
      <c r="H1401" t="str">
        <f t="shared" si="24"/>
        <v>GUARDIAN</v>
      </c>
    </row>
    <row r="1402" spans="5:8" x14ac:dyDescent="0.25">
      <c r="E1402" t="str">
        <f>""</f>
        <v/>
      </c>
      <c r="F1402" t="str">
        <f>""</f>
        <v/>
      </c>
      <c r="H1402" t="str">
        <f t="shared" si="24"/>
        <v>GUARDIAN</v>
      </c>
    </row>
    <row r="1403" spans="5:8" x14ac:dyDescent="0.25">
      <c r="E1403" t="str">
        <f>"GDE202008058198"</f>
        <v>GDE202008058198</v>
      </c>
      <c r="F1403" t="str">
        <f>"GUARDIAN"</f>
        <v>GUARDIAN</v>
      </c>
      <c r="G1403" s="4">
        <v>4509.2700000000004</v>
      </c>
      <c r="H1403" t="str">
        <f t="shared" si="24"/>
        <v>GUARDIAN</v>
      </c>
    </row>
    <row r="1404" spans="5:8" x14ac:dyDescent="0.25">
      <c r="E1404" t="str">
        <f>""</f>
        <v/>
      </c>
      <c r="F1404" t="str">
        <f>""</f>
        <v/>
      </c>
      <c r="H1404" t="str">
        <f t="shared" si="24"/>
        <v>GUARDIAN</v>
      </c>
    </row>
    <row r="1405" spans="5:8" x14ac:dyDescent="0.25">
      <c r="E1405" t="str">
        <f>""</f>
        <v/>
      </c>
      <c r="F1405" t="str">
        <f>""</f>
        <v/>
      </c>
      <c r="H1405" t="str">
        <f t="shared" si="24"/>
        <v>GUARDIAN</v>
      </c>
    </row>
    <row r="1406" spans="5:8" x14ac:dyDescent="0.25">
      <c r="E1406" t="str">
        <f>""</f>
        <v/>
      </c>
      <c r="F1406" t="str">
        <f>""</f>
        <v/>
      </c>
      <c r="H1406" t="str">
        <f t="shared" si="24"/>
        <v>GUARDIAN</v>
      </c>
    </row>
    <row r="1407" spans="5:8" x14ac:dyDescent="0.25">
      <c r="E1407" t="str">
        <f>""</f>
        <v/>
      </c>
      <c r="F1407" t="str">
        <f>""</f>
        <v/>
      </c>
      <c r="H1407" t="str">
        <f t="shared" si="24"/>
        <v>GUARDIAN</v>
      </c>
    </row>
    <row r="1408" spans="5:8" x14ac:dyDescent="0.25">
      <c r="E1408" t="str">
        <f>""</f>
        <v/>
      </c>
      <c r="F1408" t="str">
        <f>""</f>
        <v/>
      </c>
      <c r="H1408" t="str">
        <f t="shared" si="24"/>
        <v>GUARDIAN</v>
      </c>
    </row>
    <row r="1409" spans="5:8" x14ac:dyDescent="0.25">
      <c r="E1409" t="str">
        <f>""</f>
        <v/>
      </c>
      <c r="F1409" t="str">
        <f>""</f>
        <v/>
      </c>
      <c r="H1409" t="str">
        <f t="shared" si="24"/>
        <v>GUARDIAN</v>
      </c>
    </row>
    <row r="1410" spans="5:8" x14ac:dyDescent="0.25">
      <c r="E1410" t="str">
        <f>""</f>
        <v/>
      </c>
      <c r="F1410" t="str">
        <f>""</f>
        <v/>
      </c>
      <c r="H1410" t="str">
        <f t="shared" si="24"/>
        <v>GUARDIAN</v>
      </c>
    </row>
    <row r="1411" spans="5:8" x14ac:dyDescent="0.25">
      <c r="E1411" t="str">
        <f>""</f>
        <v/>
      </c>
      <c r="F1411" t="str">
        <f>""</f>
        <v/>
      </c>
      <c r="H1411" t="str">
        <f t="shared" si="24"/>
        <v>GUARDIAN</v>
      </c>
    </row>
    <row r="1412" spans="5:8" x14ac:dyDescent="0.25">
      <c r="E1412" t="str">
        <f>""</f>
        <v/>
      </c>
      <c r="F1412" t="str">
        <f>""</f>
        <v/>
      </c>
      <c r="H1412" t="str">
        <f t="shared" si="24"/>
        <v>GUARDIAN</v>
      </c>
    </row>
    <row r="1413" spans="5:8" x14ac:dyDescent="0.25">
      <c r="E1413" t="str">
        <f>""</f>
        <v/>
      </c>
      <c r="F1413" t="str">
        <f>""</f>
        <v/>
      </c>
      <c r="H1413" t="str">
        <f t="shared" si="24"/>
        <v>GUARDIAN</v>
      </c>
    </row>
    <row r="1414" spans="5:8" x14ac:dyDescent="0.25">
      <c r="E1414" t="str">
        <f>""</f>
        <v/>
      </c>
      <c r="F1414" t="str">
        <f>""</f>
        <v/>
      </c>
      <c r="H1414" t="str">
        <f t="shared" si="24"/>
        <v>GUARDIAN</v>
      </c>
    </row>
    <row r="1415" spans="5:8" x14ac:dyDescent="0.25">
      <c r="E1415" t="str">
        <f>""</f>
        <v/>
      </c>
      <c r="F1415" t="str">
        <f>""</f>
        <v/>
      </c>
      <c r="H1415" t="str">
        <f t="shared" si="24"/>
        <v>GUARDIAN</v>
      </c>
    </row>
    <row r="1416" spans="5:8" x14ac:dyDescent="0.25">
      <c r="E1416" t="str">
        <f>""</f>
        <v/>
      </c>
      <c r="F1416" t="str">
        <f>""</f>
        <v/>
      </c>
      <c r="H1416" t="str">
        <f t="shared" si="24"/>
        <v>GUARDIAN</v>
      </c>
    </row>
    <row r="1417" spans="5:8" x14ac:dyDescent="0.25">
      <c r="E1417" t="str">
        <f>""</f>
        <v/>
      </c>
      <c r="F1417" t="str">
        <f>""</f>
        <v/>
      </c>
      <c r="H1417" t="str">
        <f t="shared" si="24"/>
        <v>GUARDIAN</v>
      </c>
    </row>
    <row r="1418" spans="5:8" x14ac:dyDescent="0.25">
      <c r="E1418" t="str">
        <f>""</f>
        <v/>
      </c>
      <c r="F1418" t="str">
        <f>""</f>
        <v/>
      </c>
      <c r="H1418" t="str">
        <f t="shared" si="24"/>
        <v>GUARDIAN</v>
      </c>
    </row>
    <row r="1419" spans="5:8" x14ac:dyDescent="0.25">
      <c r="E1419" t="str">
        <f>""</f>
        <v/>
      </c>
      <c r="F1419" t="str">
        <f>""</f>
        <v/>
      </c>
      <c r="H1419" t="str">
        <f t="shared" si="24"/>
        <v>GUARDIAN</v>
      </c>
    </row>
    <row r="1420" spans="5:8" x14ac:dyDescent="0.25">
      <c r="E1420" t="str">
        <f>""</f>
        <v/>
      </c>
      <c r="F1420" t="str">
        <f>""</f>
        <v/>
      </c>
      <c r="H1420" t="str">
        <f t="shared" si="24"/>
        <v>GUARDIAN</v>
      </c>
    </row>
    <row r="1421" spans="5:8" x14ac:dyDescent="0.25">
      <c r="E1421" t="str">
        <f>""</f>
        <v/>
      </c>
      <c r="F1421" t="str">
        <f>""</f>
        <v/>
      </c>
      <c r="H1421" t="str">
        <f t="shared" si="24"/>
        <v>GUARDIAN</v>
      </c>
    </row>
    <row r="1422" spans="5:8" x14ac:dyDescent="0.25">
      <c r="E1422" t="str">
        <f>""</f>
        <v/>
      </c>
      <c r="F1422" t="str">
        <f>""</f>
        <v/>
      </c>
      <c r="H1422" t="str">
        <f t="shared" si="24"/>
        <v>GUARDIAN</v>
      </c>
    </row>
    <row r="1423" spans="5:8" x14ac:dyDescent="0.25">
      <c r="E1423" t="str">
        <f>""</f>
        <v/>
      </c>
      <c r="F1423" t="str">
        <f>""</f>
        <v/>
      </c>
      <c r="H1423" t="str">
        <f t="shared" si="24"/>
        <v>GUARDIAN</v>
      </c>
    </row>
    <row r="1424" spans="5:8" x14ac:dyDescent="0.25">
      <c r="E1424" t="str">
        <f>""</f>
        <v/>
      </c>
      <c r="F1424" t="str">
        <f>""</f>
        <v/>
      </c>
      <c r="H1424" t="str">
        <f t="shared" si="24"/>
        <v>GUARDIAN</v>
      </c>
    </row>
    <row r="1425" spans="5:8" x14ac:dyDescent="0.25">
      <c r="E1425" t="str">
        <f>""</f>
        <v/>
      </c>
      <c r="F1425" t="str">
        <f>""</f>
        <v/>
      </c>
      <c r="H1425" t="str">
        <f t="shared" si="24"/>
        <v>GUARDIAN</v>
      </c>
    </row>
    <row r="1426" spans="5:8" x14ac:dyDescent="0.25">
      <c r="E1426" t="str">
        <f>""</f>
        <v/>
      </c>
      <c r="F1426" t="str">
        <f>""</f>
        <v/>
      </c>
      <c r="H1426" t="str">
        <f t="shared" si="24"/>
        <v>GUARDIAN</v>
      </c>
    </row>
    <row r="1427" spans="5:8" x14ac:dyDescent="0.25">
      <c r="E1427" t="str">
        <f>""</f>
        <v/>
      </c>
      <c r="F1427" t="str">
        <f>""</f>
        <v/>
      </c>
      <c r="H1427" t="str">
        <f t="shared" si="24"/>
        <v>GUARDIAN</v>
      </c>
    </row>
    <row r="1428" spans="5:8" x14ac:dyDescent="0.25">
      <c r="E1428" t="str">
        <f>""</f>
        <v/>
      </c>
      <c r="F1428" t="str">
        <f>""</f>
        <v/>
      </c>
      <c r="H1428" t="str">
        <f t="shared" si="24"/>
        <v>GUARDIAN</v>
      </c>
    </row>
    <row r="1429" spans="5:8" x14ac:dyDescent="0.25">
      <c r="E1429" t="str">
        <f>""</f>
        <v/>
      </c>
      <c r="F1429" t="str">
        <f>""</f>
        <v/>
      </c>
      <c r="H1429" t="str">
        <f t="shared" si="24"/>
        <v>GUARDIAN</v>
      </c>
    </row>
    <row r="1430" spans="5:8" x14ac:dyDescent="0.25">
      <c r="E1430" t="str">
        <f>""</f>
        <v/>
      </c>
      <c r="F1430" t="str">
        <f>""</f>
        <v/>
      </c>
      <c r="H1430" t="str">
        <f t="shared" si="24"/>
        <v>GUARDIAN</v>
      </c>
    </row>
    <row r="1431" spans="5:8" x14ac:dyDescent="0.25">
      <c r="E1431" t="str">
        <f>""</f>
        <v/>
      </c>
      <c r="F1431" t="str">
        <f>""</f>
        <v/>
      </c>
      <c r="H1431" t="str">
        <f t="shared" si="24"/>
        <v>GUARDIAN</v>
      </c>
    </row>
    <row r="1432" spans="5:8" x14ac:dyDescent="0.25">
      <c r="E1432" t="str">
        <f>""</f>
        <v/>
      </c>
      <c r="F1432" t="str">
        <f>""</f>
        <v/>
      </c>
      <c r="H1432" t="str">
        <f t="shared" si="24"/>
        <v>GUARDIAN</v>
      </c>
    </row>
    <row r="1433" spans="5:8" x14ac:dyDescent="0.25">
      <c r="E1433" t="str">
        <f>""</f>
        <v/>
      </c>
      <c r="F1433" t="str">
        <f>""</f>
        <v/>
      </c>
      <c r="H1433" t="str">
        <f t="shared" si="24"/>
        <v>GUARDIAN</v>
      </c>
    </row>
    <row r="1434" spans="5:8" x14ac:dyDescent="0.25">
      <c r="E1434" t="str">
        <f>""</f>
        <v/>
      </c>
      <c r="F1434" t="str">
        <f>""</f>
        <v/>
      </c>
      <c r="H1434" t="str">
        <f t="shared" si="24"/>
        <v>GUARDIAN</v>
      </c>
    </row>
    <row r="1435" spans="5:8" x14ac:dyDescent="0.25">
      <c r="E1435" t="str">
        <f>""</f>
        <v/>
      </c>
      <c r="F1435" t="str">
        <f>""</f>
        <v/>
      </c>
      <c r="H1435" t="str">
        <f t="shared" si="24"/>
        <v>GUARDIAN</v>
      </c>
    </row>
    <row r="1436" spans="5:8" x14ac:dyDescent="0.25">
      <c r="E1436" t="str">
        <f>""</f>
        <v/>
      </c>
      <c r="F1436" t="str">
        <f>""</f>
        <v/>
      </c>
      <c r="H1436" t="str">
        <f t="shared" si="24"/>
        <v>GUARDIAN</v>
      </c>
    </row>
    <row r="1437" spans="5:8" x14ac:dyDescent="0.25">
      <c r="E1437" t="str">
        <f>""</f>
        <v/>
      </c>
      <c r="F1437" t="str">
        <f>""</f>
        <v/>
      </c>
      <c r="H1437" t="str">
        <f t="shared" si="24"/>
        <v>GUARDIAN</v>
      </c>
    </row>
    <row r="1438" spans="5:8" x14ac:dyDescent="0.25">
      <c r="E1438" t="str">
        <f>""</f>
        <v/>
      </c>
      <c r="F1438" t="str">
        <f>""</f>
        <v/>
      </c>
      <c r="H1438" t="str">
        <f t="shared" si="24"/>
        <v>GUARDIAN</v>
      </c>
    </row>
    <row r="1439" spans="5:8" x14ac:dyDescent="0.25">
      <c r="E1439" t="str">
        <f>""</f>
        <v/>
      </c>
      <c r="F1439" t="str">
        <f>""</f>
        <v/>
      </c>
      <c r="H1439" t="str">
        <f t="shared" si="24"/>
        <v>GUARDIAN</v>
      </c>
    </row>
    <row r="1440" spans="5:8" x14ac:dyDescent="0.25">
      <c r="E1440" t="str">
        <f>""</f>
        <v/>
      </c>
      <c r="F1440" t="str">
        <f>""</f>
        <v/>
      </c>
      <c r="H1440" t="str">
        <f t="shared" si="24"/>
        <v>GUARDIAN</v>
      </c>
    </row>
    <row r="1441" spans="5:8" x14ac:dyDescent="0.25">
      <c r="E1441" t="str">
        <f>""</f>
        <v/>
      </c>
      <c r="F1441" t="str">
        <f>""</f>
        <v/>
      </c>
      <c r="H1441" t="str">
        <f t="shared" si="24"/>
        <v>GUARDIAN</v>
      </c>
    </row>
    <row r="1442" spans="5:8" x14ac:dyDescent="0.25">
      <c r="E1442" t="str">
        <f>""</f>
        <v/>
      </c>
      <c r="F1442" t="str">
        <f>""</f>
        <v/>
      </c>
      <c r="H1442" t="str">
        <f t="shared" si="24"/>
        <v>GUARDIAN</v>
      </c>
    </row>
    <row r="1443" spans="5:8" x14ac:dyDescent="0.25">
      <c r="E1443" t="str">
        <f>""</f>
        <v/>
      </c>
      <c r="F1443" t="str">
        <f>""</f>
        <v/>
      </c>
      <c r="H1443" t="str">
        <f t="shared" si="24"/>
        <v>GUARDIAN</v>
      </c>
    </row>
    <row r="1444" spans="5:8" x14ac:dyDescent="0.25">
      <c r="E1444" t="str">
        <f>""</f>
        <v/>
      </c>
      <c r="F1444" t="str">
        <f>""</f>
        <v/>
      </c>
      <c r="H1444" t="str">
        <f t="shared" si="24"/>
        <v>GUARDIAN</v>
      </c>
    </row>
    <row r="1445" spans="5:8" x14ac:dyDescent="0.25">
      <c r="E1445" t="str">
        <f>""</f>
        <v/>
      </c>
      <c r="F1445" t="str">
        <f>""</f>
        <v/>
      </c>
      <c r="H1445" t="str">
        <f t="shared" si="24"/>
        <v>GUARDIAN</v>
      </c>
    </row>
    <row r="1446" spans="5:8" x14ac:dyDescent="0.25">
      <c r="E1446" t="str">
        <f>""</f>
        <v/>
      </c>
      <c r="F1446" t="str">
        <f>""</f>
        <v/>
      </c>
      <c r="H1446" t="str">
        <f t="shared" si="24"/>
        <v>GUARDIAN</v>
      </c>
    </row>
    <row r="1447" spans="5:8" x14ac:dyDescent="0.25">
      <c r="E1447" t="str">
        <f>"GDE202008058199"</f>
        <v>GDE202008058199</v>
      </c>
      <c r="F1447" t="str">
        <f>"GUARDIAN"</f>
        <v>GUARDIAN</v>
      </c>
      <c r="G1447" s="4">
        <v>184.68</v>
      </c>
      <c r="H1447" t="str">
        <f t="shared" si="24"/>
        <v>GUARDIAN</v>
      </c>
    </row>
    <row r="1448" spans="5:8" x14ac:dyDescent="0.25">
      <c r="E1448" t="str">
        <f>"GDE202008198437"</f>
        <v>GDE202008198437</v>
      </c>
      <c r="F1448" t="str">
        <f>"GUARDIAN"</f>
        <v>GUARDIAN</v>
      </c>
      <c r="G1448" s="4">
        <v>4509.2700000000004</v>
      </c>
      <c r="H1448" t="str">
        <f t="shared" si="24"/>
        <v>GUARDIAN</v>
      </c>
    </row>
    <row r="1449" spans="5:8" x14ac:dyDescent="0.25">
      <c r="E1449" t="str">
        <f>""</f>
        <v/>
      </c>
      <c r="F1449" t="str">
        <f>""</f>
        <v/>
      </c>
      <c r="H1449" t="str">
        <f t="shared" si="24"/>
        <v>GUARDIAN</v>
      </c>
    </row>
    <row r="1450" spans="5:8" x14ac:dyDescent="0.25">
      <c r="E1450" t="str">
        <f>""</f>
        <v/>
      </c>
      <c r="F1450" t="str">
        <f>""</f>
        <v/>
      </c>
      <c r="H1450" t="str">
        <f t="shared" si="24"/>
        <v>GUARDIAN</v>
      </c>
    </row>
    <row r="1451" spans="5:8" x14ac:dyDescent="0.25">
      <c r="E1451" t="str">
        <f>""</f>
        <v/>
      </c>
      <c r="F1451" t="str">
        <f>""</f>
        <v/>
      </c>
      <c r="H1451" t="str">
        <f t="shared" si="24"/>
        <v>GUARDIAN</v>
      </c>
    </row>
    <row r="1452" spans="5:8" x14ac:dyDescent="0.25">
      <c r="E1452" t="str">
        <f>""</f>
        <v/>
      </c>
      <c r="F1452" t="str">
        <f>""</f>
        <v/>
      </c>
      <c r="H1452" t="str">
        <f t="shared" si="24"/>
        <v>GUARDIAN</v>
      </c>
    </row>
    <row r="1453" spans="5:8" x14ac:dyDescent="0.25">
      <c r="E1453" t="str">
        <f>""</f>
        <v/>
      </c>
      <c r="F1453" t="str">
        <f>""</f>
        <v/>
      </c>
      <c r="H1453" t="str">
        <f t="shared" si="24"/>
        <v>GUARDIAN</v>
      </c>
    </row>
    <row r="1454" spans="5:8" x14ac:dyDescent="0.25">
      <c r="E1454" t="str">
        <f>""</f>
        <v/>
      </c>
      <c r="F1454" t="str">
        <f>""</f>
        <v/>
      </c>
      <c r="H1454" t="str">
        <f t="shared" si="24"/>
        <v>GUARDIAN</v>
      </c>
    </row>
    <row r="1455" spans="5:8" x14ac:dyDescent="0.25">
      <c r="E1455" t="str">
        <f>""</f>
        <v/>
      </c>
      <c r="F1455" t="str">
        <f>""</f>
        <v/>
      </c>
      <c r="H1455" t="str">
        <f t="shared" si="24"/>
        <v>GUARDIAN</v>
      </c>
    </row>
    <row r="1456" spans="5:8" x14ac:dyDescent="0.25">
      <c r="E1456" t="str">
        <f>""</f>
        <v/>
      </c>
      <c r="F1456" t="str">
        <f>""</f>
        <v/>
      </c>
      <c r="H1456" t="str">
        <f t="shared" si="24"/>
        <v>GUARDIAN</v>
      </c>
    </row>
    <row r="1457" spans="5:8" x14ac:dyDescent="0.25">
      <c r="E1457" t="str">
        <f>""</f>
        <v/>
      </c>
      <c r="F1457" t="str">
        <f>""</f>
        <v/>
      </c>
      <c r="H1457" t="str">
        <f t="shared" si="24"/>
        <v>GUARDIAN</v>
      </c>
    </row>
    <row r="1458" spans="5:8" x14ac:dyDescent="0.25">
      <c r="E1458" t="str">
        <f>""</f>
        <v/>
      </c>
      <c r="F1458" t="str">
        <f>""</f>
        <v/>
      </c>
      <c r="H1458" t="str">
        <f t="shared" si="24"/>
        <v>GUARDIAN</v>
      </c>
    </row>
    <row r="1459" spans="5:8" x14ac:dyDescent="0.25">
      <c r="E1459" t="str">
        <f>""</f>
        <v/>
      </c>
      <c r="F1459" t="str">
        <f>""</f>
        <v/>
      </c>
      <c r="H1459" t="str">
        <f t="shared" ref="H1459:H1522" si="25">"GUARDIAN"</f>
        <v>GUARDIAN</v>
      </c>
    </row>
    <row r="1460" spans="5:8" x14ac:dyDescent="0.25">
      <c r="E1460" t="str">
        <f>""</f>
        <v/>
      </c>
      <c r="F1460" t="str">
        <f>""</f>
        <v/>
      </c>
      <c r="H1460" t="str">
        <f t="shared" si="25"/>
        <v>GUARDIAN</v>
      </c>
    </row>
    <row r="1461" spans="5:8" x14ac:dyDescent="0.25">
      <c r="E1461" t="str">
        <f>""</f>
        <v/>
      </c>
      <c r="F1461" t="str">
        <f>""</f>
        <v/>
      </c>
      <c r="H1461" t="str">
        <f t="shared" si="25"/>
        <v>GUARDIAN</v>
      </c>
    </row>
    <row r="1462" spans="5:8" x14ac:dyDescent="0.25">
      <c r="E1462" t="str">
        <f>""</f>
        <v/>
      </c>
      <c r="F1462" t="str">
        <f>""</f>
        <v/>
      </c>
      <c r="H1462" t="str">
        <f t="shared" si="25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25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25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25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25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25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25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25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25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25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25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25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25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25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25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25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25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25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25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25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25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25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25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25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25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25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25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25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25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25"/>
        <v>GUARDIAN</v>
      </c>
    </row>
    <row r="1492" spans="5:8" x14ac:dyDescent="0.25">
      <c r="E1492" t="str">
        <f>"GDE202008198438"</f>
        <v>GDE202008198438</v>
      </c>
      <c r="F1492" t="str">
        <f>"GUARDIAN"</f>
        <v>GUARDIAN</v>
      </c>
      <c r="G1492" s="4">
        <v>184.68</v>
      </c>
      <c r="H1492" t="str">
        <f t="shared" si="25"/>
        <v>GUARDIAN</v>
      </c>
    </row>
    <row r="1493" spans="5:8" x14ac:dyDescent="0.25">
      <c r="E1493" t="str">
        <f>"GDF202008058198"</f>
        <v>GDF202008058198</v>
      </c>
      <c r="F1493" t="str">
        <f>"GUARDIAN"</f>
        <v>GUARDIAN</v>
      </c>
      <c r="G1493" s="4">
        <v>2108.8200000000002</v>
      </c>
      <c r="H1493" t="str">
        <f t="shared" si="25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25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25"/>
        <v>GUARDIAN</v>
      </c>
    </row>
    <row r="1496" spans="5:8" x14ac:dyDescent="0.25">
      <c r="E1496" t="str">
        <f>""</f>
        <v/>
      </c>
      <c r="F1496" t="str">
        <f>""</f>
        <v/>
      </c>
      <c r="H1496" t="str">
        <f t="shared" si="25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25"/>
        <v>GUARDIAN</v>
      </c>
    </row>
    <row r="1498" spans="5:8" x14ac:dyDescent="0.25">
      <c r="E1498" t="str">
        <f>""</f>
        <v/>
      </c>
      <c r="F1498" t="str">
        <f>""</f>
        <v/>
      </c>
      <c r="H1498" t="str">
        <f t="shared" si="25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25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25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25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25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25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25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25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25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25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25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25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25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25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25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25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si="25"/>
        <v>GUARDIAN</v>
      </c>
    </row>
    <row r="1515" spans="5:8" x14ac:dyDescent="0.25">
      <c r="E1515" t="str">
        <f>"GDF202008058199"</f>
        <v>GDF202008058199</v>
      </c>
      <c r="F1515" t="str">
        <f>"GUARDIAN"</f>
        <v>GUARDIAN</v>
      </c>
      <c r="G1515" s="4">
        <v>100.42</v>
      </c>
      <c r="H1515" t="str">
        <f t="shared" si="25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25"/>
        <v>GUARDIAN</v>
      </c>
    </row>
    <row r="1517" spans="5:8" x14ac:dyDescent="0.25">
      <c r="E1517" t="str">
        <f>"GDF202008198437"</f>
        <v>GDF202008198437</v>
      </c>
      <c r="F1517" t="str">
        <f>"GUARDIAN"</f>
        <v>GUARDIAN</v>
      </c>
      <c r="G1517" s="4">
        <v>2108.8200000000002</v>
      </c>
      <c r="H1517" t="str">
        <f t="shared" si="25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25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25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25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25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25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ref="H1523:H1590" si="26">"GUARDIAN"</f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26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26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26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26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26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26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26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26"/>
        <v>GUARDIAN</v>
      </c>
    </row>
    <row r="1532" spans="5:8" x14ac:dyDescent="0.25">
      <c r="E1532" t="str">
        <f>""</f>
        <v/>
      </c>
      <c r="F1532" t="str">
        <f>""</f>
        <v/>
      </c>
      <c r="H1532" t="str">
        <f t="shared" si="26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26"/>
        <v>GUARDIAN</v>
      </c>
    </row>
    <row r="1534" spans="5:8" x14ac:dyDescent="0.25">
      <c r="E1534" t="str">
        <f>""</f>
        <v/>
      </c>
      <c r="F1534" t="str">
        <f>""</f>
        <v/>
      </c>
      <c r="H1534" t="str">
        <f t="shared" si="26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26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26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26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26"/>
        <v>GUARDIAN</v>
      </c>
    </row>
    <row r="1539" spans="5:8" x14ac:dyDescent="0.25">
      <c r="E1539" t="str">
        <f>"GDF202008198438"</f>
        <v>GDF202008198438</v>
      </c>
      <c r="F1539" t="str">
        <f>"GUARDIAN"</f>
        <v>GUARDIAN</v>
      </c>
      <c r="G1539" s="4">
        <v>100.42</v>
      </c>
      <c r="H1539" t="str">
        <f t="shared" si="26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26"/>
        <v>GUARDIAN</v>
      </c>
    </row>
    <row r="1541" spans="5:8" x14ac:dyDescent="0.25">
      <c r="E1541" t="str">
        <f>"GDS202008058198"</f>
        <v>GDS202008058198</v>
      </c>
      <c r="F1541" t="str">
        <f>"GUARDIAN"</f>
        <v>GUARDIAN</v>
      </c>
      <c r="G1541" s="4">
        <v>1954.26</v>
      </c>
      <c r="H1541" t="str">
        <f t="shared" si="26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26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26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26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26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26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26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26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26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26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26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26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26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26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26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26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26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26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26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26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26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26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26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26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26"/>
        <v>GUARDIAN</v>
      </c>
    </row>
    <row r="1566" spans="5:8" x14ac:dyDescent="0.25">
      <c r="E1566" t="str">
        <f>"GDS202008198437"</f>
        <v>GDS202008198437</v>
      </c>
      <c r="F1566" t="str">
        <f>"GUARDIAN"</f>
        <v>GUARDIAN</v>
      </c>
      <c r="G1566" s="4">
        <v>1954.26</v>
      </c>
      <c r="H1566" t="str">
        <f t="shared" si="26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26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26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26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26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26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26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26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26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26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26"/>
        <v>GUARDIAN</v>
      </c>
    </row>
    <row r="1577" spans="5:8" x14ac:dyDescent="0.25">
      <c r="E1577" t="str">
        <f>""</f>
        <v/>
      </c>
      <c r="F1577" t="str">
        <f>""</f>
        <v/>
      </c>
      <c r="H1577" t="str">
        <f t="shared" si="26"/>
        <v>GUARDIAN</v>
      </c>
    </row>
    <row r="1578" spans="5:8" x14ac:dyDescent="0.25">
      <c r="E1578" t="str">
        <f>""</f>
        <v/>
      </c>
      <c r="F1578" t="str">
        <f>""</f>
        <v/>
      </c>
      <c r="H1578" t="str">
        <f t="shared" si="26"/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26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26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26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26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26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26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26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26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26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26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26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26"/>
        <v>GUARDIAN</v>
      </c>
    </row>
    <row r="1591" spans="5:8" x14ac:dyDescent="0.25">
      <c r="E1591" t="str">
        <f>"GV1202008058198"</f>
        <v>GV1202008058198</v>
      </c>
      <c r="F1591" t="str">
        <f>"GUARDIAN VISION"</f>
        <v>GUARDIAN VISION</v>
      </c>
      <c r="G1591" s="4">
        <v>431.2</v>
      </c>
      <c r="H1591" t="str">
        <f>"GUARDIAN VISION"</f>
        <v>GUARDIAN VISION</v>
      </c>
    </row>
    <row r="1592" spans="5:8" x14ac:dyDescent="0.25">
      <c r="E1592" t="str">
        <f>"GV1202008198437"</f>
        <v>GV1202008198437</v>
      </c>
      <c r="F1592" t="str">
        <f>"GUARDIAN VISION"</f>
        <v>GUARDIAN VISION</v>
      </c>
      <c r="G1592" s="4">
        <v>431.2</v>
      </c>
      <c r="H1592" t="str">
        <f>"GUARDIAN VISION"</f>
        <v>GUARDIAN VISION</v>
      </c>
    </row>
    <row r="1593" spans="5:8" x14ac:dyDescent="0.25">
      <c r="E1593" t="str">
        <f>"GVE202008058198"</f>
        <v>GVE202008058198</v>
      </c>
      <c r="F1593" t="str">
        <f>"GUARDIAN VISION VENDOR"</f>
        <v>GUARDIAN VISION VENDOR</v>
      </c>
      <c r="G1593" s="4">
        <v>627.29999999999995</v>
      </c>
      <c r="H1593" t="str">
        <f>"GUARDIAN VISION VENDOR"</f>
        <v>GUARDIAN VISION VENDOR</v>
      </c>
    </row>
    <row r="1594" spans="5:8" x14ac:dyDescent="0.25">
      <c r="E1594" t="str">
        <f>"GVE202008058199"</f>
        <v>GVE202008058199</v>
      </c>
      <c r="F1594" t="str">
        <f>"GUARDIAN VISION VENDOR"</f>
        <v>GUARDIAN VISION VENDOR</v>
      </c>
      <c r="G1594" s="4">
        <v>33.21</v>
      </c>
      <c r="H1594" t="str">
        <f>"GUARDIAN VISION VENDOR"</f>
        <v>GUARDIAN VISION VENDOR</v>
      </c>
    </row>
    <row r="1595" spans="5:8" x14ac:dyDescent="0.25">
      <c r="E1595" t="str">
        <f>"GVE202008198437"</f>
        <v>GVE202008198437</v>
      </c>
      <c r="F1595" t="str">
        <f>"GUARDIAN VISION VENDOR"</f>
        <v>GUARDIAN VISION VENDOR</v>
      </c>
      <c r="G1595" s="4">
        <v>627.29999999999995</v>
      </c>
      <c r="H1595" t="str">
        <f>"GUARDIAN VISION VENDOR"</f>
        <v>GUARDIAN VISION VENDOR</v>
      </c>
    </row>
    <row r="1596" spans="5:8" x14ac:dyDescent="0.25">
      <c r="E1596" t="str">
        <f>"GVE202008198438"</f>
        <v>GVE202008198438</v>
      </c>
      <c r="F1596" t="str">
        <f>"GUARDIAN VISION VENDOR"</f>
        <v>GUARDIAN VISION VENDOR</v>
      </c>
      <c r="G1596" s="4">
        <v>33.21</v>
      </c>
      <c r="H1596" t="str">
        <f>"GUARDIAN VISION VENDOR"</f>
        <v>GUARDIAN VISION VENDOR</v>
      </c>
    </row>
    <row r="1597" spans="5:8" x14ac:dyDescent="0.25">
      <c r="E1597" t="str">
        <f>"GVF202008058198"</f>
        <v>GVF202008058198</v>
      </c>
      <c r="F1597" t="str">
        <f>"GUARDIAN VISION"</f>
        <v>GUARDIAN VISION</v>
      </c>
      <c r="G1597" s="4">
        <v>531.9</v>
      </c>
      <c r="H1597" t="str">
        <f>"GUARDIAN VISION"</f>
        <v>GUARDIAN VISION</v>
      </c>
    </row>
    <row r="1598" spans="5:8" x14ac:dyDescent="0.25">
      <c r="E1598" t="str">
        <f>"GVF202008058199"</f>
        <v>GVF202008058199</v>
      </c>
      <c r="F1598" t="str">
        <f>"GUARDIAN VISION VENDOR"</f>
        <v>GUARDIAN VISION VENDOR</v>
      </c>
      <c r="G1598" s="4">
        <v>39.4</v>
      </c>
      <c r="H1598" t="str">
        <f>"GUARDIAN VISION VENDOR"</f>
        <v>GUARDIAN VISION VENDOR</v>
      </c>
    </row>
    <row r="1599" spans="5:8" x14ac:dyDescent="0.25">
      <c r="E1599" t="str">
        <f>"GVF202008198437"</f>
        <v>GVF202008198437</v>
      </c>
      <c r="F1599" t="str">
        <f>"GUARDIAN VISION"</f>
        <v>GUARDIAN VISION</v>
      </c>
      <c r="G1599" s="4">
        <v>531.9</v>
      </c>
      <c r="H1599" t="str">
        <f>"GUARDIAN VISION"</f>
        <v>GUARDIAN VISION</v>
      </c>
    </row>
    <row r="1600" spans="5:8" x14ac:dyDescent="0.25">
      <c r="E1600" t="str">
        <f>"GVF202008198438"</f>
        <v>GVF202008198438</v>
      </c>
      <c r="F1600" t="str">
        <f>"GUARDIAN VISION VENDOR"</f>
        <v>GUARDIAN VISION VENDOR</v>
      </c>
      <c r="G1600" s="4">
        <v>39.4</v>
      </c>
      <c r="H1600" t="str">
        <f>"GUARDIAN VISION VENDOR"</f>
        <v>GUARDIAN VISION VENDOR</v>
      </c>
    </row>
    <row r="1601" spans="5:8" x14ac:dyDescent="0.25">
      <c r="E1601" t="str">
        <f>"LIA202008058198"</f>
        <v>LIA202008058198</v>
      </c>
      <c r="F1601" t="str">
        <f>"GUARDIAN"</f>
        <v>GUARDIAN</v>
      </c>
      <c r="G1601" s="4">
        <v>214.13</v>
      </c>
      <c r="H1601" t="str">
        <f t="shared" ref="H1601:H1632" si="27">"GUARDIAN"</f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27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27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27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27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27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27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27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27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27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27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27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27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27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27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27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27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27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27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27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27"/>
        <v>GUARDIAN</v>
      </c>
    </row>
    <row r="1622" spans="5:8" x14ac:dyDescent="0.25">
      <c r="E1622" t="str">
        <f>""</f>
        <v/>
      </c>
      <c r="F1622" t="str">
        <f>""</f>
        <v/>
      </c>
      <c r="H1622" t="str">
        <f t="shared" si="27"/>
        <v>GUARDIAN</v>
      </c>
    </row>
    <row r="1623" spans="5:8" x14ac:dyDescent="0.25">
      <c r="E1623" t="str">
        <f>""</f>
        <v/>
      </c>
      <c r="F1623" t="str">
        <f>""</f>
        <v/>
      </c>
      <c r="H1623" t="str">
        <f t="shared" si="27"/>
        <v>GUARDIAN</v>
      </c>
    </row>
    <row r="1624" spans="5:8" x14ac:dyDescent="0.25">
      <c r="E1624" t="str">
        <f>"LIA202008058199"</f>
        <v>LIA202008058199</v>
      </c>
      <c r="F1624" t="str">
        <f>"GUARDIAN"</f>
        <v>GUARDIAN</v>
      </c>
      <c r="G1624" s="4">
        <v>40.799999999999997</v>
      </c>
      <c r="H1624" t="str">
        <f t="shared" si="27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27"/>
        <v>GUARDIAN</v>
      </c>
    </row>
    <row r="1626" spans="5:8" x14ac:dyDescent="0.25">
      <c r="E1626" t="str">
        <f>"LIA202008198437"</f>
        <v>LIA202008198437</v>
      </c>
      <c r="F1626" t="str">
        <f>"GUARDIAN"</f>
        <v>GUARDIAN</v>
      </c>
      <c r="G1626" s="4">
        <v>214.13</v>
      </c>
      <c r="H1626" t="str">
        <f t="shared" si="27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27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27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27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27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27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27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ref="H1633:H1664" si="28">"GUARDIAN"</f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28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28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28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28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28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28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28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28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si="28"/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28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28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28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28"/>
        <v>GUARDIAN</v>
      </c>
    </row>
    <row r="1647" spans="5:8" x14ac:dyDescent="0.25">
      <c r="E1647" t="str">
        <f>""</f>
        <v/>
      </c>
      <c r="F1647" t="str">
        <f>""</f>
        <v/>
      </c>
      <c r="H1647" t="str">
        <f t="shared" si="28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28"/>
        <v>GUARDIAN</v>
      </c>
    </row>
    <row r="1649" spans="5:8" x14ac:dyDescent="0.25">
      <c r="E1649" t="str">
        <f>"LIA202008198438"</f>
        <v>LIA202008198438</v>
      </c>
      <c r="F1649" t="str">
        <f>"GUARDIAN"</f>
        <v>GUARDIAN</v>
      </c>
      <c r="G1649" s="4">
        <v>40.799999999999997</v>
      </c>
      <c r="H1649" t="str">
        <f t="shared" si="28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28"/>
        <v>GUARDIAN</v>
      </c>
    </row>
    <row r="1651" spans="5:8" x14ac:dyDescent="0.25">
      <c r="E1651" t="str">
        <f>"LIC202008058198"</f>
        <v>LIC202008058198</v>
      </c>
      <c r="F1651" t="str">
        <f>"GUARDIAN"</f>
        <v>GUARDIAN</v>
      </c>
      <c r="G1651" s="4">
        <v>30.61</v>
      </c>
      <c r="H1651" t="str">
        <f t="shared" si="28"/>
        <v>GUARDIAN</v>
      </c>
    </row>
    <row r="1652" spans="5:8" x14ac:dyDescent="0.25">
      <c r="E1652" t="str">
        <f>"LIC202008058199"</f>
        <v>LIC202008058199</v>
      </c>
      <c r="F1652" t="str">
        <f>"GUARDIAN"</f>
        <v>GUARDIAN</v>
      </c>
      <c r="G1652" s="4">
        <v>1.05</v>
      </c>
      <c r="H1652" t="str">
        <f t="shared" si="28"/>
        <v>GUARDIAN</v>
      </c>
    </row>
    <row r="1653" spans="5:8" x14ac:dyDescent="0.25">
      <c r="E1653" t="str">
        <f>"LIC202008198437"</f>
        <v>LIC202008198437</v>
      </c>
      <c r="F1653" t="str">
        <f>"GUARDIAN"</f>
        <v>GUARDIAN</v>
      </c>
      <c r="G1653" s="4">
        <v>30.61</v>
      </c>
      <c r="H1653" t="str">
        <f t="shared" si="28"/>
        <v>GUARDIAN</v>
      </c>
    </row>
    <row r="1654" spans="5:8" x14ac:dyDescent="0.25">
      <c r="E1654" t="str">
        <f>"LIC202008198438"</f>
        <v>LIC202008198438</v>
      </c>
      <c r="F1654" t="str">
        <f>"GUARDIAN"</f>
        <v>GUARDIAN</v>
      </c>
      <c r="G1654" s="4">
        <v>1.05</v>
      </c>
      <c r="H1654" t="str">
        <f t="shared" si="28"/>
        <v>GUARDIAN</v>
      </c>
    </row>
    <row r="1655" spans="5:8" x14ac:dyDescent="0.25">
      <c r="E1655" t="str">
        <f>"LIE202008058198"</f>
        <v>LIE202008058198</v>
      </c>
      <c r="F1655" t="str">
        <f>"GUARDIAN"</f>
        <v>GUARDIAN</v>
      </c>
      <c r="G1655" s="4">
        <v>3632.25</v>
      </c>
      <c r="H1655" t="str">
        <f t="shared" si="28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28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28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28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28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28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28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28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28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28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ref="H1665:H1696" si="29">"GUARDIAN"</f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29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29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29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29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29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29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29"/>
        <v>GUARDIAN</v>
      </c>
    </row>
    <row r="1673" spans="5:8" x14ac:dyDescent="0.25">
      <c r="E1673" t="str">
        <f>""</f>
        <v/>
      </c>
      <c r="F1673" t="str">
        <f>""</f>
        <v/>
      </c>
      <c r="H1673" t="str">
        <f t="shared" si="29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29"/>
        <v>GUARDIAN</v>
      </c>
    </row>
    <row r="1675" spans="5:8" x14ac:dyDescent="0.25">
      <c r="E1675" t="str">
        <f>""</f>
        <v/>
      </c>
      <c r="F1675" t="str">
        <f>""</f>
        <v/>
      </c>
      <c r="H1675" t="str">
        <f t="shared" si="29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29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29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29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29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29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29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29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29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29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29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29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29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29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29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29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29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29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29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29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29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29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ref="H1697:H1728" si="30">"GUARDIAN"</f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30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30"/>
        <v>GUARDIAN</v>
      </c>
    </row>
    <row r="1700" spans="5:8" x14ac:dyDescent="0.25">
      <c r="E1700" t="str">
        <f>""</f>
        <v/>
      </c>
      <c r="F1700" t="str">
        <f>""</f>
        <v/>
      </c>
      <c r="H1700" t="str">
        <f t="shared" si="30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30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30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30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30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30"/>
        <v>GUARDIAN</v>
      </c>
    </row>
    <row r="1706" spans="5:8" x14ac:dyDescent="0.25">
      <c r="E1706" t="str">
        <f>"LIE202008058199"</f>
        <v>LIE202008058199</v>
      </c>
      <c r="F1706" t="str">
        <f>"GUARDIAN"</f>
        <v>GUARDIAN</v>
      </c>
      <c r="G1706" s="4">
        <v>90.2</v>
      </c>
      <c r="H1706" t="str">
        <f t="shared" si="30"/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30"/>
        <v>GUARDIAN</v>
      </c>
    </row>
    <row r="1708" spans="5:8" x14ac:dyDescent="0.25">
      <c r="E1708" t="str">
        <f>"LIE202008198437"</f>
        <v>LIE202008198437</v>
      </c>
      <c r="F1708" t="str">
        <f>"GUARDIAN"</f>
        <v>GUARDIAN</v>
      </c>
      <c r="G1708" s="4">
        <v>3632.25</v>
      </c>
      <c r="H1708" t="str">
        <f t="shared" si="30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30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30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30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30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30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30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30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30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30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30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30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30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30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30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30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30"/>
        <v>GUARDIAN</v>
      </c>
    </row>
    <row r="1725" spans="5:8" x14ac:dyDescent="0.25">
      <c r="E1725" t="str">
        <f>""</f>
        <v/>
      </c>
      <c r="F1725" t="str">
        <f>""</f>
        <v/>
      </c>
      <c r="H1725" t="str">
        <f t="shared" si="30"/>
        <v>GUARDIAN</v>
      </c>
    </row>
    <row r="1726" spans="5:8" x14ac:dyDescent="0.25">
      <c r="E1726" t="str">
        <f>""</f>
        <v/>
      </c>
      <c r="F1726" t="str">
        <f>""</f>
        <v/>
      </c>
      <c r="H1726" t="str">
        <f t="shared" si="30"/>
        <v>GUARDIAN</v>
      </c>
    </row>
    <row r="1727" spans="5:8" x14ac:dyDescent="0.25">
      <c r="E1727" t="str">
        <f>""</f>
        <v/>
      </c>
      <c r="F1727" t="str">
        <f>""</f>
        <v/>
      </c>
      <c r="H1727" t="str">
        <f t="shared" si="30"/>
        <v>GUARDIAN</v>
      </c>
    </row>
    <row r="1728" spans="5:8" x14ac:dyDescent="0.25">
      <c r="E1728" t="str">
        <f>""</f>
        <v/>
      </c>
      <c r="F1728" t="str">
        <f>""</f>
        <v/>
      </c>
      <c r="H1728" t="str">
        <f t="shared" si="30"/>
        <v>GUARDIAN</v>
      </c>
    </row>
    <row r="1729" spans="5:8" x14ac:dyDescent="0.25">
      <c r="E1729" t="str">
        <f>""</f>
        <v/>
      </c>
      <c r="F1729" t="str">
        <f>""</f>
        <v/>
      </c>
      <c r="H1729" t="str">
        <f t="shared" ref="H1729:H1760" si="31">"GUARDIAN"</f>
        <v>GUARDIAN</v>
      </c>
    </row>
    <row r="1730" spans="5:8" x14ac:dyDescent="0.25">
      <c r="E1730" t="str">
        <f>""</f>
        <v/>
      </c>
      <c r="F1730" t="str">
        <f>""</f>
        <v/>
      </c>
      <c r="H1730" t="str">
        <f t="shared" si="31"/>
        <v>GUARDIAN</v>
      </c>
    </row>
    <row r="1731" spans="5:8" x14ac:dyDescent="0.25">
      <c r="E1731" t="str">
        <f>""</f>
        <v/>
      </c>
      <c r="F1731" t="str">
        <f>""</f>
        <v/>
      </c>
      <c r="H1731" t="str">
        <f t="shared" si="31"/>
        <v>GUARDIAN</v>
      </c>
    </row>
    <row r="1732" spans="5:8" x14ac:dyDescent="0.25">
      <c r="E1732" t="str">
        <f>""</f>
        <v/>
      </c>
      <c r="F1732" t="str">
        <f>""</f>
        <v/>
      </c>
      <c r="H1732" t="str">
        <f t="shared" si="31"/>
        <v>GUARDIAN</v>
      </c>
    </row>
    <row r="1733" spans="5:8" x14ac:dyDescent="0.25">
      <c r="E1733" t="str">
        <f>""</f>
        <v/>
      </c>
      <c r="F1733" t="str">
        <f>""</f>
        <v/>
      </c>
      <c r="H1733" t="str">
        <f t="shared" si="31"/>
        <v>GUARDIAN</v>
      </c>
    </row>
    <row r="1734" spans="5:8" x14ac:dyDescent="0.25">
      <c r="E1734" t="str">
        <f>""</f>
        <v/>
      </c>
      <c r="F1734" t="str">
        <f>""</f>
        <v/>
      </c>
      <c r="H1734" t="str">
        <f t="shared" si="31"/>
        <v>GUARDIAN</v>
      </c>
    </row>
    <row r="1735" spans="5:8" x14ac:dyDescent="0.25">
      <c r="E1735" t="str">
        <f>""</f>
        <v/>
      </c>
      <c r="F1735" t="str">
        <f>""</f>
        <v/>
      </c>
      <c r="H1735" t="str">
        <f t="shared" si="31"/>
        <v>GUARDIAN</v>
      </c>
    </row>
    <row r="1736" spans="5:8" x14ac:dyDescent="0.25">
      <c r="E1736" t="str">
        <f>""</f>
        <v/>
      </c>
      <c r="F1736" t="str">
        <f>""</f>
        <v/>
      </c>
      <c r="H1736" t="str">
        <f t="shared" si="31"/>
        <v>GUARDIAN</v>
      </c>
    </row>
    <row r="1737" spans="5:8" x14ac:dyDescent="0.25">
      <c r="E1737" t="str">
        <f>""</f>
        <v/>
      </c>
      <c r="F1737" t="str">
        <f>""</f>
        <v/>
      </c>
      <c r="H1737" t="str">
        <f t="shared" si="31"/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31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31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31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31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31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31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31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31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31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31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31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31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31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31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31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31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1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1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1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1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31"/>
        <v>GUARDIAN</v>
      </c>
    </row>
    <row r="1759" spans="5:8" x14ac:dyDescent="0.25">
      <c r="E1759" t="str">
        <f>"LIE202008198438"</f>
        <v>LIE202008198438</v>
      </c>
      <c r="F1759" t="str">
        <f>"GUARDIAN"</f>
        <v>GUARDIAN</v>
      </c>
      <c r="G1759" s="4">
        <v>90.2</v>
      </c>
      <c r="H1759" t="str">
        <f t="shared" si="31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31"/>
        <v>GUARDIAN</v>
      </c>
    </row>
    <row r="1761" spans="1:8" x14ac:dyDescent="0.25">
      <c r="E1761" t="str">
        <f>"LIS202008058198"</f>
        <v>LIS202008058198</v>
      </c>
      <c r="F1761" t="str">
        <f t="shared" ref="F1761:F1768" si="32">"GUARDIAN"</f>
        <v>GUARDIAN</v>
      </c>
      <c r="G1761" s="4">
        <v>494.99</v>
      </c>
      <c r="H1761" t="str">
        <f t="shared" ref="H1761:H1768" si="33">"GUARDIAN"</f>
        <v>GUARDIAN</v>
      </c>
    </row>
    <row r="1762" spans="1:8" x14ac:dyDescent="0.25">
      <c r="E1762" t="str">
        <f>"LIS202008058199"</f>
        <v>LIS202008058199</v>
      </c>
      <c r="F1762" t="str">
        <f t="shared" si="32"/>
        <v>GUARDIAN</v>
      </c>
      <c r="G1762" s="4">
        <v>36.15</v>
      </c>
      <c r="H1762" t="str">
        <f t="shared" si="33"/>
        <v>GUARDIAN</v>
      </c>
    </row>
    <row r="1763" spans="1:8" x14ac:dyDescent="0.25">
      <c r="E1763" t="str">
        <f>"LIS202008198437"</f>
        <v>LIS202008198437</v>
      </c>
      <c r="F1763" t="str">
        <f t="shared" si="32"/>
        <v>GUARDIAN</v>
      </c>
      <c r="G1763" s="4">
        <v>494.99</v>
      </c>
      <c r="H1763" t="str">
        <f t="shared" si="33"/>
        <v>GUARDIAN</v>
      </c>
    </row>
    <row r="1764" spans="1:8" x14ac:dyDescent="0.25">
      <c r="E1764" t="str">
        <f>"LIS202008198438"</f>
        <v>LIS202008198438</v>
      </c>
      <c r="F1764" t="str">
        <f t="shared" si="32"/>
        <v>GUARDIAN</v>
      </c>
      <c r="G1764" s="4">
        <v>36.15</v>
      </c>
      <c r="H1764" t="str">
        <f t="shared" si="33"/>
        <v>GUARDIAN</v>
      </c>
    </row>
    <row r="1765" spans="1:8" x14ac:dyDescent="0.25">
      <c r="E1765" t="str">
        <f>"LTD202008058198"</f>
        <v>LTD202008058198</v>
      </c>
      <c r="F1765" t="str">
        <f t="shared" si="32"/>
        <v>GUARDIAN</v>
      </c>
      <c r="G1765" s="4">
        <v>834.4</v>
      </c>
      <c r="H1765" t="str">
        <f t="shared" si="33"/>
        <v>GUARDIAN</v>
      </c>
    </row>
    <row r="1766" spans="1:8" x14ac:dyDescent="0.25">
      <c r="E1766" t="str">
        <f>"LTD202008058199"</f>
        <v>LTD202008058199</v>
      </c>
      <c r="F1766" t="str">
        <f t="shared" si="32"/>
        <v>GUARDIAN</v>
      </c>
      <c r="G1766" s="4">
        <v>6.11</v>
      </c>
      <c r="H1766" t="str">
        <f t="shared" si="33"/>
        <v>GUARDIAN</v>
      </c>
    </row>
    <row r="1767" spans="1:8" x14ac:dyDescent="0.25">
      <c r="E1767" t="str">
        <f>"LTD202008198437"</f>
        <v>LTD202008198437</v>
      </c>
      <c r="F1767" t="str">
        <f t="shared" si="32"/>
        <v>GUARDIAN</v>
      </c>
      <c r="G1767" s="4">
        <v>834.4</v>
      </c>
      <c r="H1767" t="str">
        <f t="shared" si="33"/>
        <v>GUARDIAN</v>
      </c>
    </row>
    <row r="1768" spans="1:8" x14ac:dyDescent="0.25">
      <c r="E1768" t="str">
        <f>"LTD202008198438"</f>
        <v>LTD202008198438</v>
      </c>
      <c r="F1768" t="str">
        <f t="shared" si="32"/>
        <v>GUARDIAN</v>
      </c>
      <c r="G1768" s="4">
        <v>6.11</v>
      </c>
      <c r="H1768" t="str">
        <f t="shared" si="33"/>
        <v>GUARDIAN</v>
      </c>
    </row>
    <row r="1769" spans="1:8" x14ac:dyDescent="0.25">
      <c r="A1769" t="s">
        <v>379</v>
      </c>
      <c r="B1769">
        <v>684</v>
      </c>
      <c r="C1769">
        <v>3573.95</v>
      </c>
      <c r="D1769" s="1">
        <v>44068</v>
      </c>
      <c r="E1769" t="str">
        <f>"202008258467"</f>
        <v>202008258467</v>
      </c>
      <c r="F1769" t="str">
        <f>"RETIREE INS - AUGUST 2020"</f>
        <v>RETIREE INS - AUGUST 2020</v>
      </c>
      <c r="G1769" s="4">
        <v>3453.85</v>
      </c>
      <c r="H1769" t="str">
        <f>"RETIREE INS - AUGUST 2020"</f>
        <v>RETIREE INS - AUGUST 2020</v>
      </c>
    </row>
    <row r="1770" spans="1:8" x14ac:dyDescent="0.25">
      <c r="E1770" t="str">
        <f>"202008258468"</f>
        <v>202008258468</v>
      </c>
      <c r="F1770" t="str">
        <f>"COBRA INS - AUGUST 2020"</f>
        <v>COBRA INS - AUGUST 2020</v>
      </c>
      <c r="G1770" s="4">
        <v>120.1</v>
      </c>
      <c r="H1770" t="str">
        <f>"COBRA INS - AUGUST 2020"</f>
        <v>COBRA INS - AUGUST 2020</v>
      </c>
    </row>
    <row r="1771" spans="1:8" x14ac:dyDescent="0.25">
      <c r="A1771" t="s">
        <v>379</v>
      </c>
      <c r="B1771">
        <v>685</v>
      </c>
      <c r="C1771">
        <v>98.36</v>
      </c>
      <c r="D1771" s="1">
        <v>44068</v>
      </c>
      <c r="E1771" t="str">
        <f>"AEG202008058198"</f>
        <v>AEG202008058198</v>
      </c>
      <c r="F1771" t="str">
        <f>"GUARDIAN"</f>
        <v>GUARDIAN</v>
      </c>
      <c r="G1771" s="4">
        <v>6.66</v>
      </c>
      <c r="H1771" t="str">
        <f>"GUARDIAN"</f>
        <v>GUARDIAN</v>
      </c>
    </row>
    <row r="1772" spans="1:8" x14ac:dyDescent="0.25">
      <c r="E1772" t="str">
        <f>"AEG202008198437"</f>
        <v>AEG202008198437</v>
      </c>
      <c r="F1772" t="str">
        <f>"GUARDIAN"</f>
        <v>GUARDIAN</v>
      </c>
      <c r="G1772" s="4">
        <v>6.66</v>
      </c>
      <c r="H1772" t="str">
        <f>"GUARDIAN"</f>
        <v>GUARDIAN</v>
      </c>
    </row>
    <row r="1773" spans="1:8" x14ac:dyDescent="0.25">
      <c r="E1773" t="str">
        <f>"AFG202008058198"</f>
        <v>AFG202008058198</v>
      </c>
      <c r="F1773" t="str">
        <f>"GUARDIAN"</f>
        <v>GUARDIAN</v>
      </c>
      <c r="G1773" s="4">
        <v>42.52</v>
      </c>
      <c r="H1773" t="str">
        <f>"GUARDIAN"</f>
        <v>GUARDIAN</v>
      </c>
    </row>
    <row r="1774" spans="1:8" x14ac:dyDescent="0.25">
      <c r="E1774" t="str">
        <f>"AFG202008198437"</f>
        <v>AFG202008198437</v>
      </c>
      <c r="F1774" t="str">
        <f>"GUARDIAN"</f>
        <v>GUARDIAN</v>
      </c>
      <c r="G1774" s="4">
        <v>42.52</v>
      </c>
      <c r="H1774" t="str">
        <f>"GUARDIAN"</f>
        <v>GUARDIAN</v>
      </c>
    </row>
    <row r="1775" spans="1:8" x14ac:dyDescent="0.25">
      <c r="A1775" t="s">
        <v>380</v>
      </c>
      <c r="B1775">
        <v>648</v>
      </c>
      <c r="C1775">
        <v>258875.85</v>
      </c>
      <c r="D1775" s="1">
        <v>44050</v>
      </c>
      <c r="E1775" t="str">
        <f>"T1 202008058198"</f>
        <v>T1 202008058198</v>
      </c>
      <c r="F1775" t="str">
        <f>"FEDERAL WITHHOLDING"</f>
        <v>FEDERAL WITHHOLDING</v>
      </c>
      <c r="G1775" s="4">
        <v>90270.67</v>
      </c>
      <c r="H1775" t="str">
        <f>"FEDERAL WITHHOLDING"</f>
        <v>FEDERAL WITHHOLDING</v>
      </c>
    </row>
    <row r="1776" spans="1:8" x14ac:dyDescent="0.25">
      <c r="E1776" t="str">
        <f>"T1 202008058199"</f>
        <v>T1 202008058199</v>
      </c>
      <c r="F1776" t="str">
        <f>"FEDERAL WITHHOLDING"</f>
        <v>FEDERAL WITHHOLDING</v>
      </c>
      <c r="G1776" s="4">
        <v>3197.88</v>
      </c>
      <c r="H1776" t="str">
        <f>"FEDERAL WITHHOLDING"</f>
        <v>FEDERAL WITHHOLDING</v>
      </c>
    </row>
    <row r="1777" spans="5:8" x14ac:dyDescent="0.25">
      <c r="E1777" t="str">
        <f>"T1 202008058200"</f>
        <v>T1 202008058200</v>
      </c>
      <c r="F1777" t="str">
        <f>"FEDERAL WITHHOLDING"</f>
        <v>FEDERAL WITHHOLDING</v>
      </c>
      <c r="G1777" s="4">
        <v>3310.5</v>
      </c>
      <c r="H1777" t="str">
        <f>"FEDERAL WITHHOLDING"</f>
        <v>FEDERAL WITHHOLDING</v>
      </c>
    </row>
    <row r="1778" spans="5:8" x14ac:dyDescent="0.25">
      <c r="E1778" t="str">
        <f>"T3 202008058198"</f>
        <v>T3 202008058198</v>
      </c>
      <c r="F1778" t="str">
        <f>"SOCIAL SECURITY TAXES"</f>
        <v>SOCIAL SECURITY TAXES</v>
      </c>
      <c r="G1778" s="4">
        <v>122169.14</v>
      </c>
      <c r="H1778" t="str">
        <f t="shared" ref="H1778:H1809" si="34">"SOCIAL SECURITY TAXES"</f>
        <v>SOCIAL SECURITY TAXES</v>
      </c>
    </row>
    <row r="1779" spans="5:8" x14ac:dyDescent="0.25">
      <c r="E1779" t="str">
        <f>""</f>
        <v/>
      </c>
      <c r="F1779" t="str">
        <f>""</f>
        <v/>
      </c>
      <c r="H1779" t="str">
        <f t="shared" si="34"/>
        <v>SOCIAL SECURITY TAXES</v>
      </c>
    </row>
    <row r="1780" spans="5:8" x14ac:dyDescent="0.25">
      <c r="E1780" t="str">
        <f>""</f>
        <v/>
      </c>
      <c r="F1780" t="str">
        <f>""</f>
        <v/>
      </c>
      <c r="H1780" t="str">
        <f t="shared" si="34"/>
        <v>SOCIAL SECURITY TAXES</v>
      </c>
    </row>
    <row r="1781" spans="5:8" x14ac:dyDescent="0.25">
      <c r="E1781" t="str">
        <f>""</f>
        <v/>
      </c>
      <c r="F1781" t="str">
        <f>""</f>
        <v/>
      </c>
      <c r="H1781" t="str">
        <f t="shared" si="34"/>
        <v>SOCIAL SECURITY TAXES</v>
      </c>
    </row>
    <row r="1782" spans="5:8" x14ac:dyDescent="0.25">
      <c r="E1782" t="str">
        <f>""</f>
        <v/>
      </c>
      <c r="F1782" t="str">
        <f>""</f>
        <v/>
      </c>
      <c r="H1782" t="str">
        <f t="shared" si="34"/>
        <v>SOCIAL SECURITY TAXES</v>
      </c>
    </row>
    <row r="1783" spans="5:8" x14ac:dyDescent="0.25">
      <c r="E1783" t="str">
        <f>""</f>
        <v/>
      </c>
      <c r="F1783" t="str">
        <f>""</f>
        <v/>
      </c>
      <c r="H1783" t="str">
        <f t="shared" si="34"/>
        <v>SOCIAL SECURITY TAXES</v>
      </c>
    </row>
    <row r="1784" spans="5:8" x14ac:dyDescent="0.25">
      <c r="E1784" t="str">
        <f>""</f>
        <v/>
      </c>
      <c r="F1784" t="str">
        <f>""</f>
        <v/>
      </c>
      <c r="H1784" t="str">
        <f t="shared" si="34"/>
        <v>SOCIAL SECURITY TAXES</v>
      </c>
    </row>
    <row r="1785" spans="5:8" x14ac:dyDescent="0.25">
      <c r="E1785" t="str">
        <f>""</f>
        <v/>
      </c>
      <c r="F1785" t="str">
        <f>""</f>
        <v/>
      </c>
      <c r="H1785" t="str">
        <f t="shared" si="34"/>
        <v>SOCIAL SECURITY TAXES</v>
      </c>
    </row>
    <row r="1786" spans="5:8" x14ac:dyDescent="0.25">
      <c r="E1786" t="str">
        <f>""</f>
        <v/>
      </c>
      <c r="F1786" t="str">
        <f>""</f>
        <v/>
      </c>
      <c r="H1786" t="str">
        <f t="shared" si="34"/>
        <v>SOCIAL SECURITY TAXES</v>
      </c>
    </row>
    <row r="1787" spans="5:8" x14ac:dyDescent="0.25">
      <c r="E1787" t="str">
        <f>""</f>
        <v/>
      </c>
      <c r="F1787" t="str">
        <f>""</f>
        <v/>
      </c>
      <c r="H1787" t="str">
        <f t="shared" si="34"/>
        <v>SOCIAL SECURITY TAXES</v>
      </c>
    </row>
    <row r="1788" spans="5:8" x14ac:dyDescent="0.25">
      <c r="E1788" t="str">
        <f>""</f>
        <v/>
      </c>
      <c r="F1788" t="str">
        <f>""</f>
        <v/>
      </c>
      <c r="H1788" t="str">
        <f t="shared" si="34"/>
        <v>SOCIAL SECURITY TAXES</v>
      </c>
    </row>
    <row r="1789" spans="5:8" x14ac:dyDescent="0.25">
      <c r="E1789" t="str">
        <f>""</f>
        <v/>
      </c>
      <c r="F1789" t="str">
        <f>""</f>
        <v/>
      </c>
      <c r="H1789" t="str">
        <f t="shared" si="34"/>
        <v>SOCIAL SECURITY TAXES</v>
      </c>
    </row>
    <row r="1790" spans="5:8" x14ac:dyDescent="0.25">
      <c r="E1790" t="str">
        <f>""</f>
        <v/>
      </c>
      <c r="F1790" t="str">
        <f>""</f>
        <v/>
      </c>
      <c r="H1790" t="str">
        <f t="shared" si="34"/>
        <v>SOCIAL SECURITY TAXES</v>
      </c>
    </row>
    <row r="1791" spans="5:8" x14ac:dyDescent="0.25">
      <c r="E1791" t="str">
        <f>""</f>
        <v/>
      </c>
      <c r="F1791" t="str">
        <f>""</f>
        <v/>
      </c>
      <c r="H1791" t="str">
        <f t="shared" si="34"/>
        <v>SOCIAL SECURITY TAXES</v>
      </c>
    </row>
    <row r="1792" spans="5:8" x14ac:dyDescent="0.25">
      <c r="E1792" t="str">
        <f>""</f>
        <v/>
      </c>
      <c r="F1792" t="str">
        <f>""</f>
        <v/>
      </c>
      <c r="H1792" t="str">
        <f t="shared" si="34"/>
        <v>SOCIAL SECURITY TAXES</v>
      </c>
    </row>
    <row r="1793" spans="5:8" x14ac:dyDescent="0.25">
      <c r="E1793" t="str">
        <f>""</f>
        <v/>
      </c>
      <c r="F1793" t="str">
        <f>""</f>
        <v/>
      </c>
      <c r="H1793" t="str">
        <f t="shared" si="34"/>
        <v>SOCIAL SECURITY TAXES</v>
      </c>
    </row>
    <row r="1794" spans="5:8" x14ac:dyDescent="0.25">
      <c r="E1794" t="str">
        <f>""</f>
        <v/>
      </c>
      <c r="F1794" t="str">
        <f>""</f>
        <v/>
      </c>
      <c r="H1794" t="str">
        <f t="shared" si="34"/>
        <v>SOCIAL SECURITY TAXES</v>
      </c>
    </row>
    <row r="1795" spans="5:8" x14ac:dyDescent="0.25">
      <c r="E1795" t="str">
        <f>""</f>
        <v/>
      </c>
      <c r="F1795" t="str">
        <f>""</f>
        <v/>
      </c>
      <c r="H1795" t="str">
        <f t="shared" si="34"/>
        <v>SOCIAL SECURITY TAXES</v>
      </c>
    </row>
    <row r="1796" spans="5:8" x14ac:dyDescent="0.25">
      <c r="E1796" t="str">
        <f>""</f>
        <v/>
      </c>
      <c r="F1796" t="str">
        <f>""</f>
        <v/>
      </c>
      <c r="H1796" t="str">
        <f t="shared" si="34"/>
        <v>SOCIAL SECURITY TAXES</v>
      </c>
    </row>
    <row r="1797" spans="5:8" x14ac:dyDescent="0.25">
      <c r="E1797" t="str">
        <f>""</f>
        <v/>
      </c>
      <c r="F1797" t="str">
        <f>""</f>
        <v/>
      </c>
      <c r="H1797" t="str">
        <f t="shared" si="34"/>
        <v>SOCIAL SECURITY TAXES</v>
      </c>
    </row>
    <row r="1798" spans="5:8" x14ac:dyDescent="0.25">
      <c r="E1798" t="str">
        <f>""</f>
        <v/>
      </c>
      <c r="F1798" t="str">
        <f>""</f>
        <v/>
      </c>
      <c r="H1798" t="str">
        <f t="shared" si="34"/>
        <v>SOCIAL SECURITY TAXES</v>
      </c>
    </row>
    <row r="1799" spans="5:8" x14ac:dyDescent="0.25">
      <c r="E1799" t="str">
        <f>""</f>
        <v/>
      </c>
      <c r="F1799" t="str">
        <f>""</f>
        <v/>
      </c>
      <c r="H1799" t="str">
        <f t="shared" si="34"/>
        <v>SOCIAL SECURITY TAXES</v>
      </c>
    </row>
    <row r="1800" spans="5:8" x14ac:dyDescent="0.25">
      <c r="E1800" t="str">
        <f>""</f>
        <v/>
      </c>
      <c r="F1800" t="str">
        <f>""</f>
        <v/>
      </c>
      <c r="H1800" t="str">
        <f t="shared" si="34"/>
        <v>SOCIAL SECURITY TAXES</v>
      </c>
    </row>
    <row r="1801" spans="5:8" x14ac:dyDescent="0.25">
      <c r="E1801" t="str">
        <f>""</f>
        <v/>
      </c>
      <c r="F1801" t="str">
        <f>""</f>
        <v/>
      </c>
      <c r="H1801" t="str">
        <f t="shared" si="34"/>
        <v>SOCIAL SECURITY TAXES</v>
      </c>
    </row>
    <row r="1802" spans="5:8" x14ac:dyDescent="0.25">
      <c r="E1802" t="str">
        <f>""</f>
        <v/>
      </c>
      <c r="F1802" t="str">
        <f>""</f>
        <v/>
      </c>
      <c r="H1802" t="str">
        <f t="shared" si="34"/>
        <v>SOCIAL SECURITY TAXES</v>
      </c>
    </row>
    <row r="1803" spans="5:8" x14ac:dyDescent="0.25">
      <c r="E1803" t="str">
        <f>""</f>
        <v/>
      </c>
      <c r="F1803" t="str">
        <f>""</f>
        <v/>
      </c>
      <c r="H1803" t="str">
        <f t="shared" si="34"/>
        <v>SOCIAL SECURITY TAXES</v>
      </c>
    </row>
    <row r="1804" spans="5:8" x14ac:dyDescent="0.25">
      <c r="E1804" t="str">
        <f>""</f>
        <v/>
      </c>
      <c r="F1804" t="str">
        <f>""</f>
        <v/>
      </c>
      <c r="H1804" t="str">
        <f t="shared" si="34"/>
        <v>SOCIAL SECURITY TAXES</v>
      </c>
    </row>
    <row r="1805" spans="5:8" x14ac:dyDescent="0.25">
      <c r="E1805" t="str">
        <f>""</f>
        <v/>
      </c>
      <c r="F1805" t="str">
        <f>""</f>
        <v/>
      </c>
      <c r="H1805" t="str">
        <f t="shared" si="34"/>
        <v>SOCIAL SECURITY TAXES</v>
      </c>
    </row>
    <row r="1806" spans="5:8" x14ac:dyDescent="0.25">
      <c r="E1806" t="str">
        <f>""</f>
        <v/>
      </c>
      <c r="F1806" t="str">
        <f>""</f>
        <v/>
      </c>
      <c r="H1806" t="str">
        <f t="shared" si="34"/>
        <v>SOCIAL SECURITY TAXES</v>
      </c>
    </row>
    <row r="1807" spans="5:8" x14ac:dyDescent="0.25">
      <c r="E1807" t="str">
        <f>""</f>
        <v/>
      </c>
      <c r="F1807" t="str">
        <f>""</f>
        <v/>
      </c>
      <c r="H1807" t="str">
        <f t="shared" si="34"/>
        <v>SOCIAL SECURITY TAXES</v>
      </c>
    </row>
    <row r="1808" spans="5:8" x14ac:dyDescent="0.25">
      <c r="E1808" t="str">
        <f>""</f>
        <v/>
      </c>
      <c r="F1808" t="str">
        <f>""</f>
        <v/>
      </c>
      <c r="H1808" t="str">
        <f t="shared" si="34"/>
        <v>SOCIAL SECURITY TAXES</v>
      </c>
    </row>
    <row r="1809" spans="5:8" x14ac:dyDescent="0.25">
      <c r="E1809" t="str">
        <f>""</f>
        <v/>
      </c>
      <c r="F1809" t="str">
        <f>""</f>
        <v/>
      </c>
      <c r="H1809" t="str">
        <f t="shared" si="34"/>
        <v>SOCIAL SECURITY TAXES</v>
      </c>
    </row>
    <row r="1810" spans="5:8" x14ac:dyDescent="0.25">
      <c r="E1810" t="str">
        <f>""</f>
        <v/>
      </c>
      <c r="F1810" t="str">
        <f>""</f>
        <v/>
      </c>
      <c r="H1810" t="str">
        <f t="shared" ref="H1810:H1834" si="35">"SOCIAL SECURITY TAXES"</f>
        <v>SOCIAL SECURITY TAXES</v>
      </c>
    </row>
    <row r="1811" spans="5:8" x14ac:dyDescent="0.25">
      <c r="E1811" t="str">
        <f>""</f>
        <v/>
      </c>
      <c r="F1811" t="str">
        <f>""</f>
        <v/>
      </c>
      <c r="H1811" t="str">
        <f t="shared" si="35"/>
        <v>SOCIAL SECURITY TAXES</v>
      </c>
    </row>
    <row r="1812" spans="5:8" x14ac:dyDescent="0.25">
      <c r="E1812" t="str">
        <f>""</f>
        <v/>
      </c>
      <c r="F1812" t="str">
        <f>""</f>
        <v/>
      </c>
      <c r="H1812" t="str">
        <f t="shared" si="35"/>
        <v>SOCIAL SECURITY TAXES</v>
      </c>
    </row>
    <row r="1813" spans="5:8" x14ac:dyDescent="0.25">
      <c r="E1813" t="str">
        <f>""</f>
        <v/>
      </c>
      <c r="F1813" t="str">
        <f>""</f>
        <v/>
      </c>
      <c r="H1813" t="str">
        <f t="shared" si="35"/>
        <v>SOCIAL SECURITY TAXES</v>
      </c>
    </row>
    <row r="1814" spans="5:8" x14ac:dyDescent="0.25">
      <c r="E1814" t="str">
        <f>""</f>
        <v/>
      </c>
      <c r="F1814" t="str">
        <f>""</f>
        <v/>
      </c>
      <c r="H1814" t="str">
        <f t="shared" si="35"/>
        <v>SOCIAL SECURITY TAXES</v>
      </c>
    </row>
    <row r="1815" spans="5:8" x14ac:dyDescent="0.25">
      <c r="E1815" t="str">
        <f>""</f>
        <v/>
      </c>
      <c r="F1815" t="str">
        <f>""</f>
        <v/>
      </c>
      <c r="H1815" t="str">
        <f t="shared" si="35"/>
        <v>SOCIAL SECURITY TAXES</v>
      </c>
    </row>
    <row r="1816" spans="5:8" x14ac:dyDescent="0.25">
      <c r="E1816" t="str">
        <f>""</f>
        <v/>
      </c>
      <c r="F1816" t="str">
        <f>""</f>
        <v/>
      </c>
      <c r="H1816" t="str">
        <f t="shared" si="35"/>
        <v>SOCIAL SECURITY TAXES</v>
      </c>
    </row>
    <row r="1817" spans="5:8" x14ac:dyDescent="0.25">
      <c r="E1817" t="str">
        <f>""</f>
        <v/>
      </c>
      <c r="F1817" t="str">
        <f>""</f>
        <v/>
      </c>
      <c r="H1817" t="str">
        <f t="shared" si="35"/>
        <v>SOCIAL SECURITY TAXES</v>
      </c>
    </row>
    <row r="1818" spans="5:8" x14ac:dyDescent="0.25">
      <c r="E1818" t="str">
        <f>""</f>
        <v/>
      </c>
      <c r="F1818" t="str">
        <f>""</f>
        <v/>
      </c>
      <c r="H1818" t="str">
        <f t="shared" si="35"/>
        <v>SOCIAL SECURITY TAXES</v>
      </c>
    </row>
    <row r="1819" spans="5:8" x14ac:dyDescent="0.25">
      <c r="E1819" t="str">
        <f>""</f>
        <v/>
      </c>
      <c r="F1819" t="str">
        <f>""</f>
        <v/>
      </c>
      <c r="H1819" t="str">
        <f t="shared" si="35"/>
        <v>SOCIAL SECURITY TAXES</v>
      </c>
    </row>
    <row r="1820" spans="5:8" x14ac:dyDescent="0.25">
      <c r="E1820" t="str">
        <f>""</f>
        <v/>
      </c>
      <c r="F1820" t="str">
        <f>""</f>
        <v/>
      </c>
      <c r="H1820" t="str">
        <f t="shared" si="35"/>
        <v>SOCIAL SECURITY TAXES</v>
      </c>
    </row>
    <row r="1821" spans="5:8" x14ac:dyDescent="0.25">
      <c r="E1821" t="str">
        <f>""</f>
        <v/>
      </c>
      <c r="F1821" t="str">
        <f>""</f>
        <v/>
      </c>
      <c r="H1821" t="str">
        <f t="shared" si="35"/>
        <v>SOCIAL SECURITY TAXES</v>
      </c>
    </row>
    <row r="1822" spans="5:8" x14ac:dyDescent="0.25">
      <c r="E1822" t="str">
        <f>""</f>
        <v/>
      </c>
      <c r="F1822" t="str">
        <f>""</f>
        <v/>
      </c>
      <c r="H1822" t="str">
        <f t="shared" si="35"/>
        <v>SOCIAL SECURITY TAXES</v>
      </c>
    </row>
    <row r="1823" spans="5:8" x14ac:dyDescent="0.25">
      <c r="E1823" t="str">
        <f>""</f>
        <v/>
      </c>
      <c r="F1823" t="str">
        <f>""</f>
        <v/>
      </c>
      <c r="H1823" t="str">
        <f t="shared" si="35"/>
        <v>SOCIAL SECURITY TAXES</v>
      </c>
    </row>
    <row r="1824" spans="5:8" x14ac:dyDescent="0.25">
      <c r="E1824" t="str">
        <f>""</f>
        <v/>
      </c>
      <c r="F1824" t="str">
        <f>""</f>
        <v/>
      </c>
      <c r="H1824" t="str">
        <f t="shared" si="35"/>
        <v>SOCIAL SECURITY TAXES</v>
      </c>
    </row>
    <row r="1825" spans="5:8" x14ac:dyDescent="0.25">
      <c r="E1825" t="str">
        <f>""</f>
        <v/>
      </c>
      <c r="F1825" t="str">
        <f>""</f>
        <v/>
      </c>
      <c r="H1825" t="str">
        <f t="shared" si="35"/>
        <v>SOCIAL SECURITY TAXES</v>
      </c>
    </row>
    <row r="1826" spans="5:8" x14ac:dyDescent="0.25">
      <c r="E1826" t="str">
        <f>""</f>
        <v/>
      </c>
      <c r="F1826" t="str">
        <f>""</f>
        <v/>
      </c>
      <c r="H1826" t="str">
        <f t="shared" si="35"/>
        <v>SOCIAL SECURITY TAXES</v>
      </c>
    </row>
    <row r="1827" spans="5:8" x14ac:dyDescent="0.25">
      <c r="E1827" t="str">
        <f>""</f>
        <v/>
      </c>
      <c r="F1827" t="str">
        <f>""</f>
        <v/>
      </c>
      <c r="H1827" t="str">
        <f t="shared" si="35"/>
        <v>SOCIAL SECURITY TAXES</v>
      </c>
    </row>
    <row r="1828" spans="5:8" x14ac:dyDescent="0.25">
      <c r="E1828" t="str">
        <f>""</f>
        <v/>
      </c>
      <c r="F1828" t="str">
        <f>""</f>
        <v/>
      </c>
      <c r="H1828" t="str">
        <f t="shared" si="35"/>
        <v>SOCIAL SECURITY TAXES</v>
      </c>
    </row>
    <row r="1829" spans="5:8" x14ac:dyDescent="0.25">
      <c r="E1829" t="str">
        <f>""</f>
        <v/>
      </c>
      <c r="F1829" t="str">
        <f>""</f>
        <v/>
      </c>
      <c r="H1829" t="str">
        <f t="shared" si="35"/>
        <v>SOCIAL SECURITY TAXES</v>
      </c>
    </row>
    <row r="1830" spans="5:8" x14ac:dyDescent="0.25">
      <c r="E1830" t="str">
        <f>""</f>
        <v/>
      </c>
      <c r="F1830" t="str">
        <f>""</f>
        <v/>
      </c>
      <c r="H1830" t="str">
        <f t="shared" si="35"/>
        <v>SOCIAL SECURITY TAXES</v>
      </c>
    </row>
    <row r="1831" spans="5:8" x14ac:dyDescent="0.25">
      <c r="E1831" t="str">
        <f>"T3 202008058199"</f>
        <v>T3 202008058199</v>
      </c>
      <c r="F1831" t="str">
        <f>"SOCIAL SECURITY TAXES"</f>
        <v>SOCIAL SECURITY TAXES</v>
      </c>
      <c r="G1831" s="4">
        <v>4414.84</v>
      </c>
      <c r="H1831" t="str">
        <f t="shared" si="35"/>
        <v>SOCIAL SECURITY TAXES</v>
      </c>
    </row>
    <row r="1832" spans="5:8" x14ac:dyDescent="0.25">
      <c r="E1832" t="str">
        <f>""</f>
        <v/>
      </c>
      <c r="F1832" t="str">
        <f>""</f>
        <v/>
      </c>
      <c r="H1832" t="str">
        <f t="shared" si="35"/>
        <v>SOCIAL SECURITY TAXES</v>
      </c>
    </row>
    <row r="1833" spans="5:8" x14ac:dyDescent="0.25">
      <c r="E1833" t="str">
        <f>"T3 202008058200"</f>
        <v>T3 202008058200</v>
      </c>
      <c r="F1833" t="str">
        <f>"SOCIAL SECURITY TAXES"</f>
        <v>SOCIAL SECURITY TAXES</v>
      </c>
      <c r="G1833" s="4">
        <v>4788.76</v>
      </c>
      <c r="H1833" t="str">
        <f t="shared" si="35"/>
        <v>SOCIAL SECURITY TAXES</v>
      </c>
    </row>
    <row r="1834" spans="5:8" x14ac:dyDescent="0.25">
      <c r="E1834" t="str">
        <f>""</f>
        <v/>
      </c>
      <c r="F1834" t="str">
        <f>""</f>
        <v/>
      </c>
      <c r="H1834" t="str">
        <f t="shared" si="35"/>
        <v>SOCIAL SECURITY TAXES</v>
      </c>
    </row>
    <row r="1835" spans="5:8" x14ac:dyDescent="0.25">
      <c r="E1835" t="str">
        <f>"T4 202008058198"</f>
        <v>T4 202008058198</v>
      </c>
      <c r="F1835" t="str">
        <f>"MEDICARE TAXES"</f>
        <v>MEDICARE TAXES</v>
      </c>
      <c r="G1835" s="4">
        <v>28571.58</v>
      </c>
      <c r="H1835" t="str">
        <f t="shared" ref="H1835:H1866" si="36">"MEDICARE TAXES"</f>
        <v>MEDICARE TAXES</v>
      </c>
    </row>
    <row r="1836" spans="5:8" x14ac:dyDescent="0.25">
      <c r="E1836" t="str">
        <f>""</f>
        <v/>
      </c>
      <c r="F1836" t="str">
        <f>""</f>
        <v/>
      </c>
      <c r="H1836" t="str">
        <f t="shared" si="36"/>
        <v>MEDICARE TAXES</v>
      </c>
    </row>
    <row r="1837" spans="5:8" x14ac:dyDescent="0.25">
      <c r="E1837" t="str">
        <f>""</f>
        <v/>
      </c>
      <c r="F1837" t="str">
        <f>""</f>
        <v/>
      </c>
      <c r="H1837" t="str">
        <f t="shared" si="36"/>
        <v>MEDICARE TAXES</v>
      </c>
    </row>
    <row r="1838" spans="5:8" x14ac:dyDescent="0.25">
      <c r="E1838" t="str">
        <f>""</f>
        <v/>
      </c>
      <c r="F1838" t="str">
        <f>""</f>
        <v/>
      </c>
      <c r="H1838" t="str">
        <f t="shared" si="36"/>
        <v>MEDICARE TAXES</v>
      </c>
    </row>
    <row r="1839" spans="5:8" x14ac:dyDescent="0.25">
      <c r="E1839" t="str">
        <f>""</f>
        <v/>
      </c>
      <c r="F1839" t="str">
        <f>""</f>
        <v/>
      </c>
      <c r="H1839" t="str">
        <f t="shared" si="36"/>
        <v>MEDICARE TAXES</v>
      </c>
    </row>
    <row r="1840" spans="5:8" x14ac:dyDescent="0.25">
      <c r="E1840" t="str">
        <f>""</f>
        <v/>
      </c>
      <c r="F1840" t="str">
        <f>""</f>
        <v/>
      </c>
      <c r="H1840" t="str">
        <f t="shared" si="36"/>
        <v>MEDICARE TAXES</v>
      </c>
    </row>
    <row r="1841" spans="5:8" x14ac:dyDescent="0.25">
      <c r="E1841" t="str">
        <f>""</f>
        <v/>
      </c>
      <c r="F1841" t="str">
        <f>""</f>
        <v/>
      </c>
      <c r="H1841" t="str">
        <f t="shared" si="36"/>
        <v>MEDICARE TAXES</v>
      </c>
    </row>
    <row r="1842" spans="5:8" x14ac:dyDescent="0.25">
      <c r="E1842" t="str">
        <f>""</f>
        <v/>
      </c>
      <c r="F1842" t="str">
        <f>""</f>
        <v/>
      </c>
      <c r="H1842" t="str">
        <f t="shared" si="36"/>
        <v>MEDICARE TAXES</v>
      </c>
    </row>
    <row r="1843" spans="5:8" x14ac:dyDescent="0.25">
      <c r="E1843" t="str">
        <f>""</f>
        <v/>
      </c>
      <c r="F1843" t="str">
        <f>""</f>
        <v/>
      </c>
      <c r="H1843" t="str">
        <f t="shared" si="36"/>
        <v>MEDICARE TAXES</v>
      </c>
    </row>
    <row r="1844" spans="5:8" x14ac:dyDescent="0.25">
      <c r="E1844" t="str">
        <f>""</f>
        <v/>
      </c>
      <c r="F1844" t="str">
        <f>""</f>
        <v/>
      </c>
      <c r="H1844" t="str">
        <f t="shared" si="36"/>
        <v>MEDICARE TAXES</v>
      </c>
    </row>
    <row r="1845" spans="5:8" x14ac:dyDescent="0.25">
      <c r="E1845" t="str">
        <f>""</f>
        <v/>
      </c>
      <c r="F1845" t="str">
        <f>""</f>
        <v/>
      </c>
      <c r="H1845" t="str">
        <f t="shared" si="36"/>
        <v>MEDICARE TAXES</v>
      </c>
    </row>
    <row r="1846" spans="5:8" x14ac:dyDescent="0.25">
      <c r="E1846" t="str">
        <f>""</f>
        <v/>
      </c>
      <c r="F1846" t="str">
        <f>""</f>
        <v/>
      </c>
      <c r="H1846" t="str">
        <f t="shared" si="36"/>
        <v>MEDICARE TAXES</v>
      </c>
    </row>
    <row r="1847" spans="5:8" x14ac:dyDescent="0.25">
      <c r="E1847" t="str">
        <f>""</f>
        <v/>
      </c>
      <c r="F1847" t="str">
        <f>""</f>
        <v/>
      </c>
      <c r="H1847" t="str">
        <f t="shared" si="36"/>
        <v>MEDICARE TAXES</v>
      </c>
    </row>
    <row r="1848" spans="5:8" x14ac:dyDescent="0.25">
      <c r="E1848" t="str">
        <f>""</f>
        <v/>
      </c>
      <c r="F1848" t="str">
        <f>""</f>
        <v/>
      </c>
      <c r="H1848" t="str">
        <f t="shared" si="36"/>
        <v>MEDICARE TAXES</v>
      </c>
    </row>
    <row r="1849" spans="5:8" x14ac:dyDescent="0.25">
      <c r="E1849" t="str">
        <f>""</f>
        <v/>
      </c>
      <c r="F1849" t="str">
        <f>""</f>
        <v/>
      </c>
      <c r="H1849" t="str">
        <f t="shared" si="36"/>
        <v>MEDICARE TAXES</v>
      </c>
    </row>
    <row r="1850" spans="5:8" x14ac:dyDescent="0.25">
      <c r="E1850" t="str">
        <f>""</f>
        <v/>
      </c>
      <c r="F1850" t="str">
        <f>""</f>
        <v/>
      </c>
      <c r="H1850" t="str">
        <f t="shared" si="36"/>
        <v>MEDICARE TAXES</v>
      </c>
    </row>
    <row r="1851" spans="5:8" x14ac:dyDescent="0.25">
      <c r="E1851" t="str">
        <f>""</f>
        <v/>
      </c>
      <c r="F1851" t="str">
        <f>""</f>
        <v/>
      </c>
      <c r="H1851" t="str">
        <f t="shared" si="36"/>
        <v>MEDICARE TAXES</v>
      </c>
    </row>
    <row r="1852" spans="5:8" x14ac:dyDescent="0.25">
      <c r="E1852" t="str">
        <f>""</f>
        <v/>
      </c>
      <c r="F1852" t="str">
        <f>""</f>
        <v/>
      </c>
      <c r="H1852" t="str">
        <f t="shared" si="36"/>
        <v>MEDICARE TAXES</v>
      </c>
    </row>
    <row r="1853" spans="5:8" x14ac:dyDescent="0.25">
      <c r="E1853" t="str">
        <f>""</f>
        <v/>
      </c>
      <c r="F1853" t="str">
        <f>""</f>
        <v/>
      </c>
      <c r="H1853" t="str">
        <f t="shared" si="36"/>
        <v>MEDICARE TAXES</v>
      </c>
    </row>
    <row r="1854" spans="5:8" x14ac:dyDescent="0.25">
      <c r="E1854" t="str">
        <f>""</f>
        <v/>
      </c>
      <c r="F1854" t="str">
        <f>""</f>
        <v/>
      </c>
      <c r="H1854" t="str">
        <f t="shared" si="36"/>
        <v>MEDICARE TAXES</v>
      </c>
    </row>
    <row r="1855" spans="5:8" x14ac:dyDescent="0.25">
      <c r="E1855" t="str">
        <f>""</f>
        <v/>
      </c>
      <c r="F1855" t="str">
        <f>""</f>
        <v/>
      </c>
      <c r="H1855" t="str">
        <f t="shared" si="36"/>
        <v>MEDICARE TAXES</v>
      </c>
    </row>
    <row r="1856" spans="5:8" x14ac:dyDescent="0.25">
      <c r="E1856" t="str">
        <f>""</f>
        <v/>
      </c>
      <c r="F1856" t="str">
        <f>""</f>
        <v/>
      </c>
      <c r="H1856" t="str">
        <f t="shared" si="36"/>
        <v>MEDICARE TAXES</v>
      </c>
    </row>
    <row r="1857" spans="5:8" x14ac:dyDescent="0.25">
      <c r="E1857" t="str">
        <f>""</f>
        <v/>
      </c>
      <c r="F1857" t="str">
        <f>""</f>
        <v/>
      </c>
      <c r="H1857" t="str">
        <f t="shared" si="36"/>
        <v>MEDICARE TAXES</v>
      </c>
    </row>
    <row r="1858" spans="5:8" x14ac:dyDescent="0.25">
      <c r="E1858" t="str">
        <f>""</f>
        <v/>
      </c>
      <c r="F1858" t="str">
        <f>""</f>
        <v/>
      </c>
      <c r="H1858" t="str">
        <f t="shared" si="36"/>
        <v>MEDICARE TAXES</v>
      </c>
    </row>
    <row r="1859" spans="5:8" x14ac:dyDescent="0.25">
      <c r="E1859" t="str">
        <f>""</f>
        <v/>
      </c>
      <c r="F1859" t="str">
        <f>""</f>
        <v/>
      </c>
      <c r="H1859" t="str">
        <f t="shared" si="36"/>
        <v>MEDICARE TAXES</v>
      </c>
    </row>
    <row r="1860" spans="5:8" x14ac:dyDescent="0.25">
      <c r="E1860" t="str">
        <f>""</f>
        <v/>
      </c>
      <c r="F1860" t="str">
        <f>""</f>
        <v/>
      </c>
      <c r="H1860" t="str">
        <f t="shared" si="36"/>
        <v>MEDICARE TAXES</v>
      </c>
    </row>
    <row r="1861" spans="5:8" x14ac:dyDescent="0.25">
      <c r="E1861" t="str">
        <f>""</f>
        <v/>
      </c>
      <c r="F1861" t="str">
        <f>""</f>
        <v/>
      </c>
      <c r="H1861" t="str">
        <f t="shared" si="36"/>
        <v>MEDICARE TAXES</v>
      </c>
    </row>
    <row r="1862" spans="5:8" x14ac:dyDescent="0.25">
      <c r="E1862" t="str">
        <f>""</f>
        <v/>
      </c>
      <c r="F1862" t="str">
        <f>""</f>
        <v/>
      </c>
      <c r="H1862" t="str">
        <f t="shared" si="36"/>
        <v>MEDICARE TAXES</v>
      </c>
    </row>
    <row r="1863" spans="5:8" x14ac:dyDescent="0.25">
      <c r="E1863" t="str">
        <f>""</f>
        <v/>
      </c>
      <c r="F1863" t="str">
        <f>""</f>
        <v/>
      </c>
      <c r="H1863" t="str">
        <f t="shared" si="36"/>
        <v>MEDICARE TAXES</v>
      </c>
    </row>
    <row r="1864" spans="5:8" x14ac:dyDescent="0.25">
      <c r="E1864" t="str">
        <f>""</f>
        <v/>
      </c>
      <c r="F1864" t="str">
        <f>""</f>
        <v/>
      </c>
      <c r="H1864" t="str">
        <f t="shared" si="36"/>
        <v>MEDICARE TAXES</v>
      </c>
    </row>
    <row r="1865" spans="5:8" x14ac:dyDescent="0.25">
      <c r="E1865" t="str">
        <f>""</f>
        <v/>
      </c>
      <c r="F1865" t="str">
        <f>""</f>
        <v/>
      </c>
      <c r="H1865" t="str">
        <f t="shared" si="36"/>
        <v>MEDICARE TAXES</v>
      </c>
    </row>
    <row r="1866" spans="5:8" x14ac:dyDescent="0.25">
      <c r="E1866" t="str">
        <f>""</f>
        <v/>
      </c>
      <c r="F1866" t="str">
        <f>""</f>
        <v/>
      </c>
      <c r="H1866" t="str">
        <f t="shared" si="36"/>
        <v>MEDICARE TAXES</v>
      </c>
    </row>
    <row r="1867" spans="5:8" x14ac:dyDescent="0.25">
      <c r="E1867" t="str">
        <f>""</f>
        <v/>
      </c>
      <c r="F1867" t="str">
        <f>""</f>
        <v/>
      </c>
      <c r="H1867" t="str">
        <f t="shared" ref="H1867:H1891" si="37">"MEDICARE TAXES"</f>
        <v>MEDICARE TAXES</v>
      </c>
    </row>
    <row r="1868" spans="5:8" x14ac:dyDescent="0.25">
      <c r="E1868" t="str">
        <f>""</f>
        <v/>
      </c>
      <c r="F1868" t="str">
        <f>""</f>
        <v/>
      </c>
      <c r="H1868" t="str">
        <f t="shared" si="37"/>
        <v>MEDICARE TAXES</v>
      </c>
    </row>
    <row r="1869" spans="5:8" x14ac:dyDescent="0.25">
      <c r="E1869" t="str">
        <f>""</f>
        <v/>
      </c>
      <c r="F1869" t="str">
        <f>""</f>
        <v/>
      </c>
      <c r="H1869" t="str">
        <f t="shared" si="37"/>
        <v>MEDICARE TAXES</v>
      </c>
    </row>
    <row r="1870" spans="5:8" x14ac:dyDescent="0.25">
      <c r="E1870" t="str">
        <f>""</f>
        <v/>
      </c>
      <c r="F1870" t="str">
        <f>""</f>
        <v/>
      </c>
      <c r="H1870" t="str">
        <f t="shared" si="37"/>
        <v>MEDICARE TAXES</v>
      </c>
    </row>
    <row r="1871" spans="5:8" x14ac:dyDescent="0.25">
      <c r="E1871" t="str">
        <f>""</f>
        <v/>
      </c>
      <c r="F1871" t="str">
        <f>""</f>
        <v/>
      </c>
      <c r="H1871" t="str">
        <f t="shared" si="37"/>
        <v>MEDICARE TAXES</v>
      </c>
    </row>
    <row r="1872" spans="5:8" x14ac:dyDescent="0.25">
      <c r="E1872" t="str">
        <f>""</f>
        <v/>
      </c>
      <c r="F1872" t="str">
        <f>""</f>
        <v/>
      </c>
      <c r="H1872" t="str">
        <f t="shared" si="37"/>
        <v>MEDICARE TAXES</v>
      </c>
    </row>
    <row r="1873" spans="5:8" x14ac:dyDescent="0.25">
      <c r="E1873" t="str">
        <f>""</f>
        <v/>
      </c>
      <c r="F1873" t="str">
        <f>""</f>
        <v/>
      </c>
      <c r="H1873" t="str">
        <f t="shared" si="37"/>
        <v>MEDICARE TAXES</v>
      </c>
    </row>
    <row r="1874" spans="5:8" x14ac:dyDescent="0.25">
      <c r="E1874" t="str">
        <f>""</f>
        <v/>
      </c>
      <c r="F1874" t="str">
        <f>""</f>
        <v/>
      </c>
      <c r="H1874" t="str">
        <f t="shared" si="37"/>
        <v>MEDICARE TAXES</v>
      </c>
    </row>
    <row r="1875" spans="5:8" x14ac:dyDescent="0.25">
      <c r="E1875" t="str">
        <f>""</f>
        <v/>
      </c>
      <c r="F1875" t="str">
        <f>""</f>
        <v/>
      </c>
      <c r="H1875" t="str">
        <f t="shared" si="37"/>
        <v>MEDICARE TAXES</v>
      </c>
    </row>
    <row r="1876" spans="5:8" x14ac:dyDescent="0.25">
      <c r="E1876" t="str">
        <f>""</f>
        <v/>
      </c>
      <c r="F1876" t="str">
        <f>""</f>
        <v/>
      </c>
      <c r="H1876" t="str">
        <f t="shared" si="37"/>
        <v>MEDICARE TAXES</v>
      </c>
    </row>
    <row r="1877" spans="5:8" x14ac:dyDescent="0.25">
      <c r="E1877" t="str">
        <f>""</f>
        <v/>
      </c>
      <c r="F1877" t="str">
        <f>""</f>
        <v/>
      </c>
      <c r="H1877" t="str">
        <f t="shared" si="37"/>
        <v>MEDICARE TAXES</v>
      </c>
    </row>
    <row r="1878" spans="5:8" x14ac:dyDescent="0.25">
      <c r="E1878" t="str">
        <f>""</f>
        <v/>
      </c>
      <c r="F1878" t="str">
        <f>""</f>
        <v/>
      </c>
      <c r="H1878" t="str">
        <f t="shared" si="37"/>
        <v>MEDICARE TAXES</v>
      </c>
    </row>
    <row r="1879" spans="5:8" x14ac:dyDescent="0.25">
      <c r="E1879" t="str">
        <f>""</f>
        <v/>
      </c>
      <c r="F1879" t="str">
        <f>""</f>
        <v/>
      </c>
      <c r="H1879" t="str">
        <f t="shared" si="37"/>
        <v>MEDICARE TAXES</v>
      </c>
    </row>
    <row r="1880" spans="5:8" x14ac:dyDescent="0.25">
      <c r="E1880" t="str">
        <f>""</f>
        <v/>
      </c>
      <c r="F1880" t="str">
        <f>""</f>
        <v/>
      </c>
      <c r="H1880" t="str">
        <f t="shared" si="37"/>
        <v>MEDICARE TAXES</v>
      </c>
    </row>
    <row r="1881" spans="5:8" x14ac:dyDescent="0.25">
      <c r="E1881" t="str">
        <f>""</f>
        <v/>
      </c>
      <c r="F1881" t="str">
        <f>""</f>
        <v/>
      </c>
      <c r="H1881" t="str">
        <f t="shared" si="37"/>
        <v>MEDICARE TAXES</v>
      </c>
    </row>
    <row r="1882" spans="5:8" x14ac:dyDescent="0.25">
      <c r="E1882" t="str">
        <f>""</f>
        <v/>
      </c>
      <c r="F1882" t="str">
        <f>""</f>
        <v/>
      </c>
      <c r="H1882" t="str">
        <f t="shared" si="37"/>
        <v>MEDICARE TAXES</v>
      </c>
    </row>
    <row r="1883" spans="5:8" x14ac:dyDescent="0.25">
      <c r="E1883" t="str">
        <f>""</f>
        <v/>
      </c>
      <c r="F1883" t="str">
        <f>""</f>
        <v/>
      </c>
      <c r="H1883" t="str">
        <f t="shared" si="37"/>
        <v>MEDICARE TAXES</v>
      </c>
    </row>
    <row r="1884" spans="5:8" x14ac:dyDescent="0.25">
      <c r="E1884" t="str">
        <f>""</f>
        <v/>
      </c>
      <c r="F1884" t="str">
        <f>""</f>
        <v/>
      </c>
      <c r="H1884" t="str">
        <f t="shared" si="37"/>
        <v>MEDICARE TAXES</v>
      </c>
    </row>
    <row r="1885" spans="5:8" x14ac:dyDescent="0.25">
      <c r="E1885" t="str">
        <f>""</f>
        <v/>
      </c>
      <c r="F1885" t="str">
        <f>""</f>
        <v/>
      </c>
      <c r="H1885" t="str">
        <f t="shared" si="37"/>
        <v>MEDICARE TAXES</v>
      </c>
    </row>
    <row r="1886" spans="5:8" x14ac:dyDescent="0.25">
      <c r="E1886" t="str">
        <f>""</f>
        <v/>
      </c>
      <c r="F1886" t="str">
        <f>""</f>
        <v/>
      </c>
      <c r="H1886" t="str">
        <f t="shared" si="37"/>
        <v>MEDICARE TAXES</v>
      </c>
    </row>
    <row r="1887" spans="5:8" x14ac:dyDescent="0.25">
      <c r="E1887" t="str">
        <f>""</f>
        <v/>
      </c>
      <c r="F1887" t="str">
        <f>""</f>
        <v/>
      </c>
      <c r="H1887" t="str">
        <f t="shared" si="37"/>
        <v>MEDICARE TAXES</v>
      </c>
    </row>
    <row r="1888" spans="5:8" x14ac:dyDescent="0.25">
      <c r="E1888" t="str">
        <f>"T4 202008058199"</f>
        <v>T4 202008058199</v>
      </c>
      <c r="F1888" t="str">
        <f>"MEDICARE TAXES"</f>
        <v>MEDICARE TAXES</v>
      </c>
      <c r="G1888" s="4">
        <v>1032.5</v>
      </c>
      <c r="H1888" t="str">
        <f t="shared" si="37"/>
        <v>MEDICARE TAXES</v>
      </c>
    </row>
    <row r="1889" spans="1:8" x14ac:dyDescent="0.25">
      <c r="E1889" t="str">
        <f>""</f>
        <v/>
      </c>
      <c r="F1889" t="str">
        <f>""</f>
        <v/>
      </c>
      <c r="H1889" t="str">
        <f t="shared" si="37"/>
        <v>MEDICARE TAXES</v>
      </c>
    </row>
    <row r="1890" spans="1:8" x14ac:dyDescent="0.25">
      <c r="E1890" t="str">
        <f>"T4 202008058200"</f>
        <v>T4 202008058200</v>
      </c>
      <c r="F1890" t="str">
        <f>"MEDICARE TAXES"</f>
        <v>MEDICARE TAXES</v>
      </c>
      <c r="G1890" s="4">
        <v>1119.98</v>
      </c>
      <c r="H1890" t="str">
        <f t="shared" si="37"/>
        <v>MEDICARE TAXES</v>
      </c>
    </row>
    <row r="1891" spans="1:8" x14ac:dyDescent="0.25">
      <c r="E1891" t="str">
        <f>""</f>
        <v/>
      </c>
      <c r="F1891" t="str">
        <f>""</f>
        <v/>
      </c>
      <c r="H1891" t="str">
        <f t="shared" si="37"/>
        <v>MEDICARE TAXES</v>
      </c>
    </row>
    <row r="1892" spans="1:8" x14ac:dyDescent="0.25">
      <c r="A1892" t="s">
        <v>380</v>
      </c>
      <c r="B1892">
        <v>674</v>
      </c>
      <c r="C1892">
        <v>243341.74</v>
      </c>
      <c r="D1892" s="1">
        <v>44064</v>
      </c>
      <c r="E1892" t="str">
        <f>"T1 202008198437"</f>
        <v>T1 202008198437</v>
      </c>
      <c r="F1892" t="str">
        <f>"FEDERAL WITHHOLDING"</f>
        <v>FEDERAL WITHHOLDING</v>
      </c>
      <c r="G1892" s="4">
        <v>81749.100000000006</v>
      </c>
      <c r="H1892" t="str">
        <f>"FEDERAL WITHHOLDING"</f>
        <v>FEDERAL WITHHOLDING</v>
      </c>
    </row>
    <row r="1893" spans="1:8" x14ac:dyDescent="0.25">
      <c r="E1893" t="str">
        <f>"T1 202008198438"</f>
        <v>T1 202008198438</v>
      </c>
      <c r="F1893" t="str">
        <f>"FEDERAL WITHHOLDING"</f>
        <v>FEDERAL WITHHOLDING</v>
      </c>
      <c r="G1893" s="4">
        <v>3192.92</v>
      </c>
      <c r="H1893" t="str">
        <f>"FEDERAL WITHHOLDING"</f>
        <v>FEDERAL WITHHOLDING</v>
      </c>
    </row>
    <row r="1894" spans="1:8" x14ac:dyDescent="0.25">
      <c r="E1894" t="str">
        <f>"T1 202008198439"</f>
        <v>T1 202008198439</v>
      </c>
      <c r="F1894" t="str">
        <f>"FEDERAL WITHHOLDING"</f>
        <v>FEDERAL WITHHOLDING</v>
      </c>
      <c r="G1894" s="4">
        <v>3394.18</v>
      </c>
      <c r="H1894" t="str">
        <f>"FEDERAL WITHHOLDING"</f>
        <v>FEDERAL WITHHOLDING</v>
      </c>
    </row>
    <row r="1895" spans="1:8" x14ac:dyDescent="0.25">
      <c r="E1895" t="str">
        <f>"T3 202008198437"</f>
        <v>T3 202008198437</v>
      </c>
      <c r="F1895" t="str">
        <f>"SOCIAL SECURITY TAXES"</f>
        <v>SOCIAL SECURITY TAXES</v>
      </c>
      <c r="G1895" s="4">
        <v>116338.5</v>
      </c>
      <c r="H1895" t="str">
        <f t="shared" ref="H1895:H1926" si="38">"SOCIAL SECURITY TAXES"</f>
        <v>SOCIAL SECURITY TAXES</v>
      </c>
    </row>
    <row r="1896" spans="1:8" x14ac:dyDescent="0.25">
      <c r="E1896" t="str">
        <f>""</f>
        <v/>
      </c>
      <c r="F1896" t="str">
        <f>""</f>
        <v/>
      </c>
      <c r="H1896" t="str">
        <f t="shared" si="38"/>
        <v>SOCIAL SECURITY TAXES</v>
      </c>
    </row>
    <row r="1897" spans="1:8" x14ac:dyDescent="0.25">
      <c r="E1897" t="str">
        <f>""</f>
        <v/>
      </c>
      <c r="F1897" t="str">
        <f>""</f>
        <v/>
      </c>
      <c r="H1897" t="str">
        <f t="shared" si="38"/>
        <v>SOCIAL SECURITY TAXES</v>
      </c>
    </row>
    <row r="1898" spans="1:8" x14ac:dyDescent="0.25">
      <c r="E1898" t="str">
        <f>""</f>
        <v/>
      </c>
      <c r="F1898" t="str">
        <f>""</f>
        <v/>
      </c>
      <c r="H1898" t="str">
        <f t="shared" si="38"/>
        <v>SOCIAL SECURITY TAXES</v>
      </c>
    </row>
    <row r="1899" spans="1:8" x14ac:dyDescent="0.25">
      <c r="E1899" t="str">
        <f>""</f>
        <v/>
      </c>
      <c r="F1899" t="str">
        <f>""</f>
        <v/>
      </c>
      <c r="H1899" t="str">
        <f t="shared" si="38"/>
        <v>SOCIAL SECURITY TAXES</v>
      </c>
    </row>
    <row r="1900" spans="1:8" x14ac:dyDescent="0.25">
      <c r="E1900" t="str">
        <f>""</f>
        <v/>
      </c>
      <c r="F1900" t="str">
        <f>""</f>
        <v/>
      </c>
      <c r="H1900" t="str">
        <f t="shared" si="38"/>
        <v>SOCIAL SECURITY TAXES</v>
      </c>
    </row>
    <row r="1901" spans="1:8" x14ac:dyDescent="0.25">
      <c r="E1901" t="str">
        <f>""</f>
        <v/>
      </c>
      <c r="F1901" t="str">
        <f>""</f>
        <v/>
      </c>
      <c r="H1901" t="str">
        <f t="shared" si="38"/>
        <v>SOCIAL SECURITY TAXES</v>
      </c>
    </row>
    <row r="1902" spans="1:8" x14ac:dyDescent="0.25">
      <c r="E1902" t="str">
        <f>""</f>
        <v/>
      </c>
      <c r="F1902" t="str">
        <f>""</f>
        <v/>
      </c>
      <c r="H1902" t="str">
        <f t="shared" si="38"/>
        <v>SOCIAL SECURITY TAXES</v>
      </c>
    </row>
    <row r="1903" spans="1:8" x14ac:dyDescent="0.25">
      <c r="E1903" t="str">
        <f>""</f>
        <v/>
      </c>
      <c r="F1903" t="str">
        <f>""</f>
        <v/>
      </c>
      <c r="H1903" t="str">
        <f t="shared" si="38"/>
        <v>SOCIAL SECURITY TAXES</v>
      </c>
    </row>
    <row r="1904" spans="1:8" x14ac:dyDescent="0.25">
      <c r="E1904" t="str">
        <f>""</f>
        <v/>
      </c>
      <c r="F1904" t="str">
        <f>""</f>
        <v/>
      </c>
      <c r="H1904" t="str">
        <f t="shared" si="38"/>
        <v>SOCIAL SECURITY TAXES</v>
      </c>
    </row>
    <row r="1905" spans="5:8" x14ac:dyDescent="0.25">
      <c r="E1905" t="str">
        <f>""</f>
        <v/>
      </c>
      <c r="F1905" t="str">
        <f>""</f>
        <v/>
      </c>
      <c r="H1905" t="str">
        <f t="shared" si="38"/>
        <v>SOCIAL SECURITY TAXES</v>
      </c>
    </row>
    <row r="1906" spans="5:8" x14ac:dyDescent="0.25">
      <c r="E1906" t="str">
        <f>""</f>
        <v/>
      </c>
      <c r="F1906" t="str">
        <f>""</f>
        <v/>
      </c>
      <c r="H1906" t="str">
        <f t="shared" si="38"/>
        <v>SOCIAL SECURITY TAXES</v>
      </c>
    </row>
    <row r="1907" spans="5:8" x14ac:dyDescent="0.25">
      <c r="E1907" t="str">
        <f>""</f>
        <v/>
      </c>
      <c r="F1907" t="str">
        <f>""</f>
        <v/>
      </c>
      <c r="H1907" t="str">
        <f t="shared" si="38"/>
        <v>SOCIAL SECURITY TAXES</v>
      </c>
    </row>
    <row r="1908" spans="5:8" x14ac:dyDescent="0.25">
      <c r="E1908" t="str">
        <f>""</f>
        <v/>
      </c>
      <c r="F1908" t="str">
        <f>""</f>
        <v/>
      </c>
      <c r="H1908" t="str">
        <f t="shared" si="38"/>
        <v>SOCIAL SECURITY TAXES</v>
      </c>
    </row>
    <row r="1909" spans="5:8" x14ac:dyDescent="0.25">
      <c r="E1909" t="str">
        <f>""</f>
        <v/>
      </c>
      <c r="F1909" t="str">
        <f>""</f>
        <v/>
      </c>
      <c r="H1909" t="str">
        <f t="shared" si="38"/>
        <v>SOCIAL SECURITY TAXES</v>
      </c>
    </row>
    <row r="1910" spans="5:8" x14ac:dyDescent="0.25">
      <c r="E1910" t="str">
        <f>""</f>
        <v/>
      </c>
      <c r="F1910" t="str">
        <f>""</f>
        <v/>
      </c>
      <c r="H1910" t="str">
        <f t="shared" si="38"/>
        <v>SOCIAL SECURITY TAXES</v>
      </c>
    </row>
    <row r="1911" spans="5:8" x14ac:dyDescent="0.25">
      <c r="E1911" t="str">
        <f>""</f>
        <v/>
      </c>
      <c r="F1911" t="str">
        <f>""</f>
        <v/>
      </c>
      <c r="H1911" t="str">
        <f t="shared" si="38"/>
        <v>SOCIAL SECURITY TAXES</v>
      </c>
    </row>
    <row r="1912" spans="5:8" x14ac:dyDescent="0.25">
      <c r="E1912" t="str">
        <f>""</f>
        <v/>
      </c>
      <c r="F1912" t="str">
        <f>""</f>
        <v/>
      </c>
      <c r="H1912" t="str">
        <f t="shared" si="38"/>
        <v>SOCIAL SECURITY TAXES</v>
      </c>
    </row>
    <row r="1913" spans="5:8" x14ac:dyDescent="0.25">
      <c r="E1913" t="str">
        <f>""</f>
        <v/>
      </c>
      <c r="F1913" t="str">
        <f>""</f>
        <v/>
      </c>
      <c r="H1913" t="str">
        <f t="shared" si="38"/>
        <v>SOCIAL SECURITY TAXES</v>
      </c>
    </row>
    <row r="1914" spans="5:8" x14ac:dyDescent="0.25">
      <c r="E1914" t="str">
        <f>""</f>
        <v/>
      </c>
      <c r="F1914" t="str">
        <f>""</f>
        <v/>
      </c>
      <c r="H1914" t="str">
        <f t="shared" si="38"/>
        <v>SOCIAL SECURITY TAXES</v>
      </c>
    </row>
    <row r="1915" spans="5:8" x14ac:dyDescent="0.25">
      <c r="E1915" t="str">
        <f>""</f>
        <v/>
      </c>
      <c r="F1915" t="str">
        <f>""</f>
        <v/>
      </c>
      <c r="H1915" t="str">
        <f t="shared" si="38"/>
        <v>SOCIAL SECURITY TAXES</v>
      </c>
    </row>
    <row r="1916" spans="5:8" x14ac:dyDescent="0.25">
      <c r="E1916" t="str">
        <f>""</f>
        <v/>
      </c>
      <c r="F1916" t="str">
        <f>""</f>
        <v/>
      </c>
      <c r="H1916" t="str">
        <f t="shared" si="38"/>
        <v>SOCIAL SECURITY TAXES</v>
      </c>
    </row>
    <row r="1917" spans="5:8" x14ac:dyDescent="0.25">
      <c r="E1917" t="str">
        <f>""</f>
        <v/>
      </c>
      <c r="F1917" t="str">
        <f>""</f>
        <v/>
      </c>
      <c r="H1917" t="str">
        <f t="shared" si="38"/>
        <v>SOCIAL SECURITY TAXES</v>
      </c>
    </row>
    <row r="1918" spans="5:8" x14ac:dyDescent="0.25">
      <c r="E1918" t="str">
        <f>""</f>
        <v/>
      </c>
      <c r="F1918" t="str">
        <f>""</f>
        <v/>
      </c>
      <c r="H1918" t="str">
        <f t="shared" si="38"/>
        <v>SOCIAL SECURITY TAXES</v>
      </c>
    </row>
    <row r="1919" spans="5:8" x14ac:dyDescent="0.25">
      <c r="E1919" t="str">
        <f>""</f>
        <v/>
      </c>
      <c r="F1919" t="str">
        <f>""</f>
        <v/>
      </c>
      <c r="H1919" t="str">
        <f t="shared" si="38"/>
        <v>SOCIAL SECURITY TAXES</v>
      </c>
    </row>
    <row r="1920" spans="5:8" x14ac:dyDescent="0.25">
      <c r="E1920" t="str">
        <f>""</f>
        <v/>
      </c>
      <c r="F1920" t="str">
        <f>""</f>
        <v/>
      </c>
      <c r="H1920" t="str">
        <f t="shared" si="38"/>
        <v>SOCIAL SECURITY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38"/>
        <v>SOCIAL SECURITY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38"/>
        <v>SOCIAL SECURITY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38"/>
        <v>SOCIAL SECURITY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38"/>
        <v>SOCIAL SECURITY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38"/>
        <v>SOCIAL SECURITY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38"/>
        <v>SOCIAL SECURITY TAXES</v>
      </c>
    </row>
    <row r="1927" spans="5:8" x14ac:dyDescent="0.25">
      <c r="E1927" t="str">
        <f>""</f>
        <v/>
      </c>
      <c r="F1927" t="str">
        <f>""</f>
        <v/>
      </c>
      <c r="H1927" t="str">
        <f t="shared" ref="H1927:H1951" si="39">"SOCIAL SECURITY TAXES"</f>
        <v>SOCIAL SECURITY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39"/>
        <v>SOCIAL SECURITY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39"/>
        <v>SOCIAL SECURITY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39"/>
        <v>SOCIAL SECURITY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39"/>
        <v>SOCIAL SECURITY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39"/>
        <v>SOCIAL SECURITY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39"/>
        <v>SOCIAL SECURITY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39"/>
        <v>SOCIAL SECURITY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39"/>
        <v>SOCIAL SECURITY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39"/>
        <v>SOCIAL SECURITY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39"/>
        <v>SOCIAL SECURITY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39"/>
        <v>SOCIAL SECURITY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39"/>
        <v>SOCIAL SECURITY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39"/>
        <v>SOCIAL SECURITY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39"/>
        <v>SOCIAL SECURITY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39"/>
        <v>SOCIAL SECURITY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39"/>
        <v>SOCIAL SECURITY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39"/>
        <v>SOCIAL SECURITY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39"/>
        <v>SOCIAL SECURITY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39"/>
        <v>SOCIAL SECURITY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39"/>
        <v>SOCIAL SECURITY TAXES</v>
      </c>
    </row>
    <row r="1948" spans="5:8" x14ac:dyDescent="0.25">
      <c r="E1948" t="str">
        <f>"T3 202008198438"</f>
        <v>T3 202008198438</v>
      </c>
      <c r="F1948" t="str">
        <f>"SOCIAL SECURITY TAXES"</f>
        <v>SOCIAL SECURITY TAXES</v>
      </c>
      <c r="G1948" s="4">
        <v>4405.2</v>
      </c>
      <c r="H1948" t="str">
        <f t="shared" si="39"/>
        <v>SOCIAL SECURITY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39"/>
        <v>SOCIAL SECURITY TAXES</v>
      </c>
    </row>
    <row r="1950" spans="5:8" x14ac:dyDescent="0.25">
      <c r="E1950" t="str">
        <f>"T3 202008198439"</f>
        <v>T3 202008198439</v>
      </c>
      <c r="F1950" t="str">
        <f>"SOCIAL SECURITY TAXES"</f>
        <v>SOCIAL SECURITY TAXES</v>
      </c>
      <c r="G1950" s="4">
        <v>4881.72</v>
      </c>
      <c r="H1950" t="str">
        <f t="shared" si="39"/>
        <v>SOCIAL SECURITY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39"/>
        <v>SOCIAL SECURITY TAXES</v>
      </c>
    </row>
    <row r="1952" spans="5:8" x14ac:dyDescent="0.25">
      <c r="E1952" t="str">
        <f>"T4 202008198437"</f>
        <v>T4 202008198437</v>
      </c>
      <c r="F1952" t="str">
        <f>"MEDICARE TAXES"</f>
        <v>MEDICARE TAXES</v>
      </c>
      <c r="G1952" s="4">
        <v>27208.12</v>
      </c>
      <c r="H1952" t="str">
        <f t="shared" ref="H1952:H1983" si="40">"MEDICARE TAXES"</f>
        <v>MEDICARE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40"/>
        <v>MEDICARE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40"/>
        <v>MEDICARE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40"/>
        <v>MEDICARE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40"/>
        <v>MEDICARE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40"/>
        <v>MEDICARE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40"/>
        <v>MEDICARE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40"/>
        <v>MEDICARE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40"/>
        <v>MEDICARE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40"/>
        <v>MEDICARE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40"/>
        <v>MEDICARE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40"/>
        <v>MEDICARE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40"/>
        <v>MEDICARE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40"/>
        <v>MEDICARE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40"/>
        <v>MEDICARE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40"/>
        <v>MEDICARE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40"/>
        <v>MEDICARE TAXES</v>
      </c>
    </row>
    <row r="1969" spans="5:8" x14ac:dyDescent="0.25">
      <c r="E1969" t="str">
        <f>""</f>
        <v/>
      </c>
      <c r="F1969" t="str">
        <f>""</f>
        <v/>
      </c>
      <c r="H1969" t="str">
        <f t="shared" si="40"/>
        <v>MEDICARE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40"/>
        <v>MEDICARE TAXES</v>
      </c>
    </row>
    <row r="1971" spans="5:8" x14ac:dyDescent="0.25">
      <c r="E1971" t="str">
        <f>""</f>
        <v/>
      </c>
      <c r="F1971" t="str">
        <f>""</f>
        <v/>
      </c>
      <c r="H1971" t="str">
        <f t="shared" si="40"/>
        <v>MEDICARE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40"/>
        <v>MEDICARE TAXES</v>
      </c>
    </row>
    <row r="1973" spans="5:8" x14ac:dyDescent="0.25">
      <c r="E1973" t="str">
        <f>""</f>
        <v/>
      </c>
      <c r="F1973" t="str">
        <f>""</f>
        <v/>
      </c>
      <c r="H1973" t="str">
        <f t="shared" si="40"/>
        <v>MEDICARE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40"/>
        <v>MEDICARE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40"/>
        <v>MEDICARE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40"/>
        <v>MEDICARE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40"/>
        <v>MEDICARE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40"/>
        <v>MEDICARE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40"/>
        <v>MEDICARE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40"/>
        <v>MEDICARE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40"/>
        <v>MEDICARE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40"/>
        <v>MEDICARE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40"/>
        <v>MEDICARE TAXES</v>
      </c>
    </row>
    <row r="1984" spans="5:8" x14ac:dyDescent="0.25">
      <c r="E1984" t="str">
        <f>""</f>
        <v/>
      </c>
      <c r="F1984" t="str">
        <f>""</f>
        <v/>
      </c>
      <c r="H1984" t="str">
        <f t="shared" ref="H1984:H2008" si="41">"MEDICARE TAXES"</f>
        <v>MEDICARE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41"/>
        <v>MEDICARE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41"/>
        <v>MEDICARE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41"/>
        <v>MEDICARE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41"/>
        <v>MEDICARE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41"/>
        <v>MEDICARE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41"/>
        <v>MEDICARE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41"/>
        <v>MEDICARE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41"/>
        <v>MEDICARE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41"/>
        <v>MEDICARE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41"/>
        <v>MEDICARE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41"/>
        <v>MEDICARE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41"/>
        <v>MEDICARE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41"/>
        <v>MEDICARE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41"/>
        <v>MEDICARE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41"/>
        <v>MEDICARE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41"/>
        <v>MEDICARE TAXES</v>
      </c>
    </row>
    <row r="2001" spans="1:8" x14ac:dyDescent="0.25">
      <c r="E2001" t="str">
        <f>""</f>
        <v/>
      </c>
      <c r="F2001" t="str">
        <f>""</f>
        <v/>
      </c>
      <c r="H2001" t="str">
        <f t="shared" si="41"/>
        <v>MEDICARE TAXES</v>
      </c>
    </row>
    <row r="2002" spans="1:8" x14ac:dyDescent="0.25">
      <c r="E2002" t="str">
        <f>""</f>
        <v/>
      </c>
      <c r="F2002" t="str">
        <f>""</f>
        <v/>
      </c>
      <c r="H2002" t="str">
        <f t="shared" si="41"/>
        <v>MEDICARE TAXES</v>
      </c>
    </row>
    <row r="2003" spans="1:8" x14ac:dyDescent="0.25">
      <c r="E2003" t="str">
        <f>""</f>
        <v/>
      </c>
      <c r="F2003" t="str">
        <f>""</f>
        <v/>
      </c>
      <c r="H2003" t="str">
        <f t="shared" si="41"/>
        <v>MEDICARE TAXES</v>
      </c>
    </row>
    <row r="2004" spans="1:8" x14ac:dyDescent="0.25">
      <c r="E2004" t="str">
        <f>""</f>
        <v/>
      </c>
      <c r="F2004" t="str">
        <f>""</f>
        <v/>
      </c>
      <c r="H2004" t="str">
        <f t="shared" si="41"/>
        <v>MEDICARE TAXES</v>
      </c>
    </row>
    <row r="2005" spans="1:8" x14ac:dyDescent="0.25">
      <c r="E2005" t="str">
        <f>"T4 202008198438"</f>
        <v>T4 202008198438</v>
      </c>
      <c r="F2005" t="str">
        <f>"MEDICARE TAXES"</f>
        <v>MEDICARE TAXES</v>
      </c>
      <c r="G2005" s="4">
        <v>1030.26</v>
      </c>
      <c r="H2005" t="str">
        <f t="shared" si="41"/>
        <v>MEDICARE TAXES</v>
      </c>
    </row>
    <row r="2006" spans="1:8" x14ac:dyDescent="0.25">
      <c r="E2006" t="str">
        <f>""</f>
        <v/>
      </c>
      <c r="F2006" t="str">
        <f>""</f>
        <v/>
      </c>
      <c r="H2006" t="str">
        <f t="shared" si="41"/>
        <v>MEDICARE TAXES</v>
      </c>
    </row>
    <row r="2007" spans="1:8" x14ac:dyDescent="0.25">
      <c r="E2007" t="str">
        <f>"T4 202008198439"</f>
        <v>T4 202008198439</v>
      </c>
      <c r="F2007" t="str">
        <f>"MEDICARE TAXES"</f>
        <v>MEDICARE TAXES</v>
      </c>
      <c r="G2007" s="4">
        <v>1141.74</v>
      </c>
      <c r="H2007" t="str">
        <f t="shared" si="41"/>
        <v>MEDICARE TAXES</v>
      </c>
    </row>
    <row r="2008" spans="1:8" x14ac:dyDescent="0.25">
      <c r="E2008" t="str">
        <f>""</f>
        <v/>
      </c>
      <c r="F2008" t="str">
        <f>""</f>
        <v/>
      </c>
      <c r="H2008" t="str">
        <f t="shared" si="41"/>
        <v>MEDICARE TAXES</v>
      </c>
    </row>
    <row r="2009" spans="1:8" x14ac:dyDescent="0.25">
      <c r="A2009" t="s">
        <v>381</v>
      </c>
      <c r="B2009">
        <v>686</v>
      </c>
      <c r="C2009">
        <v>535.82000000000005</v>
      </c>
      <c r="D2009" s="1">
        <v>44068</v>
      </c>
      <c r="E2009" t="str">
        <f>"LIX202008058198"</f>
        <v>LIX202008058198</v>
      </c>
      <c r="F2009" t="str">
        <f>"TEXAS LIFE/OLIVO GROUP"</f>
        <v>TEXAS LIFE/OLIVO GROUP</v>
      </c>
      <c r="G2009" s="4">
        <v>267.91000000000003</v>
      </c>
      <c r="H2009" t="str">
        <f>"TEXAS LIFE/OLIVO GROUP"</f>
        <v>TEXAS LIFE/OLIVO GROUP</v>
      </c>
    </row>
    <row r="2010" spans="1:8" x14ac:dyDescent="0.25">
      <c r="E2010" t="str">
        <f>"LIX202008198437"</f>
        <v>LIX202008198437</v>
      </c>
      <c r="F2010" t="str">
        <f>"TEXAS LIFE/OLIVO GROUP"</f>
        <v>TEXAS LIFE/OLIVO GROUP</v>
      </c>
      <c r="G2010" s="4">
        <v>267.91000000000003</v>
      </c>
      <c r="H2010" t="str">
        <f>"TEXAS LIFE/OLIVO GROUP"</f>
        <v>TEXAS LIFE/OLIVO GROUP</v>
      </c>
    </row>
    <row r="2011" spans="1:8" x14ac:dyDescent="0.25">
      <c r="A2011" t="s">
        <v>382</v>
      </c>
      <c r="B2011">
        <v>48055</v>
      </c>
      <c r="C2011">
        <v>362480.3</v>
      </c>
      <c r="D2011" s="1">
        <v>44068</v>
      </c>
      <c r="E2011" t="str">
        <f>"202008258464"</f>
        <v>202008258464</v>
      </c>
      <c r="F2011" t="str">
        <f>"RETIREE INS - AUGUST 2020"</f>
        <v>RETIREE INS - AUGUST 2020</v>
      </c>
      <c r="G2011" s="4">
        <v>16818.88</v>
      </c>
      <c r="H2011" t="str">
        <f>"RETIREE INS - AUGUST 2020"</f>
        <v>RETIREE INS - AUGUST 2020</v>
      </c>
    </row>
    <row r="2012" spans="1:8" x14ac:dyDescent="0.25">
      <c r="E2012" t="str">
        <f>"2EC202008058198"</f>
        <v>2EC202008058198</v>
      </c>
      <c r="F2012" t="str">
        <f>"BCBS PAYABLE"</f>
        <v>BCBS PAYABLE</v>
      </c>
      <c r="G2012" s="4">
        <v>46520.160000000003</v>
      </c>
      <c r="H2012" t="str">
        <f t="shared" ref="H2012:H2043" si="42">"BCBS PAYABLE"</f>
        <v>BCBS PAYABLE</v>
      </c>
    </row>
    <row r="2013" spans="1:8" x14ac:dyDescent="0.25">
      <c r="E2013" t="str">
        <f>""</f>
        <v/>
      </c>
      <c r="F2013" t="str">
        <f>""</f>
        <v/>
      </c>
      <c r="H2013" t="str">
        <f t="shared" si="42"/>
        <v>BCBS PAYABLE</v>
      </c>
    </row>
    <row r="2014" spans="1:8" x14ac:dyDescent="0.25">
      <c r="E2014" t="str">
        <f>""</f>
        <v/>
      </c>
      <c r="F2014" t="str">
        <f>""</f>
        <v/>
      </c>
      <c r="H2014" t="str">
        <f t="shared" si="42"/>
        <v>BCBS PAYABLE</v>
      </c>
    </row>
    <row r="2015" spans="1:8" x14ac:dyDescent="0.25">
      <c r="E2015" t="str">
        <f>""</f>
        <v/>
      </c>
      <c r="F2015" t="str">
        <f>""</f>
        <v/>
      </c>
      <c r="H2015" t="str">
        <f t="shared" si="42"/>
        <v>BCBS PAYABLE</v>
      </c>
    </row>
    <row r="2016" spans="1:8" x14ac:dyDescent="0.25">
      <c r="E2016" t="str">
        <f>""</f>
        <v/>
      </c>
      <c r="F2016" t="str">
        <f>""</f>
        <v/>
      </c>
      <c r="H2016" t="str">
        <f t="shared" si="42"/>
        <v>BCBS PAYABLE</v>
      </c>
    </row>
    <row r="2017" spans="5:8" x14ac:dyDescent="0.25">
      <c r="E2017" t="str">
        <f>""</f>
        <v/>
      </c>
      <c r="F2017" t="str">
        <f>""</f>
        <v/>
      </c>
      <c r="H2017" t="str">
        <f t="shared" si="42"/>
        <v>BCBS PAYABLE</v>
      </c>
    </row>
    <row r="2018" spans="5:8" x14ac:dyDescent="0.25">
      <c r="E2018" t="str">
        <f>""</f>
        <v/>
      </c>
      <c r="F2018" t="str">
        <f>""</f>
        <v/>
      </c>
      <c r="H2018" t="str">
        <f t="shared" si="42"/>
        <v>BCBS PAYABLE</v>
      </c>
    </row>
    <row r="2019" spans="5:8" x14ac:dyDescent="0.25">
      <c r="E2019" t="str">
        <f>""</f>
        <v/>
      </c>
      <c r="F2019" t="str">
        <f>""</f>
        <v/>
      </c>
      <c r="H2019" t="str">
        <f t="shared" si="42"/>
        <v>BCBS PAYABLE</v>
      </c>
    </row>
    <row r="2020" spans="5:8" x14ac:dyDescent="0.25">
      <c r="E2020" t="str">
        <f>""</f>
        <v/>
      </c>
      <c r="F2020" t="str">
        <f>""</f>
        <v/>
      </c>
      <c r="H2020" t="str">
        <f t="shared" si="42"/>
        <v>BCBS PAYABLE</v>
      </c>
    </row>
    <row r="2021" spans="5:8" x14ac:dyDescent="0.25">
      <c r="E2021" t="str">
        <f>""</f>
        <v/>
      </c>
      <c r="F2021" t="str">
        <f>""</f>
        <v/>
      </c>
      <c r="H2021" t="str">
        <f t="shared" si="42"/>
        <v>BCBS PAYABLE</v>
      </c>
    </row>
    <row r="2022" spans="5:8" x14ac:dyDescent="0.25">
      <c r="E2022" t="str">
        <f>""</f>
        <v/>
      </c>
      <c r="F2022" t="str">
        <f>""</f>
        <v/>
      </c>
      <c r="H2022" t="str">
        <f t="shared" si="42"/>
        <v>BCBS PAYABLE</v>
      </c>
    </row>
    <row r="2023" spans="5:8" x14ac:dyDescent="0.25">
      <c r="E2023" t="str">
        <f>""</f>
        <v/>
      </c>
      <c r="F2023" t="str">
        <f>""</f>
        <v/>
      </c>
      <c r="H2023" t="str">
        <f t="shared" si="42"/>
        <v>BCBS PAYABLE</v>
      </c>
    </row>
    <row r="2024" spans="5:8" x14ac:dyDescent="0.25">
      <c r="E2024" t="str">
        <f>""</f>
        <v/>
      </c>
      <c r="F2024" t="str">
        <f>""</f>
        <v/>
      </c>
      <c r="H2024" t="str">
        <f t="shared" si="42"/>
        <v>BCBS PAYABLE</v>
      </c>
    </row>
    <row r="2025" spans="5:8" x14ac:dyDescent="0.25">
      <c r="E2025" t="str">
        <f>""</f>
        <v/>
      </c>
      <c r="F2025" t="str">
        <f>""</f>
        <v/>
      </c>
      <c r="H2025" t="str">
        <f t="shared" si="42"/>
        <v>BCBS PAYABLE</v>
      </c>
    </row>
    <row r="2026" spans="5:8" x14ac:dyDescent="0.25">
      <c r="E2026" t="str">
        <f>""</f>
        <v/>
      </c>
      <c r="F2026" t="str">
        <f>""</f>
        <v/>
      </c>
      <c r="H2026" t="str">
        <f t="shared" si="42"/>
        <v>BCBS PAYABLE</v>
      </c>
    </row>
    <row r="2027" spans="5:8" x14ac:dyDescent="0.25">
      <c r="E2027" t="str">
        <f>""</f>
        <v/>
      </c>
      <c r="F2027" t="str">
        <f>""</f>
        <v/>
      </c>
      <c r="H2027" t="str">
        <f t="shared" si="42"/>
        <v>BCBS PAYABLE</v>
      </c>
    </row>
    <row r="2028" spans="5:8" x14ac:dyDescent="0.25">
      <c r="E2028" t="str">
        <f>""</f>
        <v/>
      </c>
      <c r="F2028" t="str">
        <f>""</f>
        <v/>
      </c>
      <c r="H2028" t="str">
        <f t="shared" si="42"/>
        <v>BCBS PAYABLE</v>
      </c>
    </row>
    <row r="2029" spans="5:8" x14ac:dyDescent="0.25">
      <c r="E2029" t="str">
        <f>""</f>
        <v/>
      </c>
      <c r="F2029" t="str">
        <f>""</f>
        <v/>
      </c>
      <c r="H2029" t="str">
        <f t="shared" si="42"/>
        <v>BCBS PAYABLE</v>
      </c>
    </row>
    <row r="2030" spans="5:8" x14ac:dyDescent="0.25">
      <c r="E2030" t="str">
        <f>""</f>
        <v/>
      </c>
      <c r="F2030" t="str">
        <f>""</f>
        <v/>
      </c>
      <c r="H2030" t="str">
        <f t="shared" si="42"/>
        <v>BCBS PAYABLE</v>
      </c>
    </row>
    <row r="2031" spans="5:8" x14ac:dyDescent="0.25">
      <c r="E2031" t="str">
        <f>""</f>
        <v/>
      </c>
      <c r="F2031" t="str">
        <f>""</f>
        <v/>
      </c>
      <c r="H2031" t="str">
        <f t="shared" si="42"/>
        <v>BCBS PAYABLE</v>
      </c>
    </row>
    <row r="2032" spans="5:8" x14ac:dyDescent="0.25">
      <c r="E2032" t="str">
        <f>""</f>
        <v/>
      </c>
      <c r="F2032" t="str">
        <f>""</f>
        <v/>
      </c>
      <c r="H2032" t="str">
        <f t="shared" si="42"/>
        <v>BCBS PAYABLE</v>
      </c>
    </row>
    <row r="2033" spans="5:8" x14ac:dyDescent="0.25">
      <c r="E2033" t="str">
        <f>""</f>
        <v/>
      </c>
      <c r="F2033" t="str">
        <f>""</f>
        <v/>
      </c>
      <c r="H2033" t="str">
        <f t="shared" si="42"/>
        <v>BCBS PAYABLE</v>
      </c>
    </row>
    <row r="2034" spans="5:8" x14ac:dyDescent="0.25">
      <c r="E2034" t="str">
        <f>""</f>
        <v/>
      </c>
      <c r="F2034" t="str">
        <f>""</f>
        <v/>
      </c>
      <c r="H2034" t="str">
        <f t="shared" si="42"/>
        <v>BCBS PAYABLE</v>
      </c>
    </row>
    <row r="2035" spans="5:8" x14ac:dyDescent="0.25">
      <c r="E2035" t="str">
        <f>""</f>
        <v/>
      </c>
      <c r="F2035" t="str">
        <f>""</f>
        <v/>
      </c>
      <c r="H2035" t="str">
        <f t="shared" si="42"/>
        <v>BCBS PAYABLE</v>
      </c>
    </row>
    <row r="2036" spans="5:8" x14ac:dyDescent="0.25">
      <c r="E2036" t="str">
        <f>""</f>
        <v/>
      </c>
      <c r="F2036" t="str">
        <f>""</f>
        <v/>
      </c>
      <c r="H2036" t="str">
        <f t="shared" si="42"/>
        <v>BCBS PAYABLE</v>
      </c>
    </row>
    <row r="2037" spans="5:8" x14ac:dyDescent="0.25">
      <c r="E2037" t="str">
        <f>""</f>
        <v/>
      </c>
      <c r="F2037" t="str">
        <f>""</f>
        <v/>
      </c>
      <c r="H2037" t="str">
        <f t="shared" si="42"/>
        <v>BCBS PAYABLE</v>
      </c>
    </row>
    <row r="2038" spans="5:8" x14ac:dyDescent="0.25">
      <c r="E2038" t="str">
        <f>""</f>
        <v/>
      </c>
      <c r="F2038" t="str">
        <f>""</f>
        <v/>
      </c>
      <c r="H2038" t="str">
        <f t="shared" si="42"/>
        <v>BCBS PAYABLE</v>
      </c>
    </row>
    <row r="2039" spans="5:8" x14ac:dyDescent="0.25">
      <c r="E2039" t="str">
        <f>""</f>
        <v/>
      </c>
      <c r="F2039" t="str">
        <f>""</f>
        <v/>
      </c>
      <c r="H2039" t="str">
        <f t="shared" si="42"/>
        <v>BCBS PAYABLE</v>
      </c>
    </row>
    <row r="2040" spans="5:8" x14ac:dyDescent="0.25">
      <c r="E2040" t="str">
        <f>""</f>
        <v/>
      </c>
      <c r="F2040" t="str">
        <f>""</f>
        <v/>
      </c>
      <c r="H2040" t="str">
        <f t="shared" si="42"/>
        <v>BCBS PAYABLE</v>
      </c>
    </row>
    <row r="2041" spans="5:8" x14ac:dyDescent="0.25">
      <c r="E2041" t="str">
        <f>""</f>
        <v/>
      </c>
      <c r="F2041" t="str">
        <f>""</f>
        <v/>
      </c>
      <c r="H2041" t="str">
        <f t="shared" si="42"/>
        <v>BCBS PAYABLE</v>
      </c>
    </row>
    <row r="2042" spans="5:8" x14ac:dyDescent="0.25">
      <c r="E2042" t="str">
        <f>""</f>
        <v/>
      </c>
      <c r="F2042" t="str">
        <f>""</f>
        <v/>
      </c>
      <c r="H2042" t="str">
        <f t="shared" si="42"/>
        <v>BCBS PAYABLE</v>
      </c>
    </row>
    <row r="2043" spans="5:8" x14ac:dyDescent="0.25">
      <c r="E2043" t="str">
        <f>"2EC202008058199"</f>
        <v>2EC202008058199</v>
      </c>
      <c r="F2043" t="str">
        <f>"BCBS PAYABLE"</f>
        <v>BCBS PAYABLE</v>
      </c>
      <c r="G2043" s="4">
        <v>1824.32</v>
      </c>
      <c r="H2043" t="str">
        <f t="shared" si="42"/>
        <v>BCBS PAYABLE</v>
      </c>
    </row>
    <row r="2044" spans="5:8" x14ac:dyDescent="0.25">
      <c r="E2044" t="str">
        <f>""</f>
        <v/>
      </c>
      <c r="F2044" t="str">
        <f>""</f>
        <v/>
      </c>
      <c r="H2044" t="str">
        <f t="shared" ref="H2044:H2075" si="43">"BCBS PAYABLE"</f>
        <v>BCBS PAYABLE</v>
      </c>
    </row>
    <row r="2045" spans="5:8" x14ac:dyDescent="0.25">
      <c r="E2045" t="str">
        <f>"2EC202008198437"</f>
        <v>2EC202008198437</v>
      </c>
      <c r="F2045" t="str">
        <f>"BCBS PAYABLE"</f>
        <v>BCBS PAYABLE</v>
      </c>
      <c r="G2045" s="4">
        <v>47100.44</v>
      </c>
      <c r="H2045" t="str">
        <f t="shared" si="43"/>
        <v>BCBS PAYABLE</v>
      </c>
    </row>
    <row r="2046" spans="5:8" x14ac:dyDescent="0.25">
      <c r="E2046" t="str">
        <f>""</f>
        <v/>
      </c>
      <c r="F2046" t="str">
        <f>""</f>
        <v/>
      </c>
      <c r="H2046" t="str">
        <f t="shared" si="43"/>
        <v>BCBS PAYABLE</v>
      </c>
    </row>
    <row r="2047" spans="5:8" x14ac:dyDescent="0.25">
      <c r="E2047" t="str">
        <f>""</f>
        <v/>
      </c>
      <c r="F2047" t="str">
        <f>""</f>
        <v/>
      </c>
      <c r="H2047" t="str">
        <f t="shared" si="43"/>
        <v>BCBS PAYABLE</v>
      </c>
    </row>
    <row r="2048" spans="5:8" x14ac:dyDescent="0.25">
      <c r="E2048" t="str">
        <f>""</f>
        <v/>
      </c>
      <c r="F2048" t="str">
        <f>""</f>
        <v/>
      </c>
      <c r="H2048" t="str">
        <f t="shared" si="43"/>
        <v>BCBS PAYABLE</v>
      </c>
    </row>
    <row r="2049" spans="5:8" x14ac:dyDescent="0.25">
      <c r="E2049" t="str">
        <f>""</f>
        <v/>
      </c>
      <c r="F2049" t="str">
        <f>""</f>
        <v/>
      </c>
      <c r="H2049" t="str">
        <f t="shared" si="43"/>
        <v>BCBS PAYABLE</v>
      </c>
    </row>
    <row r="2050" spans="5:8" x14ac:dyDescent="0.25">
      <c r="E2050" t="str">
        <f>""</f>
        <v/>
      </c>
      <c r="F2050" t="str">
        <f>""</f>
        <v/>
      </c>
      <c r="H2050" t="str">
        <f t="shared" si="43"/>
        <v>BCBS PAYABLE</v>
      </c>
    </row>
    <row r="2051" spans="5:8" x14ac:dyDescent="0.25">
      <c r="E2051" t="str">
        <f>""</f>
        <v/>
      </c>
      <c r="F2051" t="str">
        <f>""</f>
        <v/>
      </c>
      <c r="H2051" t="str">
        <f t="shared" si="43"/>
        <v>BCBS PAYABLE</v>
      </c>
    </row>
    <row r="2052" spans="5:8" x14ac:dyDescent="0.25">
      <c r="E2052" t="str">
        <f>""</f>
        <v/>
      </c>
      <c r="F2052" t="str">
        <f>""</f>
        <v/>
      </c>
      <c r="H2052" t="str">
        <f t="shared" si="43"/>
        <v>BCBS PAYABLE</v>
      </c>
    </row>
    <row r="2053" spans="5:8" x14ac:dyDescent="0.25">
      <c r="E2053" t="str">
        <f>""</f>
        <v/>
      </c>
      <c r="F2053" t="str">
        <f>""</f>
        <v/>
      </c>
      <c r="H2053" t="str">
        <f t="shared" si="43"/>
        <v>BCBS PAYABLE</v>
      </c>
    </row>
    <row r="2054" spans="5:8" x14ac:dyDescent="0.25">
      <c r="E2054" t="str">
        <f>""</f>
        <v/>
      </c>
      <c r="F2054" t="str">
        <f>""</f>
        <v/>
      </c>
      <c r="H2054" t="str">
        <f t="shared" si="43"/>
        <v>BCBS PAYABLE</v>
      </c>
    </row>
    <row r="2055" spans="5:8" x14ac:dyDescent="0.25">
      <c r="E2055" t="str">
        <f>""</f>
        <v/>
      </c>
      <c r="F2055" t="str">
        <f>""</f>
        <v/>
      </c>
      <c r="H2055" t="str">
        <f t="shared" si="43"/>
        <v>BCBS PAYABLE</v>
      </c>
    </row>
    <row r="2056" spans="5:8" x14ac:dyDescent="0.25">
      <c r="E2056" t="str">
        <f>""</f>
        <v/>
      </c>
      <c r="F2056" t="str">
        <f>""</f>
        <v/>
      </c>
      <c r="H2056" t="str">
        <f t="shared" si="43"/>
        <v>BCBS PAYABLE</v>
      </c>
    </row>
    <row r="2057" spans="5:8" x14ac:dyDescent="0.25">
      <c r="E2057" t="str">
        <f>""</f>
        <v/>
      </c>
      <c r="F2057" t="str">
        <f>""</f>
        <v/>
      </c>
      <c r="H2057" t="str">
        <f t="shared" si="43"/>
        <v>BCBS PAYABLE</v>
      </c>
    </row>
    <row r="2058" spans="5:8" x14ac:dyDescent="0.25">
      <c r="E2058" t="str">
        <f>""</f>
        <v/>
      </c>
      <c r="F2058" t="str">
        <f>""</f>
        <v/>
      </c>
      <c r="H2058" t="str">
        <f t="shared" si="43"/>
        <v>BCBS PAYABLE</v>
      </c>
    </row>
    <row r="2059" spans="5:8" x14ac:dyDescent="0.25">
      <c r="E2059" t="str">
        <f>""</f>
        <v/>
      </c>
      <c r="F2059" t="str">
        <f>""</f>
        <v/>
      </c>
      <c r="H2059" t="str">
        <f t="shared" si="43"/>
        <v>BCBS PAYABLE</v>
      </c>
    </row>
    <row r="2060" spans="5:8" x14ac:dyDescent="0.25">
      <c r="E2060" t="str">
        <f>""</f>
        <v/>
      </c>
      <c r="F2060" t="str">
        <f>""</f>
        <v/>
      </c>
      <c r="H2060" t="str">
        <f t="shared" si="43"/>
        <v>BCBS PAYABLE</v>
      </c>
    </row>
    <row r="2061" spans="5:8" x14ac:dyDescent="0.25">
      <c r="E2061" t="str">
        <f>""</f>
        <v/>
      </c>
      <c r="F2061" t="str">
        <f>""</f>
        <v/>
      </c>
      <c r="H2061" t="str">
        <f t="shared" si="43"/>
        <v>BCBS PAYABLE</v>
      </c>
    </row>
    <row r="2062" spans="5:8" x14ac:dyDescent="0.25">
      <c r="E2062" t="str">
        <f>""</f>
        <v/>
      </c>
      <c r="F2062" t="str">
        <f>""</f>
        <v/>
      </c>
      <c r="H2062" t="str">
        <f t="shared" si="43"/>
        <v>BCBS PAYABLE</v>
      </c>
    </row>
    <row r="2063" spans="5:8" x14ac:dyDescent="0.25">
      <c r="E2063" t="str">
        <f>""</f>
        <v/>
      </c>
      <c r="F2063" t="str">
        <f>""</f>
        <v/>
      </c>
      <c r="H2063" t="str">
        <f t="shared" si="43"/>
        <v>BCBS PAYABLE</v>
      </c>
    </row>
    <row r="2064" spans="5:8" x14ac:dyDescent="0.25">
      <c r="E2064" t="str">
        <f>""</f>
        <v/>
      </c>
      <c r="F2064" t="str">
        <f>""</f>
        <v/>
      </c>
      <c r="H2064" t="str">
        <f t="shared" si="43"/>
        <v>BCBS PAYABLE</v>
      </c>
    </row>
    <row r="2065" spans="5:8" x14ac:dyDescent="0.25">
      <c r="E2065" t="str">
        <f>""</f>
        <v/>
      </c>
      <c r="F2065" t="str">
        <f>""</f>
        <v/>
      </c>
      <c r="H2065" t="str">
        <f t="shared" si="43"/>
        <v>BCBS PAYABLE</v>
      </c>
    </row>
    <row r="2066" spans="5:8" x14ac:dyDescent="0.25">
      <c r="E2066" t="str">
        <f>""</f>
        <v/>
      </c>
      <c r="F2066" t="str">
        <f>""</f>
        <v/>
      </c>
      <c r="H2066" t="str">
        <f t="shared" si="43"/>
        <v>BCBS PAYABLE</v>
      </c>
    </row>
    <row r="2067" spans="5:8" x14ac:dyDescent="0.25">
      <c r="E2067" t="str">
        <f>""</f>
        <v/>
      </c>
      <c r="F2067" t="str">
        <f>""</f>
        <v/>
      </c>
      <c r="H2067" t="str">
        <f t="shared" si="43"/>
        <v>BCBS PAYABLE</v>
      </c>
    </row>
    <row r="2068" spans="5:8" x14ac:dyDescent="0.25">
      <c r="E2068" t="str">
        <f>""</f>
        <v/>
      </c>
      <c r="F2068" t="str">
        <f>""</f>
        <v/>
      </c>
      <c r="H2068" t="str">
        <f t="shared" si="43"/>
        <v>BCBS PAYABLE</v>
      </c>
    </row>
    <row r="2069" spans="5:8" x14ac:dyDescent="0.25">
      <c r="E2069" t="str">
        <f>""</f>
        <v/>
      </c>
      <c r="F2069" t="str">
        <f>""</f>
        <v/>
      </c>
      <c r="H2069" t="str">
        <f t="shared" si="43"/>
        <v>BCBS PAYABLE</v>
      </c>
    </row>
    <row r="2070" spans="5:8" x14ac:dyDescent="0.25">
      <c r="E2070" t="str">
        <f>""</f>
        <v/>
      </c>
      <c r="F2070" t="str">
        <f>""</f>
        <v/>
      </c>
      <c r="H2070" t="str">
        <f t="shared" si="43"/>
        <v>BCBS PAYABLE</v>
      </c>
    </row>
    <row r="2071" spans="5:8" x14ac:dyDescent="0.25">
      <c r="E2071" t="str">
        <f>""</f>
        <v/>
      </c>
      <c r="F2071" t="str">
        <f>""</f>
        <v/>
      </c>
      <c r="H2071" t="str">
        <f t="shared" si="43"/>
        <v>BCBS PAYABLE</v>
      </c>
    </row>
    <row r="2072" spans="5:8" x14ac:dyDescent="0.25">
      <c r="E2072" t="str">
        <f>""</f>
        <v/>
      </c>
      <c r="F2072" t="str">
        <f>""</f>
        <v/>
      </c>
      <c r="H2072" t="str">
        <f t="shared" si="43"/>
        <v>BCBS PAYABLE</v>
      </c>
    </row>
    <row r="2073" spans="5:8" x14ac:dyDescent="0.25">
      <c r="E2073" t="str">
        <f>""</f>
        <v/>
      </c>
      <c r="F2073" t="str">
        <f>""</f>
        <v/>
      </c>
      <c r="H2073" t="str">
        <f t="shared" si="43"/>
        <v>BCBS PAYABLE</v>
      </c>
    </row>
    <row r="2074" spans="5:8" x14ac:dyDescent="0.25">
      <c r="E2074" t="str">
        <f>""</f>
        <v/>
      </c>
      <c r="F2074" t="str">
        <f>""</f>
        <v/>
      </c>
      <c r="H2074" t="str">
        <f t="shared" si="43"/>
        <v>BCBS PAYABLE</v>
      </c>
    </row>
    <row r="2075" spans="5:8" x14ac:dyDescent="0.25">
      <c r="E2075" t="str">
        <f>""</f>
        <v/>
      </c>
      <c r="F2075" t="str">
        <f>""</f>
        <v/>
      </c>
      <c r="H2075" t="str">
        <f t="shared" si="43"/>
        <v>BCBS PAYABLE</v>
      </c>
    </row>
    <row r="2076" spans="5:8" x14ac:dyDescent="0.25">
      <c r="E2076" t="str">
        <f>"2EC202008198438"</f>
        <v>2EC202008198438</v>
      </c>
      <c r="F2076" t="str">
        <f>"BCBS PAYABLE"</f>
        <v>BCBS PAYABLE</v>
      </c>
      <c r="G2076" s="4">
        <v>1824.32</v>
      </c>
      <c r="H2076" t="str">
        <f t="shared" ref="H2076:H2107" si="44">"BCBS PAYABLE"</f>
        <v>BCBS PAYABLE</v>
      </c>
    </row>
    <row r="2077" spans="5:8" x14ac:dyDescent="0.25">
      <c r="E2077" t="str">
        <f>""</f>
        <v/>
      </c>
      <c r="F2077" t="str">
        <f>""</f>
        <v/>
      </c>
      <c r="H2077" t="str">
        <f t="shared" si="44"/>
        <v>BCBS PAYABLE</v>
      </c>
    </row>
    <row r="2078" spans="5:8" x14ac:dyDescent="0.25">
      <c r="E2078" t="str">
        <f>"2EF202008058198"</f>
        <v>2EF202008058198</v>
      </c>
      <c r="F2078" t="str">
        <f>"BCBS PAYABLE"</f>
        <v>BCBS PAYABLE</v>
      </c>
      <c r="G2078" s="4">
        <v>2718.27</v>
      </c>
      <c r="H2078" t="str">
        <f t="shared" si="44"/>
        <v>BCBS PAYABLE</v>
      </c>
    </row>
    <row r="2079" spans="5:8" x14ac:dyDescent="0.25">
      <c r="E2079" t="str">
        <f>""</f>
        <v/>
      </c>
      <c r="F2079" t="str">
        <f>""</f>
        <v/>
      </c>
      <c r="H2079" t="str">
        <f t="shared" si="44"/>
        <v>BCBS PAYABLE</v>
      </c>
    </row>
    <row r="2080" spans="5:8" x14ac:dyDescent="0.25">
      <c r="E2080" t="str">
        <f>""</f>
        <v/>
      </c>
      <c r="F2080" t="str">
        <f>""</f>
        <v/>
      </c>
      <c r="H2080" t="str">
        <f t="shared" si="44"/>
        <v>BCBS PAYABLE</v>
      </c>
    </row>
    <row r="2081" spans="5:8" x14ac:dyDescent="0.25">
      <c r="E2081" t="str">
        <f>"2EF202008198437"</f>
        <v>2EF202008198437</v>
      </c>
      <c r="F2081" t="str">
        <f>"BCBS PAYABLE"</f>
        <v>BCBS PAYABLE</v>
      </c>
      <c r="G2081" s="4">
        <v>2718.27</v>
      </c>
      <c r="H2081" t="str">
        <f t="shared" si="44"/>
        <v>BCBS PAYABLE</v>
      </c>
    </row>
    <row r="2082" spans="5:8" x14ac:dyDescent="0.25">
      <c r="E2082" t="str">
        <f>""</f>
        <v/>
      </c>
      <c r="F2082" t="str">
        <f>""</f>
        <v/>
      </c>
      <c r="H2082" t="str">
        <f t="shared" si="44"/>
        <v>BCBS PAYABLE</v>
      </c>
    </row>
    <row r="2083" spans="5:8" x14ac:dyDescent="0.25">
      <c r="E2083" t="str">
        <f>""</f>
        <v/>
      </c>
      <c r="F2083" t="str">
        <f>""</f>
        <v/>
      </c>
      <c r="H2083" t="str">
        <f t="shared" si="44"/>
        <v>BCBS PAYABLE</v>
      </c>
    </row>
    <row r="2084" spans="5:8" x14ac:dyDescent="0.25">
      <c r="E2084" t="str">
        <f>"2EO202008058198"</f>
        <v>2EO202008058198</v>
      </c>
      <c r="F2084" t="str">
        <f>"BCBS PAYABLE"</f>
        <v>BCBS PAYABLE</v>
      </c>
      <c r="G2084" s="4">
        <v>102219.04</v>
      </c>
      <c r="H2084" t="str">
        <f t="shared" si="44"/>
        <v>BCBS PAYABLE</v>
      </c>
    </row>
    <row r="2085" spans="5:8" x14ac:dyDescent="0.25">
      <c r="E2085" t="str">
        <f>""</f>
        <v/>
      </c>
      <c r="F2085" t="str">
        <f>""</f>
        <v/>
      </c>
      <c r="H2085" t="str">
        <f t="shared" si="44"/>
        <v>BCBS PAYABLE</v>
      </c>
    </row>
    <row r="2086" spans="5:8" x14ac:dyDescent="0.25">
      <c r="E2086" t="str">
        <f>""</f>
        <v/>
      </c>
      <c r="F2086" t="str">
        <f>""</f>
        <v/>
      </c>
      <c r="H2086" t="str">
        <f t="shared" si="44"/>
        <v>BCBS PAYABLE</v>
      </c>
    </row>
    <row r="2087" spans="5:8" x14ac:dyDescent="0.25">
      <c r="E2087" t="str">
        <f>""</f>
        <v/>
      </c>
      <c r="F2087" t="str">
        <f>""</f>
        <v/>
      </c>
      <c r="H2087" t="str">
        <f t="shared" si="44"/>
        <v>BCBS PAYABLE</v>
      </c>
    </row>
    <row r="2088" spans="5:8" x14ac:dyDescent="0.25">
      <c r="E2088" t="str">
        <f>""</f>
        <v/>
      </c>
      <c r="F2088" t="str">
        <f>""</f>
        <v/>
      </c>
      <c r="H2088" t="str">
        <f t="shared" si="44"/>
        <v>BCBS PAYABLE</v>
      </c>
    </row>
    <row r="2089" spans="5:8" x14ac:dyDescent="0.25">
      <c r="E2089" t="str">
        <f>""</f>
        <v/>
      </c>
      <c r="F2089" t="str">
        <f>""</f>
        <v/>
      </c>
      <c r="H2089" t="str">
        <f t="shared" si="44"/>
        <v>BCBS PAYABLE</v>
      </c>
    </row>
    <row r="2090" spans="5:8" x14ac:dyDescent="0.25">
      <c r="E2090" t="str">
        <f>""</f>
        <v/>
      </c>
      <c r="F2090" t="str">
        <f>""</f>
        <v/>
      </c>
      <c r="H2090" t="str">
        <f t="shared" si="44"/>
        <v>BCBS PAYABLE</v>
      </c>
    </row>
    <row r="2091" spans="5:8" x14ac:dyDescent="0.25">
      <c r="E2091" t="str">
        <f>""</f>
        <v/>
      </c>
      <c r="F2091" t="str">
        <f>""</f>
        <v/>
      </c>
      <c r="H2091" t="str">
        <f t="shared" si="44"/>
        <v>BCBS PAYABLE</v>
      </c>
    </row>
    <row r="2092" spans="5:8" x14ac:dyDescent="0.25">
      <c r="E2092" t="str">
        <f>""</f>
        <v/>
      </c>
      <c r="F2092" t="str">
        <f>""</f>
        <v/>
      </c>
      <c r="H2092" t="str">
        <f t="shared" si="44"/>
        <v>BCBS PAYABLE</v>
      </c>
    </row>
    <row r="2093" spans="5:8" x14ac:dyDescent="0.25">
      <c r="E2093" t="str">
        <f>""</f>
        <v/>
      </c>
      <c r="F2093" t="str">
        <f>""</f>
        <v/>
      </c>
      <c r="H2093" t="str">
        <f t="shared" si="44"/>
        <v>BCBS PAYABLE</v>
      </c>
    </row>
    <row r="2094" spans="5:8" x14ac:dyDescent="0.25">
      <c r="E2094" t="str">
        <f>""</f>
        <v/>
      </c>
      <c r="F2094" t="str">
        <f>""</f>
        <v/>
      </c>
      <c r="H2094" t="str">
        <f t="shared" si="44"/>
        <v>BCBS PAYABLE</v>
      </c>
    </row>
    <row r="2095" spans="5:8" x14ac:dyDescent="0.25">
      <c r="E2095" t="str">
        <f>""</f>
        <v/>
      </c>
      <c r="F2095" t="str">
        <f>""</f>
        <v/>
      </c>
      <c r="H2095" t="str">
        <f t="shared" si="44"/>
        <v>BCBS PAYABLE</v>
      </c>
    </row>
    <row r="2096" spans="5:8" x14ac:dyDescent="0.25">
      <c r="E2096" t="str">
        <f>""</f>
        <v/>
      </c>
      <c r="F2096" t="str">
        <f>""</f>
        <v/>
      </c>
      <c r="H2096" t="str">
        <f t="shared" si="44"/>
        <v>BCBS PAYABLE</v>
      </c>
    </row>
    <row r="2097" spans="5:8" x14ac:dyDescent="0.25">
      <c r="E2097" t="str">
        <f>""</f>
        <v/>
      </c>
      <c r="F2097" t="str">
        <f>""</f>
        <v/>
      </c>
      <c r="H2097" t="str">
        <f t="shared" si="44"/>
        <v>BCBS PAYABLE</v>
      </c>
    </row>
    <row r="2098" spans="5:8" x14ac:dyDescent="0.25">
      <c r="E2098" t="str">
        <f>""</f>
        <v/>
      </c>
      <c r="F2098" t="str">
        <f>""</f>
        <v/>
      </c>
      <c r="H2098" t="str">
        <f t="shared" si="44"/>
        <v>BCBS PAYABLE</v>
      </c>
    </row>
    <row r="2099" spans="5:8" x14ac:dyDescent="0.25">
      <c r="E2099" t="str">
        <f>""</f>
        <v/>
      </c>
      <c r="F2099" t="str">
        <f>""</f>
        <v/>
      </c>
      <c r="H2099" t="str">
        <f t="shared" si="44"/>
        <v>BCBS PAYABLE</v>
      </c>
    </row>
    <row r="2100" spans="5:8" x14ac:dyDescent="0.25">
      <c r="E2100" t="str">
        <f>""</f>
        <v/>
      </c>
      <c r="F2100" t="str">
        <f>""</f>
        <v/>
      </c>
      <c r="H2100" t="str">
        <f t="shared" si="44"/>
        <v>BCBS PAYABLE</v>
      </c>
    </row>
    <row r="2101" spans="5:8" x14ac:dyDescent="0.25">
      <c r="E2101" t="str">
        <f>""</f>
        <v/>
      </c>
      <c r="F2101" t="str">
        <f>""</f>
        <v/>
      </c>
      <c r="H2101" t="str">
        <f t="shared" si="44"/>
        <v>BCBS PAYABLE</v>
      </c>
    </row>
    <row r="2102" spans="5:8" x14ac:dyDescent="0.25">
      <c r="E2102" t="str">
        <f>""</f>
        <v/>
      </c>
      <c r="F2102" t="str">
        <f>""</f>
        <v/>
      </c>
      <c r="H2102" t="str">
        <f t="shared" si="44"/>
        <v>BCBS PAYABLE</v>
      </c>
    </row>
    <row r="2103" spans="5:8" x14ac:dyDescent="0.25">
      <c r="E2103" t="str">
        <f>""</f>
        <v/>
      </c>
      <c r="F2103" t="str">
        <f>""</f>
        <v/>
      </c>
      <c r="H2103" t="str">
        <f t="shared" si="44"/>
        <v>BCBS PAYABLE</v>
      </c>
    </row>
    <row r="2104" spans="5:8" x14ac:dyDescent="0.25">
      <c r="E2104" t="str">
        <f>""</f>
        <v/>
      </c>
      <c r="F2104" t="str">
        <f>""</f>
        <v/>
      </c>
      <c r="H2104" t="str">
        <f t="shared" si="44"/>
        <v>BCBS PAYABLE</v>
      </c>
    </row>
    <row r="2105" spans="5:8" x14ac:dyDescent="0.25">
      <c r="E2105" t="str">
        <f>""</f>
        <v/>
      </c>
      <c r="F2105" t="str">
        <f>""</f>
        <v/>
      </c>
      <c r="H2105" t="str">
        <f t="shared" si="44"/>
        <v>BCBS PAYABLE</v>
      </c>
    </row>
    <row r="2106" spans="5:8" x14ac:dyDescent="0.25">
      <c r="E2106" t="str">
        <f>""</f>
        <v/>
      </c>
      <c r="F2106" t="str">
        <f>""</f>
        <v/>
      </c>
      <c r="H2106" t="str">
        <f t="shared" si="44"/>
        <v>BCBS PAYABLE</v>
      </c>
    </row>
    <row r="2107" spans="5:8" x14ac:dyDescent="0.25">
      <c r="E2107" t="str">
        <f>""</f>
        <v/>
      </c>
      <c r="F2107" t="str">
        <f>""</f>
        <v/>
      </c>
      <c r="H2107" t="str">
        <f t="shared" si="44"/>
        <v>BCBS PAYABLE</v>
      </c>
    </row>
    <row r="2108" spans="5:8" x14ac:dyDescent="0.25">
      <c r="E2108" t="str">
        <f>""</f>
        <v/>
      </c>
      <c r="F2108" t="str">
        <f>""</f>
        <v/>
      </c>
      <c r="H2108" t="str">
        <f t="shared" ref="H2108:H2139" si="45">"BCBS PAYABLE"</f>
        <v>BCBS PAYABLE</v>
      </c>
    </row>
    <row r="2109" spans="5:8" x14ac:dyDescent="0.25">
      <c r="E2109" t="str">
        <f>""</f>
        <v/>
      </c>
      <c r="F2109" t="str">
        <f>""</f>
        <v/>
      </c>
      <c r="H2109" t="str">
        <f t="shared" si="45"/>
        <v>BCBS PAYABLE</v>
      </c>
    </row>
    <row r="2110" spans="5:8" x14ac:dyDescent="0.25">
      <c r="E2110" t="str">
        <f>""</f>
        <v/>
      </c>
      <c r="F2110" t="str">
        <f>""</f>
        <v/>
      </c>
      <c r="H2110" t="str">
        <f t="shared" si="45"/>
        <v>BCBS PAYABLE</v>
      </c>
    </row>
    <row r="2111" spans="5:8" x14ac:dyDescent="0.25">
      <c r="E2111" t="str">
        <f>""</f>
        <v/>
      </c>
      <c r="F2111" t="str">
        <f>""</f>
        <v/>
      </c>
      <c r="H2111" t="str">
        <f t="shared" si="45"/>
        <v>BCBS PAYABLE</v>
      </c>
    </row>
    <row r="2112" spans="5:8" x14ac:dyDescent="0.25">
      <c r="E2112" t="str">
        <f>""</f>
        <v/>
      </c>
      <c r="F2112" t="str">
        <f>""</f>
        <v/>
      </c>
      <c r="H2112" t="str">
        <f t="shared" si="45"/>
        <v>BCBS PAYABLE</v>
      </c>
    </row>
    <row r="2113" spans="5:8" x14ac:dyDescent="0.25">
      <c r="E2113" t="str">
        <f>""</f>
        <v/>
      </c>
      <c r="F2113" t="str">
        <f>""</f>
        <v/>
      </c>
      <c r="H2113" t="str">
        <f t="shared" si="45"/>
        <v>BCBS PAYABLE</v>
      </c>
    </row>
    <row r="2114" spans="5:8" x14ac:dyDescent="0.25">
      <c r="E2114" t="str">
        <f>""</f>
        <v/>
      </c>
      <c r="F2114" t="str">
        <f>""</f>
        <v/>
      </c>
      <c r="H2114" t="str">
        <f t="shared" si="45"/>
        <v>BCBS PAYABLE</v>
      </c>
    </row>
    <row r="2115" spans="5:8" x14ac:dyDescent="0.25">
      <c r="E2115" t="str">
        <f>""</f>
        <v/>
      </c>
      <c r="F2115" t="str">
        <f>""</f>
        <v/>
      </c>
      <c r="H2115" t="str">
        <f t="shared" si="45"/>
        <v>BCBS PAYABLE</v>
      </c>
    </row>
    <row r="2116" spans="5:8" x14ac:dyDescent="0.25">
      <c r="E2116" t="str">
        <f>""</f>
        <v/>
      </c>
      <c r="F2116" t="str">
        <f>""</f>
        <v/>
      </c>
      <c r="H2116" t="str">
        <f t="shared" si="45"/>
        <v>BCBS PAYABLE</v>
      </c>
    </row>
    <row r="2117" spans="5:8" x14ac:dyDescent="0.25">
      <c r="E2117" t="str">
        <f>""</f>
        <v/>
      </c>
      <c r="F2117" t="str">
        <f>""</f>
        <v/>
      </c>
      <c r="H2117" t="str">
        <f t="shared" si="45"/>
        <v>BCBS PAYABLE</v>
      </c>
    </row>
    <row r="2118" spans="5:8" x14ac:dyDescent="0.25">
      <c r="E2118" t="str">
        <f>""</f>
        <v/>
      </c>
      <c r="F2118" t="str">
        <f>""</f>
        <v/>
      </c>
      <c r="H2118" t="str">
        <f t="shared" si="45"/>
        <v>BCBS PAYABLE</v>
      </c>
    </row>
    <row r="2119" spans="5:8" x14ac:dyDescent="0.25">
      <c r="E2119" t="str">
        <f>""</f>
        <v/>
      </c>
      <c r="F2119" t="str">
        <f>""</f>
        <v/>
      </c>
      <c r="H2119" t="str">
        <f t="shared" si="45"/>
        <v>BCBS PAYABLE</v>
      </c>
    </row>
    <row r="2120" spans="5:8" x14ac:dyDescent="0.25">
      <c r="E2120" t="str">
        <f>""</f>
        <v/>
      </c>
      <c r="F2120" t="str">
        <f>""</f>
        <v/>
      </c>
      <c r="H2120" t="str">
        <f t="shared" si="45"/>
        <v>BCBS PAYABLE</v>
      </c>
    </row>
    <row r="2121" spans="5:8" x14ac:dyDescent="0.25">
      <c r="E2121" t="str">
        <f>""</f>
        <v/>
      </c>
      <c r="F2121" t="str">
        <f>""</f>
        <v/>
      </c>
      <c r="H2121" t="str">
        <f t="shared" si="45"/>
        <v>BCBS PAYABLE</v>
      </c>
    </row>
    <row r="2122" spans="5:8" x14ac:dyDescent="0.25">
      <c r="E2122" t="str">
        <f>""</f>
        <v/>
      </c>
      <c r="F2122" t="str">
        <f>""</f>
        <v/>
      </c>
      <c r="H2122" t="str">
        <f t="shared" si="45"/>
        <v>BCBS PAYABLE</v>
      </c>
    </row>
    <row r="2123" spans="5:8" x14ac:dyDescent="0.25">
      <c r="E2123" t="str">
        <f>""</f>
        <v/>
      </c>
      <c r="F2123" t="str">
        <f>""</f>
        <v/>
      </c>
      <c r="H2123" t="str">
        <f t="shared" si="45"/>
        <v>BCBS PAYABLE</v>
      </c>
    </row>
    <row r="2124" spans="5:8" x14ac:dyDescent="0.25">
      <c r="E2124" t="str">
        <f>""</f>
        <v/>
      </c>
      <c r="F2124" t="str">
        <f>""</f>
        <v/>
      </c>
      <c r="H2124" t="str">
        <f t="shared" si="45"/>
        <v>BCBS PAYABLE</v>
      </c>
    </row>
    <row r="2125" spans="5:8" x14ac:dyDescent="0.25">
      <c r="E2125" t="str">
        <f>""</f>
        <v/>
      </c>
      <c r="F2125" t="str">
        <f>""</f>
        <v/>
      </c>
      <c r="H2125" t="str">
        <f t="shared" si="45"/>
        <v>BCBS PAYABLE</v>
      </c>
    </row>
    <row r="2126" spans="5:8" x14ac:dyDescent="0.25">
      <c r="E2126" t="str">
        <f>""</f>
        <v/>
      </c>
      <c r="F2126" t="str">
        <f>""</f>
        <v/>
      </c>
      <c r="H2126" t="str">
        <f t="shared" si="45"/>
        <v>BCBS PAYABLE</v>
      </c>
    </row>
    <row r="2127" spans="5:8" x14ac:dyDescent="0.25">
      <c r="E2127" t="str">
        <f>""</f>
        <v/>
      </c>
      <c r="F2127" t="str">
        <f>""</f>
        <v/>
      </c>
      <c r="H2127" t="str">
        <f t="shared" si="45"/>
        <v>BCBS PAYABLE</v>
      </c>
    </row>
    <row r="2128" spans="5:8" x14ac:dyDescent="0.25">
      <c r="E2128" t="str">
        <f>""</f>
        <v/>
      </c>
      <c r="F2128" t="str">
        <f>""</f>
        <v/>
      </c>
      <c r="H2128" t="str">
        <f t="shared" si="45"/>
        <v>BCBS PAYABLE</v>
      </c>
    </row>
    <row r="2129" spans="5:8" x14ac:dyDescent="0.25">
      <c r="E2129" t="str">
        <f>""</f>
        <v/>
      </c>
      <c r="F2129" t="str">
        <f>""</f>
        <v/>
      </c>
      <c r="H2129" t="str">
        <f t="shared" si="45"/>
        <v>BCBS PAYABLE</v>
      </c>
    </row>
    <row r="2130" spans="5:8" x14ac:dyDescent="0.25">
      <c r="E2130" t="str">
        <f>""</f>
        <v/>
      </c>
      <c r="F2130" t="str">
        <f>""</f>
        <v/>
      </c>
      <c r="H2130" t="str">
        <f t="shared" si="45"/>
        <v>BCBS PAYABLE</v>
      </c>
    </row>
    <row r="2131" spans="5:8" x14ac:dyDescent="0.25">
      <c r="E2131" t="str">
        <f>""</f>
        <v/>
      </c>
      <c r="F2131" t="str">
        <f>""</f>
        <v/>
      </c>
      <c r="H2131" t="str">
        <f t="shared" si="45"/>
        <v>BCBS PAYABLE</v>
      </c>
    </row>
    <row r="2132" spans="5:8" x14ac:dyDescent="0.25">
      <c r="E2132" t="str">
        <f>"2EO202008058199"</f>
        <v>2EO202008058199</v>
      </c>
      <c r="F2132" t="str">
        <f>"BCBS PAYABLE"</f>
        <v>BCBS PAYABLE</v>
      </c>
      <c r="G2132" s="4">
        <v>4314.4399999999996</v>
      </c>
      <c r="H2132" t="str">
        <f t="shared" si="45"/>
        <v>BCBS PAYABLE</v>
      </c>
    </row>
    <row r="2133" spans="5:8" x14ac:dyDescent="0.25">
      <c r="E2133" t="str">
        <f>"2EO202008198437"</f>
        <v>2EO202008198437</v>
      </c>
      <c r="F2133" t="str">
        <f>"BCBS PAYABLE"</f>
        <v>BCBS PAYABLE</v>
      </c>
      <c r="G2133" s="4">
        <v>102550.92</v>
      </c>
      <c r="H2133" t="str">
        <f t="shared" si="45"/>
        <v>BCBS PAYABLE</v>
      </c>
    </row>
    <row r="2134" spans="5:8" x14ac:dyDescent="0.25">
      <c r="E2134" t="str">
        <f>""</f>
        <v/>
      </c>
      <c r="F2134" t="str">
        <f>""</f>
        <v/>
      </c>
      <c r="H2134" t="str">
        <f t="shared" si="45"/>
        <v>BCBS PAYABLE</v>
      </c>
    </row>
    <row r="2135" spans="5:8" x14ac:dyDescent="0.25">
      <c r="E2135" t="str">
        <f>""</f>
        <v/>
      </c>
      <c r="F2135" t="str">
        <f>""</f>
        <v/>
      </c>
      <c r="H2135" t="str">
        <f t="shared" si="45"/>
        <v>BCBS PAYABLE</v>
      </c>
    </row>
    <row r="2136" spans="5:8" x14ac:dyDescent="0.25">
      <c r="E2136" t="str">
        <f>""</f>
        <v/>
      </c>
      <c r="F2136" t="str">
        <f>""</f>
        <v/>
      </c>
      <c r="H2136" t="str">
        <f t="shared" si="45"/>
        <v>BCBS PAYABLE</v>
      </c>
    </row>
    <row r="2137" spans="5:8" x14ac:dyDescent="0.25">
      <c r="E2137" t="str">
        <f>""</f>
        <v/>
      </c>
      <c r="F2137" t="str">
        <f>""</f>
        <v/>
      </c>
      <c r="H2137" t="str">
        <f t="shared" si="45"/>
        <v>BCBS PAYABLE</v>
      </c>
    </row>
    <row r="2138" spans="5:8" x14ac:dyDescent="0.25">
      <c r="E2138" t="str">
        <f>""</f>
        <v/>
      </c>
      <c r="F2138" t="str">
        <f>""</f>
        <v/>
      </c>
      <c r="H2138" t="str">
        <f t="shared" si="45"/>
        <v>BCBS PAYABLE</v>
      </c>
    </row>
    <row r="2139" spans="5:8" x14ac:dyDescent="0.25">
      <c r="E2139" t="str">
        <f>""</f>
        <v/>
      </c>
      <c r="F2139" t="str">
        <f>""</f>
        <v/>
      </c>
      <c r="H2139" t="str">
        <f t="shared" si="45"/>
        <v>BCBS PAYABLE</v>
      </c>
    </row>
    <row r="2140" spans="5:8" x14ac:dyDescent="0.25">
      <c r="E2140" t="str">
        <f>""</f>
        <v/>
      </c>
      <c r="F2140" t="str">
        <f>""</f>
        <v/>
      </c>
      <c r="H2140" t="str">
        <f t="shared" ref="H2140:H2171" si="46">"BCBS PAYABLE"</f>
        <v>BCBS PAYABLE</v>
      </c>
    </row>
    <row r="2141" spans="5:8" x14ac:dyDescent="0.25">
      <c r="E2141" t="str">
        <f>""</f>
        <v/>
      </c>
      <c r="F2141" t="str">
        <f>""</f>
        <v/>
      </c>
      <c r="H2141" t="str">
        <f t="shared" si="46"/>
        <v>BCBS PAYABLE</v>
      </c>
    </row>
    <row r="2142" spans="5:8" x14ac:dyDescent="0.25">
      <c r="E2142" t="str">
        <f>""</f>
        <v/>
      </c>
      <c r="F2142" t="str">
        <f>""</f>
        <v/>
      </c>
      <c r="H2142" t="str">
        <f t="shared" si="46"/>
        <v>BCBS PAYABLE</v>
      </c>
    </row>
    <row r="2143" spans="5:8" x14ac:dyDescent="0.25">
      <c r="E2143" t="str">
        <f>""</f>
        <v/>
      </c>
      <c r="F2143" t="str">
        <f>""</f>
        <v/>
      </c>
      <c r="H2143" t="str">
        <f t="shared" si="46"/>
        <v>BCBS PAYABLE</v>
      </c>
    </row>
    <row r="2144" spans="5:8" x14ac:dyDescent="0.25">
      <c r="E2144" t="str">
        <f>""</f>
        <v/>
      </c>
      <c r="F2144" t="str">
        <f>""</f>
        <v/>
      </c>
      <c r="H2144" t="str">
        <f t="shared" si="46"/>
        <v>BCBS PAYABLE</v>
      </c>
    </row>
    <row r="2145" spans="5:8" x14ac:dyDescent="0.25">
      <c r="E2145" t="str">
        <f>""</f>
        <v/>
      </c>
      <c r="F2145" t="str">
        <f>""</f>
        <v/>
      </c>
      <c r="H2145" t="str">
        <f t="shared" si="46"/>
        <v>BCBS PAYABLE</v>
      </c>
    </row>
    <row r="2146" spans="5:8" x14ac:dyDescent="0.25">
      <c r="E2146" t="str">
        <f>""</f>
        <v/>
      </c>
      <c r="F2146" t="str">
        <f>""</f>
        <v/>
      </c>
      <c r="H2146" t="str">
        <f t="shared" si="46"/>
        <v>BCBS PAYABLE</v>
      </c>
    </row>
    <row r="2147" spans="5:8" x14ac:dyDescent="0.25">
      <c r="E2147" t="str">
        <f>""</f>
        <v/>
      </c>
      <c r="F2147" t="str">
        <f>""</f>
        <v/>
      </c>
      <c r="H2147" t="str">
        <f t="shared" si="46"/>
        <v>BCBS PAYABLE</v>
      </c>
    </row>
    <row r="2148" spans="5:8" x14ac:dyDescent="0.25">
      <c r="E2148" t="str">
        <f>""</f>
        <v/>
      </c>
      <c r="F2148" t="str">
        <f>""</f>
        <v/>
      </c>
      <c r="H2148" t="str">
        <f t="shared" si="46"/>
        <v>BCBS PAYABLE</v>
      </c>
    </row>
    <row r="2149" spans="5:8" x14ac:dyDescent="0.25">
      <c r="E2149" t="str">
        <f>""</f>
        <v/>
      </c>
      <c r="F2149" t="str">
        <f>""</f>
        <v/>
      </c>
      <c r="H2149" t="str">
        <f t="shared" si="46"/>
        <v>BCBS PAYABLE</v>
      </c>
    </row>
    <row r="2150" spans="5:8" x14ac:dyDescent="0.25">
      <c r="E2150" t="str">
        <f>""</f>
        <v/>
      </c>
      <c r="F2150" t="str">
        <f>""</f>
        <v/>
      </c>
      <c r="H2150" t="str">
        <f t="shared" si="46"/>
        <v>BCBS PAYABLE</v>
      </c>
    </row>
    <row r="2151" spans="5:8" x14ac:dyDescent="0.25">
      <c r="E2151" t="str">
        <f>""</f>
        <v/>
      </c>
      <c r="F2151" t="str">
        <f>""</f>
        <v/>
      </c>
      <c r="H2151" t="str">
        <f t="shared" si="46"/>
        <v>BCBS PAYABLE</v>
      </c>
    </row>
    <row r="2152" spans="5:8" x14ac:dyDescent="0.25">
      <c r="E2152" t="str">
        <f>""</f>
        <v/>
      </c>
      <c r="F2152" t="str">
        <f>""</f>
        <v/>
      </c>
      <c r="H2152" t="str">
        <f t="shared" si="46"/>
        <v>BCBS PAYABLE</v>
      </c>
    </row>
    <row r="2153" spans="5:8" x14ac:dyDescent="0.25">
      <c r="E2153" t="str">
        <f>""</f>
        <v/>
      </c>
      <c r="F2153" t="str">
        <f>""</f>
        <v/>
      </c>
      <c r="H2153" t="str">
        <f t="shared" si="46"/>
        <v>BCBS PAYABLE</v>
      </c>
    </row>
    <row r="2154" spans="5:8" x14ac:dyDescent="0.25">
      <c r="E2154" t="str">
        <f>""</f>
        <v/>
      </c>
      <c r="F2154" t="str">
        <f>""</f>
        <v/>
      </c>
      <c r="H2154" t="str">
        <f t="shared" si="46"/>
        <v>BCBS PAYABLE</v>
      </c>
    </row>
    <row r="2155" spans="5:8" x14ac:dyDescent="0.25">
      <c r="E2155" t="str">
        <f>""</f>
        <v/>
      </c>
      <c r="F2155" t="str">
        <f>""</f>
        <v/>
      </c>
      <c r="H2155" t="str">
        <f t="shared" si="46"/>
        <v>BCBS PAYABLE</v>
      </c>
    </row>
    <row r="2156" spans="5:8" x14ac:dyDescent="0.25">
      <c r="E2156" t="str">
        <f>""</f>
        <v/>
      </c>
      <c r="F2156" t="str">
        <f>""</f>
        <v/>
      </c>
      <c r="H2156" t="str">
        <f t="shared" si="46"/>
        <v>BCBS PAYABLE</v>
      </c>
    </row>
    <row r="2157" spans="5:8" x14ac:dyDescent="0.25">
      <c r="E2157" t="str">
        <f>""</f>
        <v/>
      </c>
      <c r="F2157" t="str">
        <f>""</f>
        <v/>
      </c>
      <c r="H2157" t="str">
        <f t="shared" si="46"/>
        <v>BCBS PAYABLE</v>
      </c>
    </row>
    <row r="2158" spans="5:8" x14ac:dyDescent="0.25">
      <c r="E2158" t="str">
        <f>""</f>
        <v/>
      </c>
      <c r="F2158" t="str">
        <f>""</f>
        <v/>
      </c>
      <c r="H2158" t="str">
        <f t="shared" si="46"/>
        <v>BCBS PAYABLE</v>
      </c>
    </row>
    <row r="2159" spans="5:8" x14ac:dyDescent="0.25">
      <c r="E2159" t="str">
        <f>""</f>
        <v/>
      </c>
      <c r="F2159" t="str">
        <f>""</f>
        <v/>
      </c>
      <c r="H2159" t="str">
        <f t="shared" si="46"/>
        <v>BCBS PAYABLE</v>
      </c>
    </row>
    <row r="2160" spans="5:8" x14ac:dyDescent="0.25">
      <c r="E2160" t="str">
        <f>""</f>
        <v/>
      </c>
      <c r="F2160" t="str">
        <f>""</f>
        <v/>
      </c>
      <c r="H2160" t="str">
        <f t="shared" si="46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46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46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46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46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46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46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46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46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46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46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46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ref="H2172:H2203" si="47">"BCBS PAYABLE"</f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47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47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47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47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47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47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47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47"/>
        <v>BCBS PAYABLE</v>
      </c>
    </row>
    <row r="2181" spans="5:8" x14ac:dyDescent="0.25">
      <c r="E2181" t="str">
        <f>"2EO202008198438"</f>
        <v>2EO202008198438</v>
      </c>
      <c r="F2181" t="str">
        <f>"BCBS PAYABLE"</f>
        <v>BCBS PAYABLE</v>
      </c>
      <c r="G2181" s="4">
        <v>4314.4399999999996</v>
      </c>
      <c r="H2181" t="str">
        <f t="shared" si="47"/>
        <v>BCBS PAYABLE</v>
      </c>
    </row>
    <row r="2182" spans="5:8" x14ac:dyDescent="0.25">
      <c r="E2182" t="str">
        <f>"2ES202008058198"</f>
        <v>2ES202008058198</v>
      </c>
      <c r="F2182" t="str">
        <f>"BCBS PAYABLE"</f>
        <v>BCBS PAYABLE</v>
      </c>
      <c r="G2182" s="4">
        <v>14778.4</v>
      </c>
      <c r="H2182" t="str">
        <f t="shared" si="47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47"/>
        <v>BCBS PAYABLE</v>
      </c>
    </row>
    <row r="2184" spans="5:8" x14ac:dyDescent="0.25">
      <c r="E2184" t="str">
        <f>""</f>
        <v/>
      </c>
      <c r="F2184" t="str">
        <f>""</f>
        <v/>
      </c>
      <c r="H2184" t="str">
        <f t="shared" si="47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47"/>
        <v>BCBS PAYABLE</v>
      </c>
    </row>
    <row r="2186" spans="5:8" x14ac:dyDescent="0.25">
      <c r="E2186" t="str">
        <f>""</f>
        <v/>
      </c>
      <c r="F2186" t="str">
        <f>""</f>
        <v/>
      </c>
      <c r="H2186" t="str">
        <f t="shared" si="47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47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47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47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47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47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47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47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47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47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47"/>
        <v>BCBS PAYABLE</v>
      </c>
    </row>
    <row r="2197" spans="5:8" x14ac:dyDescent="0.25">
      <c r="E2197" t="str">
        <f>"2ES202008198437"</f>
        <v>2ES202008198437</v>
      </c>
      <c r="F2197" t="str">
        <f>"BCBS PAYABLE"</f>
        <v>BCBS PAYABLE</v>
      </c>
      <c r="G2197" s="4">
        <v>14778.4</v>
      </c>
      <c r="H2197" t="str">
        <f t="shared" si="47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47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47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47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47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47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47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ref="H2204:H2211" si="48">"BCBS PAYABLE"</f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48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48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48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48"/>
        <v>BCBS PAYABLE</v>
      </c>
    </row>
    <row r="2209" spans="1:8" x14ac:dyDescent="0.25">
      <c r="E2209" t="str">
        <f>""</f>
        <v/>
      </c>
      <c r="F2209" t="str">
        <f>""</f>
        <v/>
      </c>
      <c r="H2209" t="str">
        <f t="shared" si="48"/>
        <v>BCBS PAYABLE</v>
      </c>
    </row>
    <row r="2210" spans="1:8" x14ac:dyDescent="0.25">
      <c r="E2210" t="str">
        <f>""</f>
        <v/>
      </c>
      <c r="F2210" t="str">
        <f>""</f>
        <v/>
      </c>
      <c r="H2210" t="str">
        <f t="shared" si="48"/>
        <v>BCBS PAYABLE</v>
      </c>
    </row>
    <row r="2211" spans="1:8" x14ac:dyDescent="0.25">
      <c r="E2211" t="str">
        <f>""</f>
        <v/>
      </c>
      <c r="F2211" t="str">
        <f>""</f>
        <v/>
      </c>
      <c r="H2211" t="str">
        <f t="shared" si="48"/>
        <v>BCBS PAYABLE</v>
      </c>
    </row>
    <row r="2212" spans="1:8" x14ac:dyDescent="0.25">
      <c r="A2212" t="s">
        <v>294</v>
      </c>
      <c r="B2212">
        <v>652</v>
      </c>
      <c r="C2212">
        <v>9741.43</v>
      </c>
      <c r="D2212" s="1">
        <v>44050</v>
      </c>
      <c r="E2212" t="str">
        <f>"FSA202008058198"</f>
        <v>FSA202008058198</v>
      </c>
      <c r="F2212" t="str">
        <f>"TASC FSA"</f>
        <v>TASC FSA</v>
      </c>
      <c r="G2212" s="4">
        <v>7612.98</v>
      </c>
      <c r="H2212" t="str">
        <f>"TASC FSA"</f>
        <v>TASC FSA</v>
      </c>
    </row>
    <row r="2213" spans="1:8" x14ac:dyDescent="0.25">
      <c r="E2213" t="str">
        <f>"FSA202008058199"</f>
        <v>FSA202008058199</v>
      </c>
      <c r="F2213" t="str">
        <f>"TASC FSA"</f>
        <v>TASC FSA</v>
      </c>
      <c r="G2213" s="4">
        <v>445.4</v>
      </c>
      <c r="H2213" t="str">
        <f>"TASC FSA"</f>
        <v>TASC FSA</v>
      </c>
    </row>
    <row r="2214" spans="1:8" x14ac:dyDescent="0.25">
      <c r="E2214" t="str">
        <f>"FSC202008058198"</f>
        <v>FSC202008058198</v>
      </c>
      <c r="F2214" t="str">
        <f>"TASC DEPENDENT CARE"</f>
        <v>TASC DEPENDENT CARE</v>
      </c>
      <c r="G2214" s="4">
        <v>345.83</v>
      </c>
      <c r="H2214" t="str">
        <f>"TASC DEPENDENT CARE"</f>
        <v>TASC DEPENDENT CARE</v>
      </c>
    </row>
    <row r="2215" spans="1:8" x14ac:dyDescent="0.25">
      <c r="E2215" t="str">
        <f>"FSF202008058198"</f>
        <v>FSF202008058198</v>
      </c>
      <c r="F2215" t="str">
        <f>"TASC - FSA  FEES"</f>
        <v>TASC - FSA  FEES</v>
      </c>
      <c r="G2215" s="4">
        <v>248.4</v>
      </c>
      <c r="H2215" t="str">
        <f t="shared" ref="H2215:H2255" si="49">"TASC - FSA  FEES"</f>
        <v>TASC - FSA  FEES</v>
      </c>
    </row>
    <row r="2216" spans="1:8" x14ac:dyDescent="0.25">
      <c r="E2216" t="str">
        <f>""</f>
        <v/>
      </c>
      <c r="F2216" t="str">
        <f>""</f>
        <v/>
      </c>
      <c r="H2216" t="str">
        <f t="shared" si="49"/>
        <v>TASC - FSA  FEES</v>
      </c>
    </row>
    <row r="2217" spans="1:8" x14ac:dyDescent="0.25">
      <c r="E2217" t="str">
        <f>""</f>
        <v/>
      </c>
      <c r="F2217" t="str">
        <f>""</f>
        <v/>
      </c>
      <c r="H2217" t="str">
        <f t="shared" si="49"/>
        <v>TASC - FSA  FEES</v>
      </c>
    </row>
    <row r="2218" spans="1:8" x14ac:dyDescent="0.25">
      <c r="E2218" t="str">
        <f>""</f>
        <v/>
      </c>
      <c r="F2218" t="str">
        <f>""</f>
        <v/>
      </c>
      <c r="H2218" t="str">
        <f t="shared" si="49"/>
        <v>TASC - FSA  FEES</v>
      </c>
    </row>
    <row r="2219" spans="1:8" x14ac:dyDescent="0.25">
      <c r="E2219" t="str">
        <f>""</f>
        <v/>
      </c>
      <c r="F2219" t="str">
        <f>""</f>
        <v/>
      </c>
      <c r="H2219" t="str">
        <f t="shared" si="49"/>
        <v>TASC - FSA  FEES</v>
      </c>
    </row>
    <row r="2220" spans="1:8" x14ac:dyDescent="0.25">
      <c r="E2220" t="str">
        <f>""</f>
        <v/>
      </c>
      <c r="F2220" t="str">
        <f>""</f>
        <v/>
      </c>
      <c r="H2220" t="str">
        <f t="shared" si="49"/>
        <v>TASC - FSA  FEES</v>
      </c>
    </row>
    <row r="2221" spans="1:8" x14ac:dyDescent="0.25">
      <c r="E2221" t="str">
        <f>""</f>
        <v/>
      </c>
      <c r="F2221" t="str">
        <f>""</f>
        <v/>
      </c>
      <c r="H2221" t="str">
        <f t="shared" si="49"/>
        <v>TASC - FSA  FEES</v>
      </c>
    </row>
    <row r="2222" spans="1:8" x14ac:dyDescent="0.25">
      <c r="E2222" t="str">
        <f>""</f>
        <v/>
      </c>
      <c r="F2222" t="str">
        <f>""</f>
        <v/>
      </c>
      <c r="H2222" t="str">
        <f t="shared" si="49"/>
        <v>TASC - FSA  FEES</v>
      </c>
    </row>
    <row r="2223" spans="1:8" x14ac:dyDescent="0.25">
      <c r="E2223" t="str">
        <f>""</f>
        <v/>
      </c>
      <c r="F2223" t="str">
        <f>""</f>
        <v/>
      </c>
      <c r="H2223" t="str">
        <f t="shared" si="49"/>
        <v>TASC - FSA  FEES</v>
      </c>
    </row>
    <row r="2224" spans="1:8" x14ac:dyDescent="0.25">
      <c r="E2224" t="str">
        <f>""</f>
        <v/>
      </c>
      <c r="F2224" t="str">
        <f>""</f>
        <v/>
      </c>
      <c r="H2224" t="str">
        <f t="shared" si="49"/>
        <v>TASC - FSA  FEES</v>
      </c>
    </row>
    <row r="2225" spans="5:8" x14ac:dyDescent="0.25">
      <c r="E2225" t="str">
        <f>""</f>
        <v/>
      </c>
      <c r="F2225" t="str">
        <f>""</f>
        <v/>
      </c>
      <c r="H2225" t="str">
        <f t="shared" si="49"/>
        <v>TASC - FSA  FEES</v>
      </c>
    </row>
    <row r="2226" spans="5:8" x14ac:dyDescent="0.25">
      <c r="E2226" t="str">
        <f>""</f>
        <v/>
      </c>
      <c r="F2226" t="str">
        <f>""</f>
        <v/>
      </c>
      <c r="H2226" t="str">
        <f t="shared" si="49"/>
        <v>TASC - FSA  FEES</v>
      </c>
    </row>
    <row r="2227" spans="5:8" x14ac:dyDescent="0.25">
      <c r="E2227" t="str">
        <f>""</f>
        <v/>
      </c>
      <c r="F2227" t="str">
        <f>""</f>
        <v/>
      </c>
      <c r="H2227" t="str">
        <f t="shared" si="49"/>
        <v>TASC - FSA  FEES</v>
      </c>
    </row>
    <row r="2228" spans="5:8" x14ac:dyDescent="0.25">
      <c r="E2228" t="str">
        <f>""</f>
        <v/>
      </c>
      <c r="F2228" t="str">
        <f>""</f>
        <v/>
      </c>
      <c r="H2228" t="str">
        <f t="shared" si="49"/>
        <v>TASC - FSA  FEES</v>
      </c>
    </row>
    <row r="2229" spans="5:8" x14ac:dyDescent="0.25">
      <c r="E2229" t="str">
        <f>""</f>
        <v/>
      </c>
      <c r="F2229" t="str">
        <f>""</f>
        <v/>
      </c>
      <c r="H2229" t="str">
        <f t="shared" si="49"/>
        <v>TASC - FSA  FEES</v>
      </c>
    </row>
    <row r="2230" spans="5:8" x14ac:dyDescent="0.25">
      <c r="E2230" t="str">
        <f>""</f>
        <v/>
      </c>
      <c r="F2230" t="str">
        <f>""</f>
        <v/>
      </c>
      <c r="H2230" t="str">
        <f t="shared" si="49"/>
        <v>TASC - FSA  FEES</v>
      </c>
    </row>
    <row r="2231" spans="5:8" x14ac:dyDescent="0.25">
      <c r="E2231" t="str">
        <f>""</f>
        <v/>
      </c>
      <c r="F2231" t="str">
        <f>""</f>
        <v/>
      </c>
      <c r="H2231" t="str">
        <f t="shared" si="49"/>
        <v>TASC - FSA  FEES</v>
      </c>
    </row>
    <row r="2232" spans="5:8" x14ac:dyDescent="0.25">
      <c r="E2232" t="str">
        <f>""</f>
        <v/>
      </c>
      <c r="F2232" t="str">
        <f>""</f>
        <v/>
      </c>
      <c r="H2232" t="str">
        <f t="shared" si="49"/>
        <v>TASC - FSA  FEES</v>
      </c>
    </row>
    <row r="2233" spans="5:8" x14ac:dyDescent="0.25">
      <c r="E2233" t="str">
        <f>""</f>
        <v/>
      </c>
      <c r="F2233" t="str">
        <f>""</f>
        <v/>
      </c>
      <c r="H2233" t="str">
        <f t="shared" si="49"/>
        <v>TASC - FSA  FEES</v>
      </c>
    </row>
    <row r="2234" spans="5:8" x14ac:dyDescent="0.25">
      <c r="E2234" t="str">
        <f>""</f>
        <v/>
      </c>
      <c r="F2234" t="str">
        <f>""</f>
        <v/>
      </c>
      <c r="H2234" t="str">
        <f t="shared" si="49"/>
        <v>TASC - FSA  FEES</v>
      </c>
    </row>
    <row r="2235" spans="5:8" x14ac:dyDescent="0.25">
      <c r="E2235" t="str">
        <f>""</f>
        <v/>
      </c>
      <c r="F2235" t="str">
        <f>""</f>
        <v/>
      </c>
      <c r="H2235" t="str">
        <f t="shared" si="49"/>
        <v>TASC - FSA  FEES</v>
      </c>
    </row>
    <row r="2236" spans="5:8" x14ac:dyDescent="0.25">
      <c r="E2236" t="str">
        <f>""</f>
        <v/>
      </c>
      <c r="F2236" t="str">
        <f>""</f>
        <v/>
      </c>
      <c r="H2236" t="str">
        <f t="shared" si="49"/>
        <v>TASC - FSA  FEES</v>
      </c>
    </row>
    <row r="2237" spans="5:8" x14ac:dyDescent="0.25">
      <c r="E2237" t="str">
        <f>""</f>
        <v/>
      </c>
      <c r="F2237" t="str">
        <f>""</f>
        <v/>
      </c>
      <c r="H2237" t="str">
        <f t="shared" si="49"/>
        <v>TASC - FSA  FEES</v>
      </c>
    </row>
    <row r="2238" spans="5:8" x14ac:dyDescent="0.25">
      <c r="E2238" t="str">
        <f>""</f>
        <v/>
      </c>
      <c r="F2238" t="str">
        <f>""</f>
        <v/>
      </c>
      <c r="H2238" t="str">
        <f t="shared" si="49"/>
        <v>TASC - FSA  FEES</v>
      </c>
    </row>
    <row r="2239" spans="5:8" x14ac:dyDescent="0.25">
      <c r="E2239" t="str">
        <f>""</f>
        <v/>
      </c>
      <c r="F2239" t="str">
        <f>""</f>
        <v/>
      </c>
      <c r="H2239" t="str">
        <f t="shared" si="49"/>
        <v>TASC - FSA  FEES</v>
      </c>
    </row>
    <row r="2240" spans="5:8" x14ac:dyDescent="0.25">
      <c r="E2240" t="str">
        <f>""</f>
        <v/>
      </c>
      <c r="F2240" t="str">
        <f>""</f>
        <v/>
      </c>
      <c r="H2240" t="str">
        <f t="shared" si="49"/>
        <v>TASC - FSA  FEES</v>
      </c>
    </row>
    <row r="2241" spans="5:8" x14ac:dyDescent="0.25">
      <c r="E2241" t="str">
        <f>""</f>
        <v/>
      </c>
      <c r="F2241" t="str">
        <f>""</f>
        <v/>
      </c>
      <c r="H2241" t="str">
        <f t="shared" si="49"/>
        <v>TASC - FSA  FEES</v>
      </c>
    </row>
    <row r="2242" spans="5:8" x14ac:dyDescent="0.25">
      <c r="E2242" t="str">
        <f>""</f>
        <v/>
      </c>
      <c r="F2242" t="str">
        <f>""</f>
        <v/>
      </c>
      <c r="H2242" t="str">
        <f t="shared" si="49"/>
        <v>TASC - FSA  FEES</v>
      </c>
    </row>
    <row r="2243" spans="5:8" x14ac:dyDescent="0.25">
      <c r="E2243" t="str">
        <f>""</f>
        <v/>
      </c>
      <c r="F2243" t="str">
        <f>""</f>
        <v/>
      </c>
      <c r="H2243" t="str">
        <f t="shared" si="49"/>
        <v>TASC - FSA  FEES</v>
      </c>
    </row>
    <row r="2244" spans="5:8" x14ac:dyDescent="0.25">
      <c r="E2244" t="str">
        <f>""</f>
        <v/>
      </c>
      <c r="F2244" t="str">
        <f>""</f>
        <v/>
      </c>
      <c r="H2244" t="str">
        <f t="shared" si="49"/>
        <v>TASC - FSA  FEES</v>
      </c>
    </row>
    <row r="2245" spans="5:8" x14ac:dyDescent="0.25">
      <c r="E2245" t="str">
        <f>""</f>
        <v/>
      </c>
      <c r="F2245" t="str">
        <f>""</f>
        <v/>
      </c>
      <c r="H2245" t="str">
        <f t="shared" si="49"/>
        <v>TASC - FSA  FEES</v>
      </c>
    </row>
    <row r="2246" spans="5:8" x14ac:dyDescent="0.25">
      <c r="E2246" t="str">
        <f>""</f>
        <v/>
      </c>
      <c r="F2246" t="str">
        <f>""</f>
        <v/>
      </c>
      <c r="H2246" t="str">
        <f t="shared" si="49"/>
        <v>TASC - FSA  FEES</v>
      </c>
    </row>
    <row r="2247" spans="5:8" x14ac:dyDescent="0.25">
      <c r="E2247" t="str">
        <f>""</f>
        <v/>
      </c>
      <c r="F2247" t="str">
        <f>""</f>
        <v/>
      </c>
      <c r="H2247" t="str">
        <f t="shared" si="49"/>
        <v>TASC - FSA  FEES</v>
      </c>
    </row>
    <row r="2248" spans="5:8" x14ac:dyDescent="0.25">
      <c r="E2248" t="str">
        <f>""</f>
        <v/>
      </c>
      <c r="F2248" t="str">
        <f>""</f>
        <v/>
      </c>
      <c r="H2248" t="str">
        <f t="shared" si="49"/>
        <v>TASC - FSA  FEES</v>
      </c>
    </row>
    <row r="2249" spans="5:8" x14ac:dyDescent="0.25">
      <c r="E2249" t="str">
        <f>""</f>
        <v/>
      </c>
      <c r="F2249" t="str">
        <f>""</f>
        <v/>
      </c>
      <c r="H2249" t="str">
        <f t="shared" si="49"/>
        <v>TASC - FSA  FEES</v>
      </c>
    </row>
    <row r="2250" spans="5:8" x14ac:dyDescent="0.25">
      <c r="E2250" t="str">
        <f>""</f>
        <v/>
      </c>
      <c r="F2250" t="str">
        <f>""</f>
        <v/>
      </c>
      <c r="H2250" t="str">
        <f t="shared" si="49"/>
        <v>TASC - FSA  FEES</v>
      </c>
    </row>
    <row r="2251" spans="5:8" x14ac:dyDescent="0.25">
      <c r="E2251" t="str">
        <f>""</f>
        <v/>
      </c>
      <c r="F2251" t="str">
        <f>""</f>
        <v/>
      </c>
      <c r="H2251" t="str">
        <f t="shared" si="49"/>
        <v>TASC - FSA  FEES</v>
      </c>
    </row>
    <row r="2252" spans="5:8" x14ac:dyDescent="0.25">
      <c r="E2252" t="str">
        <f>""</f>
        <v/>
      </c>
      <c r="F2252" t="str">
        <f>""</f>
        <v/>
      </c>
      <c r="H2252" t="str">
        <f t="shared" si="49"/>
        <v>TASC - FSA  FEES</v>
      </c>
    </row>
    <row r="2253" spans="5:8" x14ac:dyDescent="0.25">
      <c r="E2253" t="str">
        <f>""</f>
        <v/>
      </c>
      <c r="F2253" t="str">
        <f>""</f>
        <v/>
      </c>
      <c r="H2253" t="str">
        <f t="shared" si="49"/>
        <v>TASC - FSA  FEES</v>
      </c>
    </row>
    <row r="2254" spans="5:8" x14ac:dyDescent="0.25">
      <c r="E2254" t="str">
        <f>""</f>
        <v/>
      </c>
      <c r="F2254" t="str">
        <f>""</f>
        <v/>
      </c>
      <c r="H2254" t="str">
        <f t="shared" si="49"/>
        <v>TASC - FSA  FEES</v>
      </c>
    </row>
    <row r="2255" spans="5:8" x14ac:dyDescent="0.25">
      <c r="E2255" t="str">
        <f>"FSF202008058199"</f>
        <v>FSF202008058199</v>
      </c>
      <c r="F2255" t="str">
        <f>"TASC - FSA  FEES"</f>
        <v>TASC - FSA  FEES</v>
      </c>
      <c r="G2255" s="4">
        <v>12.6</v>
      </c>
      <c r="H2255" t="str">
        <f t="shared" si="49"/>
        <v>TASC - FSA  FEES</v>
      </c>
    </row>
    <row r="2256" spans="5:8" x14ac:dyDescent="0.25">
      <c r="E2256" t="str">
        <f>"HRA202008058198"</f>
        <v>HRA202008058198</v>
      </c>
      <c r="F2256" t="str">
        <f>"TASC HRA"</f>
        <v>TASC HRA</v>
      </c>
      <c r="G2256" s="4">
        <v>250.02</v>
      </c>
      <c r="H2256" t="str">
        <f>"TASC HRA"</f>
        <v>TASC HRA</v>
      </c>
    </row>
    <row r="2257" spans="5:8" x14ac:dyDescent="0.25">
      <c r="E2257" t="str">
        <f>""</f>
        <v/>
      </c>
      <c r="F2257" t="str">
        <f>""</f>
        <v/>
      </c>
      <c r="H2257" t="str">
        <f>"TASC HRA"</f>
        <v>TASC HRA</v>
      </c>
    </row>
    <row r="2258" spans="5:8" x14ac:dyDescent="0.25">
      <c r="E2258" t="str">
        <f>""</f>
        <v/>
      </c>
      <c r="F2258" t="str">
        <f>""</f>
        <v/>
      </c>
      <c r="H2258" t="str">
        <f>"TASC HRA"</f>
        <v>TASC HRA</v>
      </c>
    </row>
    <row r="2259" spans="5:8" x14ac:dyDescent="0.25">
      <c r="E2259" t="str">
        <f>""</f>
        <v/>
      </c>
      <c r="F2259" t="str">
        <f>""</f>
        <v/>
      </c>
      <c r="H2259" t="str">
        <f>"TASC HRA"</f>
        <v>TASC HRA</v>
      </c>
    </row>
    <row r="2260" spans="5:8" x14ac:dyDescent="0.25">
      <c r="E2260" t="str">
        <f>"HRF202008058198"</f>
        <v>HRF202008058198</v>
      </c>
      <c r="F2260" t="str">
        <f>"TASC - HRA FEES"</f>
        <v>TASC - HRA FEES</v>
      </c>
      <c r="G2260" s="4">
        <v>795.6</v>
      </c>
      <c r="H2260" t="str">
        <f t="shared" ref="H2260:H2291" si="50">"TASC - HRA FEES"</f>
        <v>TASC - HRA FEES</v>
      </c>
    </row>
    <row r="2261" spans="5:8" x14ac:dyDescent="0.25">
      <c r="E2261" t="str">
        <f>""</f>
        <v/>
      </c>
      <c r="F2261" t="str">
        <f>""</f>
        <v/>
      </c>
      <c r="H2261" t="str">
        <f t="shared" si="50"/>
        <v>TASC - HRA FEES</v>
      </c>
    </row>
    <row r="2262" spans="5:8" x14ac:dyDescent="0.25">
      <c r="E2262" t="str">
        <f>""</f>
        <v/>
      </c>
      <c r="F2262" t="str">
        <f>""</f>
        <v/>
      </c>
      <c r="H2262" t="str">
        <f t="shared" si="50"/>
        <v>TASC - HRA FEES</v>
      </c>
    </row>
    <row r="2263" spans="5:8" x14ac:dyDescent="0.25">
      <c r="E2263" t="str">
        <f>""</f>
        <v/>
      </c>
      <c r="F2263" t="str">
        <f>""</f>
        <v/>
      </c>
      <c r="H2263" t="str">
        <f t="shared" si="50"/>
        <v>TASC - HRA FEES</v>
      </c>
    </row>
    <row r="2264" spans="5:8" x14ac:dyDescent="0.25">
      <c r="E2264" t="str">
        <f>""</f>
        <v/>
      </c>
      <c r="F2264" t="str">
        <f>""</f>
        <v/>
      </c>
      <c r="H2264" t="str">
        <f t="shared" si="50"/>
        <v>TASC - HRA FEES</v>
      </c>
    </row>
    <row r="2265" spans="5:8" x14ac:dyDescent="0.25">
      <c r="E2265" t="str">
        <f>""</f>
        <v/>
      </c>
      <c r="F2265" t="str">
        <f>""</f>
        <v/>
      </c>
      <c r="H2265" t="str">
        <f t="shared" si="50"/>
        <v>TASC - HRA FEES</v>
      </c>
    </row>
    <row r="2266" spans="5:8" x14ac:dyDescent="0.25">
      <c r="E2266" t="str">
        <f>""</f>
        <v/>
      </c>
      <c r="F2266" t="str">
        <f>""</f>
        <v/>
      </c>
      <c r="H2266" t="str">
        <f t="shared" si="50"/>
        <v>TASC - HRA FEES</v>
      </c>
    </row>
    <row r="2267" spans="5:8" x14ac:dyDescent="0.25">
      <c r="E2267" t="str">
        <f>""</f>
        <v/>
      </c>
      <c r="F2267" t="str">
        <f>""</f>
        <v/>
      </c>
      <c r="H2267" t="str">
        <f t="shared" si="50"/>
        <v>TASC - HRA FEES</v>
      </c>
    </row>
    <row r="2268" spans="5:8" x14ac:dyDescent="0.25">
      <c r="E2268" t="str">
        <f>""</f>
        <v/>
      </c>
      <c r="F2268" t="str">
        <f>""</f>
        <v/>
      </c>
      <c r="H2268" t="str">
        <f t="shared" si="50"/>
        <v>TASC - HRA FEES</v>
      </c>
    </row>
    <row r="2269" spans="5:8" x14ac:dyDescent="0.25">
      <c r="E2269" t="str">
        <f>""</f>
        <v/>
      </c>
      <c r="F2269" t="str">
        <f>""</f>
        <v/>
      </c>
      <c r="H2269" t="str">
        <f t="shared" si="50"/>
        <v>TASC - HRA FEES</v>
      </c>
    </row>
    <row r="2270" spans="5:8" x14ac:dyDescent="0.25">
      <c r="E2270" t="str">
        <f>""</f>
        <v/>
      </c>
      <c r="F2270" t="str">
        <f>""</f>
        <v/>
      </c>
      <c r="H2270" t="str">
        <f t="shared" si="50"/>
        <v>TASC - HRA FEES</v>
      </c>
    </row>
    <row r="2271" spans="5:8" x14ac:dyDescent="0.25">
      <c r="E2271" t="str">
        <f>""</f>
        <v/>
      </c>
      <c r="F2271" t="str">
        <f>""</f>
        <v/>
      </c>
      <c r="H2271" t="str">
        <f t="shared" si="50"/>
        <v>TASC - HRA FEES</v>
      </c>
    </row>
    <row r="2272" spans="5:8" x14ac:dyDescent="0.25">
      <c r="E2272" t="str">
        <f>""</f>
        <v/>
      </c>
      <c r="F2272" t="str">
        <f>""</f>
        <v/>
      </c>
      <c r="H2272" t="str">
        <f t="shared" si="50"/>
        <v>TASC - HRA FEES</v>
      </c>
    </row>
    <row r="2273" spans="5:8" x14ac:dyDescent="0.25">
      <c r="E2273" t="str">
        <f>""</f>
        <v/>
      </c>
      <c r="F2273" t="str">
        <f>""</f>
        <v/>
      </c>
      <c r="H2273" t="str">
        <f t="shared" si="50"/>
        <v>TASC - HRA FEES</v>
      </c>
    </row>
    <row r="2274" spans="5:8" x14ac:dyDescent="0.25">
      <c r="E2274" t="str">
        <f>""</f>
        <v/>
      </c>
      <c r="F2274" t="str">
        <f>""</f>
        <v/>
      </c>
      <c r="H2274" t="str">
        <f t="shared" si="50"/>
        <v>TASC - HRA FEES</v>
      </c>
    </row>
    <row r="2275" spans="5:8" x14ac:dyDescent="0.25">
      <c r="E2275" t="str">
        <f>""</f>
        <v/>
      </c>
      <c r="F2275" t="str">
        <f>""</f>
        <v/>
      </c>
      <c r="H2275" t="str">
        <f t="shared" si="50"/>
        <v>TASC - HRA FEES</v>
      </c>
    </row>
    <row r="2276" spans="5:8" x14ac:dyDescent="0.25">
      <c r="E2276" t="str">
        <f>""</f>
        <v/>
      </c>
      <c r="F2276" t="str">
        <f>""</f>
        <v/>
      </c>
      <c r="H2276" t="str">
        <f t="shared" si="50"/>
        <v>TASC - HRA FEES</v>
      </c>
    </row>
    <row r="2277" spans="5:8" x14ac:dyDescent="0.25">
      <c r="E2277" t="str">
        <f>""</f>
        <v/>
      </c>
      <c r="F2277" t="str">
        <f>""</f>
        <v/>
      </c>
      <c r="H2277" t="str">
        <f t="shared" si="50"/>
        <v>TASC - HRA FEES</v>
      </c>
    </row>
    <row r="2278" spans="5:8" x14ac:dyDescent="0.25">
      <c r="E2278" t="str">
        <f>""</f>
        <v/>
      </c>
      <c r="F2278" t="str">
        <f>""</f>
        <v/>
      </c>
      <c r="H2278" t="str">
        <f t="shared" si="50"/>
        <v>TASC - HRA FEES</v>
      </c>
    </row>
    <row r="2279" spans="5:8" x14ac:dyDescent="0.25">
      <c r="E2279" t="str">
        <f>""</f>
        <v/>
      </c>
      <c r="F2279" t="str">
        <f>""</f>
        <v/>
      </c>
      <c r="H2279" t="str">
        <f t="shared" si="50"/>
        <v>TASC - HRA FEES</v>
      </c>
    </row>
    <row r="2280" spans="5:8" x14ac:dyDescent="0.25">
      <c r="E2280" t="str">
        <f>""</f>
        <v/>
      </c>
      <c r="F2280" t="str">
        <f>""</f>
        <v/>
      </c>
      <c r="H2280" t="str">
        <f t="shared" si="50"/>
        <v>TASC - HRA FEES</v>
      </c>
    </row>
    <row r="2281" spans="5:8" x14ac:dyDescent="0.25">
      <c r="E2281" t="str">
        <f>""</f>
        <v/>
      </c>
      <c r="F2281" t="str">
        <f>""</f>
        <v/>
      </c>
      <c r="H2281" t="str">
        <f t="shared" si="50"/>
        <v>TASC - HRA FEES</v>
      </c>
    </row>
    <row r="2282" spans="5:8" x14ac:dyDescent="0.25">
      <c r="E2282" t="str">
        <f>""</f>
        <v/>
      </c>
      <c r="F2282" t="str">
        <f>""</f>
        <v/>
      </c>
      <c r="H2282" t="str">
        <f t="shared" si="50"/>
        <v>TASC - HRA FEES</v>
      </c>
    </row>
    <row r="2283" spans="5:8" x14ac:dyDescent="0.25">
      <c r="E2283" t="str">
        <f>""</f>
        <v/>
      </c>
      <c r="F2283" t="str">
        <f>""</f>
        <v/>
      </c>
      <c r="H2283" t="str">
        <f t="shared" si="50"/>
        <v>TASC - HRA FEES</v>
      </c>
    </row>
    <row r="2284" spans="5:8" x14ac:dyDescent="0.25">
      <c r="E2284" t="str">
        <f>""</f>
        <v/>
      </c>
      <c r="F2284" t="str">
        <f>""</f>
        <v/>
      </c>
      <c r="H2284" t="str">
        <f t="shared" si="50"/>
        <v>TASC - HRA FEES</v>
      </c>
    </row>
    <row r="2285" spans="5:8" x14ac:dyDescent="0.25">
      <c r="E2285" t="str">
        <f>""</f>
        <v/>
      </c>
      <c r="F2285" t="str">
        <f>""</f>
        <v/>
      </c>
      <c r="H2285" t="str">
        <f t="shared" si="50"/>
        <v>TASC - HRA FEES</v>
      </c>
    </row>
    <row r="2286" spans="5:8" x14ac:dyDescent="0.25">
      <c r="E2286" t="str">
        <f>""</f>
        <v/>
      </c>
      <c r="F2286" t="str">
        <f>""</f>
        <v/>
      </c>
      <c r="H2286" t="str">
        <f t="shared" si="50"/>
        <v>TASC - HRA FEES</v>
      </c>
    </row>
    <row r="2287" spans="5:8" x14ac:dyDescent="0.25">
      <c r="E2287" t="str">
        <f>""</f>
        <v/>
      </c>
      <c r="F2287" t="str">
        <f>""</f>
        <v/>
      </c>
      <c r="H2287" t="str">
        <f t="shared" si="50"/>
        <v>TASC - HRA FEES</v>
      </c>
    </row>
    <row r="2288" spans="5:8" x14ac:dyDescent="0.25">
      <c r="E2288" t="str">
        <f>""</f>
        <v/>
      </c>
      <c r="F2288" t="str">
        <f>""</f>
        <v/>
      </c>
      <c r="H2288" t="str">
        <f t="shared" si="50"/>
        <v>TASC - HRA FEES</v>
      </c>
    </row>
    <row r="2289" spans="5:8" x14ac:dyDescent="0.25">
      <c r="E2289" t="str">
        <f>""</f>
        <v/>
      </c>
      <c r="F2289" t="str">
        <f>""</f>
        <v/>
      </c>
      <c r="H2289" t="str">
        <f t="shared" si="50"/>
        <v>TASC - HRA FEES</v>
      </c>
    </row>
    <row r="2290" spans="5:8" x14ac:dyDescent="0.25">
      <c r="E2290" t="str">
        <f>""</f>
        <v/>
      </c>
      <c r="F2290" t="str">
        <f>""</f>
        <v/>
      </c>
      <c r="H2290" t="str">
        <f t="shared" si="50"/>
        <v>TASC - HRA FEES</v>
      </c>
    </row>
    <row r="2291" spans="5:8" x14ac:dyDescent="0.25">
      <c r="E2291" t="str">
        <f>""</f>
        <v/>
      </c>
      <c r="F2291" t="str">
        <f>""</f>
        <v/>
      </c>
      <c r="H2291" t="str">
        <f t="shared" si="50"/>
        <v>TASC - HRA FEES</v>
      </c>
    </row>
    <row r="2292" spans="5:8" x14ac:dyDescent="0.25">
      <c r="E2292" t="str">
        <f>""</f>
        <v/>
      </c>
      <c r="F2292" t="str">
        <f>""</f>
        <v/>
      </c>
      <c r="H2292" t="str">
        <f t="shared" ref="H2292:H2311" si="51">"TASC - HRA FEES"</f>
        <v>TASC - HRA FEES</v>
      </c>
    </row>
    <row r="2293" spans="5:8" x14ac:dyDescent="0.25">
      <c r="E2293" t="str">
        <f>""</f>
        <v/>
      </c>
      <c r="F2293" t="str">
        <f>""</f>
        <v/>
      </c>
      <c r="H2293" t="str">
        <f t="shared" si="51"/>
        <v>TASC - HRA FEES</v>
      </c>
    </row>
    <row r="2294" spans="5:8" x14ac:dyDescent="0.25">
      <c r="E2294" t="str">
        <f>""</f>
        <v/>
      </c>
      <c r="F2294" t="str">
        <f>""</f>
        <v/>
      </c>
      <c r="H2294" t="str">
        <f t="shared" si="51"/>
        <v>TASC - HRA FEES</v>
      </c>
    </row>
    <row r="2295" spans="5:8" x14ac:dyDescent="0.25">
      <c r="E2295" t="str">
        <f>""</f>
        <v/>
      </c>
      <c r="F2295" t="str">
        <f>""</f>
        <v/>
      </c>
      <c r="H2295" t="str">
        <f t="shared" si="51"/>
        <v>TASC - HRA FEES</v>
      </c>
    </row>
    <row r="2296" spans="5:8" x14ac:dyDescent="0.25">
      <c r="E2296" t="str">
        <f>""</f>
        <v/>
      </c>
      <c r="F2296" t="str">
        <f>""</f>
        <v/>
      </c>
      <c r="H2296" t="str">
        <f t="shared" si="51"/>
        <v>TASC - HRA FEES</v>
      </c>
    </row>
    <row r="2297" spans="5:8" x14ac:dyDescent="0.25">
      <c r="E2297" t="str">
        <f>""</f>
        <v/>
      </c>
      <c r="F2297" t="str">
        <f>""</f>
        <v/>
      </c>
      <c r="H2297" t="str">
        <f t="shared" si="51"/>
        <v>TASC - HRA FEES</v>
      </c>
    </row>
    <row r="2298" spans="5:8" x14ac:dyDescent="0.25">
      <c r="E2298" t="str">
        <f>""</f>
        <v/>
      </c>
      <c r="F2298" t="str">
        <f>""</f>
        <v/>
      </c>
      <c r="H2298" t="str">
        <f t="shared" si="51"/>
        <v>TASC - HRA FEES</v>
      </c>
    </row>
    <row r="2299" spans="5:8" x14ac:dyDescent="0.25">
      <c r="E2299" t="str">
        <f>""</f>
        <v/>
      </c>
      <c r="F2299" t="str">
        <f>""</f>
        <v/>
      </c>
      <c r="H2299" t="str">
        <f t="shared" si="51"/>
        <v>TASC - HRA FEES</v>
      </c>
    </row>
    <row r="2300" spans="5:8" x14ac:dyDescent="0.25">
      <c r="E2300" t="str">
        <f>""</f>
        <v/>
      </c>
      <c r="F2300" t="str">
        <f>""</f>
        <v/>
      </c>
      <c r="H2300" t="str">
        <f t="shared" si="51"/>
        <v>TASC - HRA FEES</v>
      </c>
    </row>
    <row r="2301" spans="5:8" x14ac:dyDescent="0.25">
      <c r="E2301" t="str">
        <f>""</f>
        <v/>
      </c>
      <c r="F2301" t="str">
        <f>""</f>
        <v/>
      </c>
      <c r="H2301" t="str">
        <f t="shared" si="51"/>
        <v>TASC - HRA FEES</v>
      </c>
    </row>
    <row r="2302" spans="5:8" x14ac:dyDescent="0.25">
      <c r="E2302" t="str">
        <f>""</f>
        <v/>
      </c>
      <c r="F2302" t="str">
        <f>""</f>
        <v/>
      </c>
      <c r="H2302" t="str">
        <f t="shared" si="51"/>
        <v>TASC - HRA FEES</v>
      </c>
    </row>
    <row r="2303" spans="5:8" x14ac:dyDescent="0.25">
      <c r="E2303" t="str">
        <f>""</f>
        <v/>
      </c>
      <c r="F2303" t="str">
        <f>""</f>
        <v/>
      </c>
      <c r="H2303" t="str">
        <f t="shared" si="51"/>
        <v>TASC - HRA FEES</v>
      </c>
    </row>
    <row r="2304" spans="5:8" x14ac:dyDescent="0.25">
      <c r="E2304" t="str">
        <f>""</f>
        <v/>
      </c>
      <c r="F2304" t="str">
        <f>""</f>
        <v/>
      </c>
      <c r="H2304" t="str">
        <f t="shared" si="51"/>
        <v>TASC - HRA FEES</v>
      </c>
    </row>
    <row r="2305" spans="1:8" x14ac:dyDescent="0.25">
      <c r="E2305" t="str">
        <f>""</f>
        <v/>
      </c>
      <c r="F2305" t="str">
        <f>""</f>
        <v/>
      </c>
      <c r="H2305" t="str">
        <f t="shared" si="51"/>
        <v>TASC - HRA FEES</v>
      </c>
    </row>
    <row r="2306" spans="1:8" x14ac:dyDescent="0.25">
      <c r="E2306" t="str">
        <f>""</f>
        <v/>
      </c>
      <c r="F2306" t="str">
        <f>""</f>
        <v/>
      </c>
      <c r="H2306" t="str">
        <f t="shared" si="51"/>
        <v>TASC - HRA FEES</v>
      </c>
    </row>
    <row r="2307" spans="1:8" x14ac:dyDescent="0.25">
      <c r="E2307" t="str">
        <f>""</f>
        <v/>
      </c>
      <c r="F2307" t="str">
        <f>""</f>
        <v/>
      </c>
      <c r="H2307" t="str">
        <f t="shared" si="51"/>
        <v>TASC - HRA FEES</v>
      </c>
    </row>
    <row r="2308" spans="1:8" x14ac:dyDescent="0.25">
      <c r="E2308" t="str">
        <f>""</f>
        <v/>
      </c>
      <c r="F2308" t="str">
        <f>""</f>
        <v/>
      </c>
      <c r="H2308" t="str">
        <f t="shared" si="51"/>
        <v>TASC - HRA FEES</v>
      </c>
    </row>
    <row r="2309" spans="1:8" x14ac:dyDescent="0.25">
      <c r="E2309" t="str">
        <f>""</f>
        <v/>
      </c>
      <c r="F2309" t="str">
        <f>""</f>
        <v/>
      </c>
      <c r="H2309" t="str">
        <f t="shared" si="51"/>
        <v>TASC - HRA FEES</v>
      </c>
    </row>
    <row r="2310" spans="1:8" x14ac:dyDescent="0.25">
      <c r="E2310" t="str">
        <f>""</f>
        <v/>
      </c>
      <c r="F2310" t="str">
        <f>""</f>
        <v/>
      </c>
      <c r="H2310" t="str">
        <f t="shared" si="51"/>
        <v>TASC - HRA FEES</v>
      </c>
    </row>
    <row r="2311" spans="1:8" x14ac:dyDescent="0.25">
      <c r="E2311" t="str">
        <f>"HRF202008058199"</f>
        <v>HRF202008058199</v>
      </c>
      <c r="F2311" t="str">
        <f>"TASC - HRA FEES"</f>
        <v>TASC - HRA FEES</v>
      </c>
      <c r="G2311" s="4">
        <v>30.6</v>
      </c>
      <c r="H2311" t="str">
        <f t="shared" si="51"/>
        <v>TASC - HRA FEES</v>
      </c>
    </row>
    <row r="2312" spans="1:8" x14ac:dyDescent="0.25">
      <c r="A2312" t="s">
        <v>294</v>
      </c>
      <c r="B2312">
        <v>678</v>
      </c>
      <c r="C2312">
        <v>9491.41</v>
      </c>
      <c r="D2312" s="1">
        <v>44064</v>
      </c>
      <c r="E2312" t="str">
        <f>"FSA202008198437"</f>
        <v>FSA202008198437</v>
      </c>
      <c r="F2312" t="str">
        <f>"TASC FSA"</f>
        <v>TASC FSA</v>
      </c>
      <c r="G2312" s="4">
        <v>7612.98</v>
      </c>
      <c r="H2312" t="str">
        <f>"TASC FSA"</f>
        <v>TASC FSA</v>
      </c>
    </row>
    <row r="2313" spans="1:8" x14ac:dyDescent="0.25">
      <c r="E2313" t="str">
        <f>"FSA202008198438"</f>
        <v>FSA202008198438</v>
      </c>
      <c r="F2313" t="str">
        <f>"TASC FSA"</f>
        <v>TASC FSA</v>
      </c>
      <c r="G2313" s="4">
        <v>445.4</v>
      </c>
      <c r="H2313" t="str">
        <f>"TASC FSA"</f>
        <v>TASC FSA</v>
      </c>
    </row>
    <row r="2314" spans="1:8" x14ac:dyDescent="0.25">
      <c r="E2314" t="str">
        <f>"FSC202008198437"</f>
        <v>FSC202008198437</v>
      </c>
      <c r="F2314" t="str">
        <f>"TASC DEPENDENT CARE"</f>
        <v>TASC DEPENDENT CARE</v>
      </c>
      <c r="G2314" s="4">
        <v>345.83</v>
      </c>
      <c r="H2314" t="str">
        <f>"TASC DEPENDENT CARE"</f>
        <v>TASC DEPENDENT CARE</v>
      </c>
    </row>
    <row r="2315" spans="1:8" x14ac:dyDescent="0.25">
      <c r="E2315" t="str">
        <f>"FSF202008198437"</f>
        <v>FSF202008198437</v>
      </c>
      <c r="F2315" t="str">
        <f>"TASC - FSA  FEES"</f>
        <v>TASC - FSA  FEES</v>
      </c>
      <c r="G2315" s="4">
        <v>248.4</v>
      </c>
      <c r="H2315" t="str">
        <f t="shared" ref="H2315:H2355" si="52">"TASC - FSA  FEES"</f>
        <v>TASC - FSA  FEES</v>
      </c>
    </row>
    <row r="2316" spans="1:8" x14ac:dyDescent="0.25">
      <c r="E2316" t="str">
        <f>""</f>
        <v/>
      </c>
      <c r="F2316" t="str">
        <f>""</f>
        <v/>
      </c>
      <c r="H2316" t="str">
        <f t="shared" si="52"/>
        <v>TASC - FSA  FEES</v>
      </c>
    </row>
    <row r="2317" spans="1:8" x14ac:dyDescent="0.25">
      <c r="E2317" t="str">
        <f>""</f>
        <v/>
      </c>
      <c r="F2317" t="str">
        <f>""</f>
        <v/>
      </c>
      <c r="H2317" t="str">
        <f t="shared" si="52"/>
        <v>TASC - FSA  FEES</v>
      </c>
    </row>
    <row r="2318" spans="1:8" x14ac:dyDescent="0.25">
      <c r="E2318" t="str">
        <f>""</f>
        <v/>
      </c>
      <c r="F2318" t="str">
        <f>""</f>
        <v/>
      </c>
      <c r="H2318" t="str">
        <f t="shared" si="52"/>
        <v>TASC - FSA  FEES</v>
      </c>
    </row>
    <row r="2319" spans="1:8" x14ac:dyDescent="0.25">
      <c r="E2319" t="str">
        <f>""</f>
        <v/>
      </c>
      <c r="F2319" t="str">
        <f>""</f>
        <v/>
      </c>
      <c r="H2319" t="str">
        <f t="shared" si="52"/>
        <v>TASC - FSA  FEES</v>
      </c>
    </row>
    <row r="2320" spans="1:8" x14ac:dyDescent="0.25">
      <c r="E2320" t="str">
        <f>""</f>
        <v/>
      </c>
      <c r="F2320" t="str">
        <f>""</f>
        <v/>
      </c>
      <c r="H2320" t="str">
        <f t="shared" si="52"/>
        <v>TASC - FSA  FEES</v>
      </c>
    </row>
    <row r="2321" spans="5:8" x14ac:dyDescent="0.25">
      <c r="E2321" t="str">
        <f>""</f>
        <v/>
      </c>
      <c r="F2321" t="str">
        <f>""</f>
        <v/>
      </c>
      <c r="H2321" t="str">
        <f t="shared" si="52"/>
        <v>TASC - FSA  FEES</v>
      </c>
    </row>
    <row r="2322" spans="5:8" x14ac:dyDescent="0.25">
      <c r="E2322" t="str">
        <f>""</f>
        <v/>
      </c>
      <c r="F2322" t="str">
        <f>""</f>
        <v/>
      </c>
      <c r="H2322" t="str">
        <f t="shared" si="52"/>
        <v>TASC - FSA  FEES</v>
      </c>
    </row>
    <row r="2323" spans="5:8" x14ac:dyDescent="0.25">
      <c r="E2323" t="str">
        <f>""</f>
        <v/>
      </c>
      <c r="F2323" t="str">
        <f>""</f>
        <v/>
      </c>
      <c r="H2323" t="str">
        <f t="shared" si="52"/>
        <v>TASC - FSA  FEES</v>
      </c>
    </row>
    <row r="2324" spans="5:8" x14ac:dyDescent="0.25">
      <c r="E2324" t="str">
        <f>""</f>
        <v/>
      </c>
      <c r="F2324" t="str">
        <f>""</f>
        <v/>
      </c>
      <c r="H2324" t="str">
        <f t="shared" si="52"/>
        <v>TASC - FSA  FEES</v>
      </c>
    </row>
    <row r="2325" spans="5:8" x14ac:dyDescent="0.25">
      <c r="E2325" t="str">
        <f>""</f>
        <v/>
      </c>
      <c r="F2325" t="str">
        <f>""</f>
        <v/>
      </c>
      <c r="H2325" t="str">
        <f t="shared" si="52"/>
        <v>TASC - FSA  FEES</v>
      </c>
    </row>
    <row r="2326" spans="5:8" x14ac:dyDescent="0.25">
      <c r="E2326" t="str">
        <f>""</f>
        <v/>
      </c>
      <c r="F2326" t="str">
        <f>""</f>
        <v/>
      </c>
      <c r="H2326" t="str">
        <f t="shared" si="52"/>
        <v>TASC - FSA  FEES</v>
      </c>
    </row>
    <row r="2327" spans="5:8" x14ac:dyDescent="0.25">
      <c r="E2327" t="str">
        <f>""</f>
        <v/>
      </c>
      <c r="F2327" t="str">
        <f>""</f>
        <v/>
      </c>
      <c r="H2327" t="str">
        <f t="shared" si="52"/>
        <v>TASC - FSA  FEES</v>
      </c>
    </row>
    <row r="2328" spans="5:8" x14ac:dyDescent="0.25">
      <c r="E2328" t="str">
        <f>""</f>
        <v/>
      </c>
      <c r="F2328" t="str">
        <f>""</f>
        <v/>
      </c>
      <c r="H2328" t="str">
        <f t="shared" si="52"/>
        <v>TASC - FSA  FEES</v>
      </c>
    </row>
    <row r="2329" spans="5:8" x14ac:dyDescent="0.25">
      <c r="E2329" t="str">
        <f>""</f>
        <v/>
      </c>
      <c r="F2329" t="str">
        <f>""</f>
        <v/>
      </c>
      <c r="H2329" t="str">
        <f t="shared" si="52"/>
        <v>TASC - FSA  FEES</v>
      </c>
    </row>
    <row r="2330" spans="5:8" x14ac:dyDescent="0.25">
      <c r="E2330" t="str">
        <f>""</f>
        <v/>
      </c>
      <c r="F2330" t="str">
        <f>""</f>
        <v/>
      </c>
      <c r="H2330" t="str">
        <f t="shared" si="52"/>
        <v>TASC - FSA  FEES</v>
      </c>
    </row>
    <row r="2331" spans="5:8" x14ac:dyDescent="0.25">
      <c r="E2331" t="str">
        <f>""</f>
        <v/>
      </c>
      <c r="F2331" t="str">
        <f>""</f>
        <v/>
      </c>
      <c r="H2331" t="str">
        <f t="shared" si="52"/>
        <v>TASC - FSA  FEES</v>
      </c>
    </row>
    <row r="2332" spans="5:8" x14ac:dyDescent="0.25">
      <c r="E2332" t="str">
        <f>""</f>
        <v/>
      </c>
      <c r="F2332" t="str">
        <f>""</f>
        <v/>
      </c>
      <c r="H2332" t="str">
        <f t="shared" si="52"/>
        <v>TASC - FSA  FEES</v>
      </c>
    </row>
    <row r="2333" spans="5:8" x14ac:dyDescent="0.25">
      <c r="E2333" t="str">
        <f>""</f>
        <v/>
      </c>
      <c r="F2333" t="str">
        <f>""</f>
        <v/>
      </c>
      <c r="H2333" t="str">
        <f t="shared" si="52"/>
        <v>TASC - FSA  FEES</v>
      </c>
    </row>
    <row r="2334" spans="5:8" x14ac:dyDescent="0.25">
      <c r="E2334" t="str">
        <f>""</f>
        <v/>
      </c>
      <c r="F2334" t="str">
        <f>""</f>
        <v/>
      </c>
      <c r="H2334" t="str">
        <f t="shared" si="52"/>
        <v>TASC - FSA  FEES</v>
      </c>
    </row>
    <row r="2335" spans="5:8" x14ac:dyDescent="0.25">
      <c r="E2335" t="str">
        <f>""</f>
        <v/>
      </c>
      <c r="F2335" t="str">
        <f>""</f>
        <v/>
      </c>
      <c r="H2335" t="str">
        <f t="shared" si="52"/>
        <v>TASC - FSA  FEES</v>
      </c>
    </row>
    <row r="2336" spans="5:8" x14ac:dyDescent="0.25">
      <c r="E2336" t="str">
        <f>""</f>
        <v/>
      </c>
      <c r="F2336" t="str">
        <f>""</f>
        <v/>
      </c>
      <c r="H2336" t="str">
        <f t="shared" si="52"/>
        <v>TASC - FSA  FEES</v>
      </c>
    </row>
    <row r="2337" spans="5:8" x14ac:dyDescent="0.25">
      <c r="E2337" t="str">
        <f>""</f>
        <v/>
      </c>
      <c r="F2337" t="str">
        <f>""</f>
        <v/>
      </c>
      <c r="H2337" t="str">
        <f t="shared" si="52"/>
        <v>TASC - FSA  FEES</v>
      </c>
    </row>
    <row r="2338" spans="5:8" x14ac:dyDescent="0.25">
      <c r="E2338" t="str">
        <f>""</f>
        <v/>
      </c>
      <c r="F2338" t="str">
        <f>""</f>
        <v/>
      </c>
      <c r="H2338" t="str">
        <f t="shared" si="52"/>
        <v>TASC - FSA  FEES</v>
      </c>
    </row>
    <row r="2339" spans="5:8" x14ac:dyDescent="0.25">
      <c r="E2339" t="str">
        <f>""</f>
        <v/>
      </c>
      <c r="F2339" t="str">
        <f>""</f>
        <v/>
      </c>
      <c r="H2339" t="str">
        <f t="shared" si="52"/>
        <v>TASC - FSA  FEES</v>
      </c>
    </row>
    <row r="2340" spans="5:8" x14ac:dyDescent="0.25">
      <c r="E2340" t="str">
        <f>""</f>
        <v/>
      </c>
      <c r="F2340" t="str">
        <f>""</f>
        <v/>
      </c>
      <c r="H2340" t="str">
        <f t="shared" si="52"/>
        <v>TASC - FSA  FEES</v>
      </c>
    </row>
    <row r="2341" spans="5:8" x14ac:dyDescent="0.25">
      <c r="E2341" t="str">
        <f>""</f>
        <v/>
      </c>
      <c r="F2341" t="str">
        <f>""</f>
        <v/>
      </c>
      <c r="H2341" t="str">
        <f t="shared" si="52"/>
        <v>TASC - FSA  FEES</v>
      </c>
    </row>
    <row r="2342" spans="5:8" x14ac:dyDescent="0.25">
      <c r="E2342" t="str">
        <f>""</f>
        <v/>
      </c>
      <c r="F2342" t="str">
        <f>""</f>
        <v/>
      </c>
      <c r="H2342" t="str">
        <f t="shared" si="52"/>
        <v>TASC - FSA  FEES</v>
      </c>
    </row>
    <row r="2343" spans="5:8" x14ac:dyDescent="0.25">
      <c r="E2343" t="str">
        <f>""</f>
        <v/>
      </c>
      <c r="F2343" t="str">
        <f>""</f>
        <v/>
      </c>
      <c r="H2343" t="str">
        <f t="shared" si="52"/>
        <v>TASC - FSA  FEES</v>
      </c>
    </row>
    <row r="2344" spans="5:8" x14ac:dyDescent="0.25">
      <c r="E2344" t="str">
        <f>""</f>
        <v/>
      </c>
      <c r="F2344" t="str">
        <f>""</f>
        <v/>
      </c>
      <c r="H2344" t="str">
        <f t="shared" si="52"/>
        <v>TASC - FSA  FEES</v>
      </c>
    </row>
    <row r="2345" spans="5:8" x14ac:dyDescent="0.25">
      <c r="E2345" t="str">
        <f>""</f>
        <v/>
      </c>
      <c r="F2345" t="str">
        <f>""</f>
        <v/>
      </c>
      <c r="H2345" t="str">
        <f t="shared" si="52"/>
        <v>TASC - FSA  FEES</v>
      </c>
    </row>
    <row r="2346" spans="5:8" x14ac:dyDescent="0.25">
      <c r="E2346" t="str">
        <f>""</f>
        <v/>
      </c>
      <c r="F2346" t="str">
        <f>""</f>
        <v/>
      </c>
      <c r="H2346" t="str">
        <f t="shared" si="52"/>
        <v>TASC - FSA  FEES</v>
      </c>
    </row>
    <row r="2347" spans="5:8" x14ac:dyDescent="0.25">
      <c r="E2347" t="str">
        <f>""</f>
        <v/>
      </c>
      <c r="F2347" t="str">
        <f>""</f>
        <v/>
      </c>
      <c r="H2347" t="str">
        <f t="shared" si="52"/>
        <v>TASC - FSA  FEES</v>
      </c>
    </row>
    <row r="2348" spans="5:8" x14ac:dyDescent="0.25">
      <c r="E2348" t="str">
        <f>""</f>
        <v/>
      </c>
      <c r="F2348" t="str">
        <f>""</f>
        <v/>
      </c>
      <c r="H2348" t="str">
        <f t="shared" si="52"/>
        <v>TASC - FSA  FEES</v>
      </c>
    </row>
    <row r="2349" spans="5:8" x14ac:dyDescent="0.25">
      <c r="E2349" t="str">
        <f>""</f>
        <v/>
      </c>
      <c r="F2349" t="str">
        <f>""</f>
        <v/>
      </c>
      <c r="H2349" t="str">
        <f t="shared" si="52"/>
        <v>TASC - FSA  FEES</v>
      </c>
    </row>
    <row r="2350" spans="5:8" x14ac:dyDescent="0.25">
      <c r="E2350" t="str">
        <f>""</f>
        <v/>
      </c>
      <c r="F2350" t="str">
        <f>""</f>
        <v/>
      </c>
      <c r="H2350" t="str">
        <f t="shared" si="52"/>
        <v>TASC - FSA  FEES</v>
      </c>
    </row>
    <row r="2351" spans="5:8" x14ac:dyDescent="0.25">
      <c r="E2351" t="str">
        <f>""</f>
        <v/>
      </c>
      <c r="F2351" t="str">
        <f>""</f>
        <v/>
      </c>
      <c r="H2351" t="str">
        <f t="shared" si="52"/>
        <v>TASC - FSA  FEES</v>
      </c>
    </row>
    <row r="2352" spans="5:8" x14ac:dyDescent="0.25">
      <c r="E2352" t="str">
        <f>""</f>
        <v/>
      </c>
      <c r="F2352" t="str">
        <f>""</f>
        <v/>
      </c>
      <c r="H2352" t="str">
        <f t="shared" si="52"/>
        <v>TASC - FSA  FEES</v>
      </c>
    </row>
    <row r="2353" spans="5:8" x14ac:dyDescent="0.25">
      <c r="E2353" t="str">
        <f>""</f>
        <v/>
      </c>
      <c r="F2353" t="str">
        <f>""</f>
        <v/>
      </c>
      <c r="H2353" t="str">
        <f t="shared" si="52"/>
        <v>TASC - FSA  FEES</v>
      </c>
    </row>
    <row r="2354" spans="5:8" x14ac:dyDescent="0.25">
      <c r="E2354" t="str">
        <f>""</f>
        <v/>
      </c>
      <c r="F2354" t="str">
        <f>""</f>
        <v/>
      </c>
      <c r="H2354" t="str">
        <f t="shared" si="52"/>
        <v>TASC - FSA  FEES</v>
      </c>
    </row>
    <row r="2355" spans="5:8" x14ac:dyDescent="0.25">
      <c r="E2355" t="str">
        <f>"FSF202008198438"</f>
        <v>FSF202008198438</v>
      </c>
      <c r="F2355" t="str">
        <f>"TASC - FSA  FEES"</f>
        <v>TASC - FSA  FEES</v>
      </c>
      <c r="G2355" s="4">
        <v>12.6</v>
      </c>
      <c r="H2355" t="str">
        <f t="shared" si="52"/>
        <v>TASC - FSA  FEES</v>
      </c>
    </row>
    <row r="2356" spans="5:8" x14ac:dyDescent="0.25">
      <c r="E2356" t="str">
        <f>"HRF202008198437"</f>
        <v>HRF202008198437</v>
      </c>
      <c r="F2356" t="str">
        <f>"TASC - HRA FEES"</f>
        <v>TASC - HRA FEES</v>
      </c>
      <c r="G2356" s="4">
        <v>795.6</v>
      </c>
      <c r="H2356" t="str">
        <f t="shared" ref="H2356:H2387" si="53">"TASC - HRA FEES"</f>
        <v>TASC - HRA FEES</v>
      </c>
    </row>
    <row r="2357" spans="5:8" x14ac:dyDescent="0.25">
      <c r="E2357" t="str">
        <f>""</f>
        <v/>
      </c>
      <c r="F2357" t="str">
        <f>""</f>
        <v/>
      </c>
      <c r="H2357" t="str">
        <f t="shared" si="53"/>
        <v>TASC - HRA FEES</v>
      </c>
    </row>
    <row r="2358" spans="5:8" x14ac:dyDescent="0.25">
      <c r="E2358" t="str">
        <f>""</f>
        <v/>
      </c>
      <c r="F2358" t="str">
        <f>""</f>
        <v/>
      </c>
      <c r="H2358" t="str">
        <f t="shared" si="53"/>
        <v>TASC - HRA FEES</v>
      </c>
    </row>
    <row r="2359" spans="5:8" x14ac:dyDescent="0.25">
      <c r="E2359" t="str">
        <f>""</f>
        <v/>
      </c>
      <c r="F2359" t="str">
        <f>""</f>
        <v/>
      </c>
      <c r="H2359" t="str">
        <f t="shared" si="53"/>
        <v>TASC - HRA FEES</v>
      </c>
    </row>
    <row r="2360" spans="5:8" x14ac:dyDescent="0.25">
      <c r="E2360" t="str">
        <f>""</f>
        <v/>
      </c>
      <c r="F2360" t="str">
        <f>""</f>
        <v/>
      </c>
      <c r="H2360" t="str">
        <f t="shared" si="53"/>
        <v>TASC - HRA FEES</v>
      </c>
    </row>
    <row r="2361" spans="5:8" x14ac:dyDescent="0.25">
      <c r="E2361" t="str">
        <f>""</f>
        <v/>
      </c>
      <c r="F2361" t="str">
        <f>""</f>
        <v/>
      </c>
      <c r="H2361" t="str">
        <f t="shared" si="53"/>
        <v>TASC - HRA FEES</v>
      </c>
    </row>
    <row r="2362" spans="5:8" x14ac:dyDescent="0.25">
      <c r="E2362" t="str">
        <f>""</f>
        <v/>
      </c>
      <c r="F2362" t="str">
        <f>""</f>
        <v/>
      </c>
      <c r="H2362" t="str">
        <f t="shared" si="53"/>
        <v>TASC - HRA FEES</v>
      </c>
    </row>
    <row r="2363" spans="5:8" x14ac:dyDescent="0.25">
      <c r="E2363" t="str">
        <f>""</f>
        <v/>
      </c>
      <c r="F2363" t="str">
        <f>""</f>
        <v/>
      </c>
      <c r="H2363" t="str">
        <f t="shared" si="53"/>
        <v>TASC - HRA FEES</v>
      </c>
    </row>
    <row r="2364" spans="5:8" x14ac:dyDescent="0.25">
      <c r="E2364" t="str">
        <f>""</f>
        <v/>
      </c>
      <c r="F2364" t="str">
        <f>""</f>
        <v/>
      </c>
      <c r="H2364" t="str">
        <f t="shared" si="53"/>
        <v>TASC - HRA FEES</v>
      </c>
    </row>
    <row r="2365" spans="5:8" x14ac:dyDescent="0.25">
      <c r="E2365" t="str">
        <f>""</f>
        <v/>
      </c>
      <c r="F2365" t="str">
        <f>""</f>
        <v/>
      </c>
      <c r="H2365" t="str">
        <f t="shared" si="53"/>
        <v>TASC - HRA FEES</v>
      </c>
    </row>
    <row r="2366" spans="5:8" x14ac:dyDescent="0.25">
      <c r="E2366" t="str">
        <f>""</f>
        <v/>
      </c>
      <c r="F2366" t="str">
        <f>""</f>
        <v/>
      </c>
      <c r="H2366" t="str">
        <f t="shared" si="53"/>
        <v>TASC - HRA FEES</v>
      </c>
    </row>
    <row r="2367" spans="5:8" x14ac:dyDescent="0.25">
      <c r="E2367" t="str">
        <f>""</f>
        <v/>
      </c>
      <c r="F2367" t="str">
        <f>""</f>
        <v/>
      </c>
      <c r="H2367" t="str">
        <f t="shared" si="53"/>
        <v>TASC - HRA FEES</v>
      </c>
    </row>
    <row r="2368" spans="5:8" x14ac:dyDescent="0.25">
      <c r="E2368" t="str">
        <f>""</f>
        <v/>
      </c>
      <c r="F2368" t="str">
        <f>""</f>
        <v/>
      </c>
      <c r="H2368" t="str">
        <f t="shared" si="53"/>
        <v>TASC - HRA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53"/>
        <v>TASC - HRA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53"/>
        <v>TASC - HRA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53"/>
        <v>TASC - HRA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53"/>
        <v>TASC - HRA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53"/>
        <v>TASC - HRA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53"/>
        <v>TASC - HRA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53"/>
        <v>TASC - HRA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53"/>
        <v>TASC - HRA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53"/>
        <v>TASC - HRA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53"/>
        <v>TASC - HRA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53"/>
        <v>TASC - HRA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53"/>
        <v>TASC - HRA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53"/>
        <v>TASC - HRA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53"/>
        <v>TASC - HRA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53"/>
        <v>TASC - HRA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53"/>
        <v>TASC - HRA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53"/>
        <v>TASC - HRA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53"/>
        <v>TASC - HRA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53"/>
        <v>TASC - HRA FEES</v>
      </c>
    </row>
    <row r="2388" spans="5:8" x14ac:dyDescent="0.25">
      <c r="E2388" t="str">
        <f>""</f>
        <v/>
      </c>
      <c r="F2388" t="str">
        <f>""</f>
        <v/>
      </c>
      <c r="H2388" t="str">
        <f t="shared" ref="H2388:H2407" si="54">"TASC - HRA FEES"</f>
        <v>TASC - HRA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54"/>
        <v>TASC - HRA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54"/>
        <v>TASC - HRA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54"/>
        <v>TASC - HRA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54"/>
        <v>TASC - HRA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54"/>
        <v>TASC - HRA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54"/>
        <v>TASC - HRA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54"/>
        <v>TASC - HRA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54"/>
        <v>TASC - HRA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54"/>
        <v>TASC - HRA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54"/>
        <v>TASC - HRA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54"/>
        <v>TASC - HRA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54"/>
        <v>TASC - HRA FEES</v>
      </c>
    </row>
    <row r="2401" spans="1:8" x14ac:dyDescent="0.25">
      <c r="E2401" t="str">
        <f>""</f>
        <v/>
      </c>
      <c r="F2401" t="str">
        <f>""</f>
        <v/>
      </c>
      <c r="H2401" t="str">
        <f t="shared" si="54"/>
        <v>TASC - HRA FEES</v>
      </c>
    </row>
    <row r="2402" spans="1:8" x14ac:dyDescent="0.25">
      <c r="E2402" t="str">
        <f>""</f>
        <v/>
      </c>
      <c r="F2402" t="str">
        <f>""</f>
        <v/>
      </c>
      <c r="H2402" t="str">
        <f t="shared" si="54"/>
        <v>TASC - HRA FEES</v>
      </c>
    </row>
    <row r="2403" spans="1:8" x14ac:dyDescent="0.25">
      <c r="E2403" t="str">
        <f>""</f>
        <v/>
      </c>
      <c r="F2403" t="str">
        <f>""</f>
        <v/>
      </c>
      <c r="H2403" t="str">
        <f t="shared" si="54"/>
        <v>TASC - HRA FEES</v>
      </c>
    </row>
    <row r="2404" spans="1:8" x14ac:dyDescent="0.25">
      <c r="E2404" t="str">
        <f>""</f>
        <v/>
      </c>
      <c r="F2404" t="str">
        <f>""</f>
        <v/>
      </c>
      <c r="H2404" t="str">
        <f t="shared" si="54"/>
        <v>TASC - HRA FEES</v>
      </c>
    </row>
    <row r="2405" spans="1:8" x14ac:dyDescent="0.25">
      <c r="E2405" t="str">
        <f>""</f>
        <v/>
      </c>
      <c r="F2405" t="str">
        <f>""</f>
        <v/>
      </c>
      <c r="H2405" t="str">
        <f t="shared" si="54"/>
        <v>TASC - HRA FEES</v>
      </c>
    </row>
    <row r="2406" spans="1:8" x14ac:dyDescent="0.25">
      <c r="E2406" t="str">
        <f>""</f>
        <v/>
      </c>
      <c r="F2406" t="str">
        <f>""</f>
        <v/>
      </c>
      <c r="H2406" t="str">
        <f t="shared" si="54"/>
        <v>TASC - HRA FEES</v>
      </c>
    </row>
    <row r="2407" spans="1:8" x14ac:dyDescent="0.25">
      <c r="E2407" t="str">
        <f>"HRF202008198438"</f>
        <v>HRF202008198438</v>
      </c>
      <c r="F2407" t="str">
        <f>"TASC - HRA FEES"</f>
        <v>TASC - HRA FEES</v>
      </c>
      <c r="G2407" s="4">
        <v>30.6</v>
      </c>
      <c r="H2407" t="str">
        <f t="shared" si="54"/>
        <v>TASC - HRA FEES</v>
      </c>
    </row>
    <row r="2408" spans="1:8" x14ac:dyDescent="0.25">
      <c r="A2408" t="s">
        <v>383</v>
      </c>
      <c r="B2408">
        <v>651</v>
      </c>
      <c r="C2408">
        <v>4767.17</v>
      </c>
      <c r="D2408" s="1">
        <v>44050</v>
      </c>
      <c r="E2408" t="str">
        <f>"C2 202008058199"</f>
        <v>C2 202008058199</v>
      </c>
      <c r="F2408" t="str">
        <f>"0012982132CCL7445"</f>
        <v>0012982132CCL7445</v>
      </c>
      <c r="G2408" s="4">
        <v>692.31</v>
      </c>
      <c r="H2408" t="str">
        <f>"0012982132CCL7445"</f>
        <v>0012982132CCL7445</v>
      </c>
    </row>
    <row r="2409" spans="1:8" x14ac:dyDescent="0.25">
      <c r="E2409" t="str">
        <f>"C20202008058198"</f>
        <v>C20202008058198</v>
      </c>
      <c r="F2409" t="str">
        <f>"001003981107-12252"</f>
        <v>001003981107-12252</v>
      </c>
      <c r="G2409" s="4">
        <v>115.39</v>
      </c>
      <c r="H2409" t="str">
        <f>"001003981107-12252"</f>
        <v>001003981107-12252</v>
      </c>
    </row>
    <row r="2410" spans="1:8" x14ac:dyDescent="0.25">
      <c r="E2410" t="str">
        <f>"C42202008058198"</f>
        <v>C42202008058198</v>
      </c>
      <c r="F2410" t="str">
        <f>"001236769211-14410"</f>
        <v>001236769211-14410</v>
      </c>
      <c r="G2410" s="4">
        <v>230.31</v>
      </c>
      <c r="H2410" t="str">
        <f>"001236769211-14410"</f>
        <v>001236769211-14410</v>
      </c>
    </row>
    <row r="2411" spans="1:8" x14ac:dyDescent="0.25">
      <c r="E2411" t="str">
        <f>"C46202008058198"</f>
        <v>C46202008058198</v>
      </c>
      <c r="F2411" t="str">
        <f>"CAUSE# 11-14911"</f>
        <v>CAUSE# 11-14911</v>
      </c>
      <c r="G2411" s="4">
        <v>238.62</v>
      </c>
      <c r="H2411" t="str">
        <f>"CAUSE# 11-14911"</f>
        <v>CAUSE# 11-14911</v>
      </c>
    </row>
    <row r="2412" spans="1:8" x14ac:dyDescent="0.25">
      <c r="E2412" t="str">
        <f>"C60202008058198"</f>
        <v>C60202008058198</v>
      </c>
      <c r="F2412" t="str">
        <f>"00130730762012V300"</f>
        <v>00130730762012V300</v>
      </c>
      <c r="G2412" s="4">
        <v>399.32</v>
      </c>
      <c r="H2412" t="str">
        <f>"00130730762012V300"</f>
        <v>00130730762012V300</v>
      </c>
    </row>
    <row r="2413" spans="1:8" x14ac:dyDescent="0.25">
      <c r="E2413" t="str">
        <f>"C62202008058198"</f>
        <v>C62202008058198</v>
      </c>
      <c r="F2413" t="str">
        <f>"# 0012128865"</f>
        <v># 0012128865</v>
      </c>
      <c r="G2413" s="4">
        <v>243.23</v>
      </c>
      <c r="H2413" t="str">
        <f>"# 0012128865"</f>
        <v># 0012128865</v>
      </c>
    </row>
    <row r="2414" spans="1:8" x14ac:dyDescent="0.25">
      <c r="E2414" t="str">
        <f>"C66202008058198"</f>
        <v>C66202008058198</v>
      </c>
      <c r="F2414" t="str">
        <f>"# 0012871801"</f>
        <v># 0012871801</v>
      </c>
      <c r="G2414" s="4">
        <v>90</v>
      </c>
      <c r="H2414" t="str">
        <f>"# 0012871801"</f>
        <v># 0012871801</v>
      </c>
    </row>
    <row r="2415" spans="1:8" x14ac:dyDescent="0.25">
      <c r="E2415" t="str">
        <f>"C67202008058198"</f>
        <v>C67202008058198</v>
      </c>
      <c r="F2415" t="str">
        <f>"13154657"</f>
        <v>13154657</v>
      </c>
      <c r="G2415" s="4">
        <v>101.99</v>
      </c>
      <c r="H2415" t="str">
        <f>"13154657"</f>
        <v>13154657</v>
      </c>
    </row>
    <row r="2416" spans="1:8" x14ac:dyDescent="0.25">
      <c r="E2416" t="str">
        <f>"C69202008058198"</f>
        <v>C69202008058198</v>
      </c>
      <c r="F2416" t="str">
        <f>"0012046911423672"</f>
        <v>0012046911423672</v>
      </c>
      <c r="G2416" s="4">
        <v>187.38</v>
      </c>
      <c r="H2416" t="str">
        <f>"0012046911423672"</f>
        <v>0012046911423672</v>
      </c>
    </row>
    <row r="2417" spans="1:8" x14ac:dyDescent="0.25">
      <c r="E2417" t="str">
        <f>"C71202008058198"</f>
        <v>C71202008058198</v>
      </c>
      <c r="F2417" t="str">
        <f>"00137390532018V215"</f>
        <v>00137390532018V215</v>
      </c>
      <c r="G2417" s="4">
        <v>264</v>
      </c>
      <c r="H2417" t="str">
        <f>"00137390532018V215"</f>
        <v>00137390532018V215</v>
      </c>
    </row>
    <row r="2418" spans="1:8" x14ac:dyDescent="0.25">
      <c r="E2418" t="str">
        <f>"C72202008058198"</f>
        <v>C72202008058198</v>
      </c>
      <c r="F2418" t="str">
        <f>"0012797601C20130529B"</f>
        <v>0012797601C20130529B</v>
      </c>
      <c r="G2418" s="4">
        <v>241.85</v>
      </c>
      <c r="H2418" t="str">
        <f>"0012797601C20130529B"</f>
        <v>0012797601C20130529B</v>
      </c>
    </row>
    <row r="2419" spans="1:8" x14ac:dyDescent="0.25">
      <c r="E2419" t="str">
        <f>"C78202008058198"</f>
        <v>C78202008058198</v>
      </c>
      <c r="F2419" t="str">
        <f>"00105115972005106221"</f>
        <v>00105115972005106221</v>
      </c>
      <c r="G2419" s="4">
        <v>144.68</v>
      </c>
      <c r="H2419" t="str">
        <f>"00105115972005106221"</f>
        <v>00105115972005106221</v>
      </c>
    </row>
    <row r="2420" spans="1:8" x14ac:dyDescent="0.25">
      <c r="E2420" t="str">
        <f>"C83202008058198"</f>
        <v>C83202008058198</v>
      </c>
      <c r="F2420" t="str">
        <f>"0013096953150533"</f>
        <v>0013096953150533</v>
      </c>
      <c r="G2420" s="4">
        <v>346.15</v>
      </c>
      <c r="H2420" t="str">
        <f>"0013096953150533"</f>
        <v>0013096953150533</v>
      </c>
    </row>
    <row r="2421" spans="1:8" x14ac:dyDescent="0.25">
      <c r="E2421" t="str">
        <f>"C84202008058198"</f>
        <v>C84202008058198</v>
      </c>
      <c r="F2421" t="str">
        <f>"00128499834232566"</f>
        <v>00128499834232566</v>
      </c>
      <c r="G2421" s="4">
        <v>439.94</v>
      </c>
      <c r="H2421" t="str">
        <f>"00128499834232566"</f>
        <v>00128499834232566</v>
      </c>
    </row>
    <row r="2422" spans="1:8" x14ac:dyDescent="0.25">
      <c r="E2422" t="str">
        <f>"C85202008058198"</f>
        <v>C85202008058198</v>
      </c>
      <c r="F2422" t="str">
        <f>"0012469425201770874"</f>
        <v>0012469425201770874</v>
      </c>
      <c r="G2422" s="4">
        <v>138.46</v>
      </c>
      <c r="H2422" t="str">
        <f>"0012469425201770874"</f>
        <v>0012469425201770874</v>
      </c>
    </row>
    <row r="2423" spans="1:8" x14ac:dyDescent="0.25">
      <c r="E2423" t="str">
        <f>"C86202008058198"</f>
        <v>C86202008058198</v>
      </c>
      <c r="F2423" t="str">
        <f>"0013854015101285F"</f>
        <v>0013854015101285F</v>
      </c>
      <c r="G2423" s="4">
        <v>241.85</v>
      </c>
      <c r="H2423" t="str">
        <f>"0013854015101285F"</f>
        <v>0013854015101285F</v>
      </c>
    </row>
    <row r="2424" spans="1:8" x14ac:dyDescent="0.25">
      <c r="E2424" t="str">
        <f>"C87202008058198"</f>
        <v>C87202008058198</v>
      </c>
      <c r="F2424" t="str">
        <f>"0012963634L130019CVB"</f>
        <v>0012963634L130019CVB</v>
      </c>
      <c r="G2424" s="4">
        <v>318.45999999999998</v>
      </c>
      <c r="H2424" t="str">
        <f>"0012963634L130019CVB"</f>
        <v>0012963634L130019CVB</v>
      </c>
    </row>
    <row r="2425" spans="1:8" x14ac:dyDescent="0.25">
      <c r="E2425" t="str">
        <f>"C88202008058198"</f>
        <v>C88202008058198</v>
      </c>
      <c r="F2425" t="str">
        <f>"00123521844231520"</f>
        <v>00123521844231520</v>
      </c>
      <c r="G2425" s="4">
        <v>333.23</v>
      </c>
      <c r="H2425" t="str">
        <f>"00123521844231520"</f>
        <v>00123521844231520</v>
      </c>
    </row>
    <row r="2426" spans="1:8" x14ac:dyDescent="0.25">
      <c r="A2426" t="s">
        <v>383</v>
      </c>
      <c r="B2426">
        <v>677</v>
      </c>
      <c r="C2426">
        <v>4767.17</v>
      </c>
      <c r="D2426" s="1">
        <v>44064</v>
      </c>
      <c r="E2426" t="str">
        <f>"C2 202008198438"</f>
        <v>C2 202008198438</v>
      </c>
      <c r="F2426" t="str">
        <f>"0012982132CCL7445"</f>
        <v>0012982132CCL7445</v>
      </c>
      <c r="G2426" s="4">
        <v>692.31</v>
      </c>
      <c r="H2426" t="str">
        <f>"0012982132CCL7445"</f>
        <v>0012982132CCL7445</v>
      </c>
    </row>
    <row r="2427" spans="1:8" x14ac:dyDescent="0.25">
      <c r="E2427" t="str">
        <f>"C20202008198437"</f>
        <v>C20202008198437</v>
      </c>
      <c r="F2427" t="str">
        <f>"001003981107-12252"</f>
        <v>001003981107-12252</v>
      </c>
      <c r="G2427" s="4">
        <v>115.39</v>
      </c>
      <c r="H2427" t="str">
        <f>"001003981107-12252"</f>
        <v>001003981107-12252</v>
      </c>
    </row>
    <row r="2428" spans="1:8" x14ac:dyDescent="0.25">
      <c r="E2428" t="str">
        <f>"C42202008198437"</f>
        <v>C42202008198437</v>
      </c>
      <c r="F2428" t="str">
        <f>"001236769211-14410"</f>
        <v>001236769211-14410</v>
      </c>
      <c r="G2428" s="4">
        <v>230.31</v>
      </c>
      <c r="H2428" t="str">
        <f>"001236769211-14410"</f>
        <v>001236769211-14410</v>
      </c>
    </row>
    <row r="2429" spans="1:8" x14ac:dyDescent="0.25">
      <c r="E2429" t="str">
        <f>"C46202008198437"</f>
        <v>C46202008198437</v>
      </c>
      <c r="F2429" t="str">
        <f>"CAUSE# 11-14911"</f>
        <v>CAUSE# 11-14911</v>
      </c>
      <c r="G2429" s="4">
        <v>238.62</v>
      </c>
      <c r="H2429" t="str">
        <f>"CAUSE# 11-14911"</f>
        <v>CAUSE# 11-14911</v>
      </c>
    </row>
    <row r="2430" spans="1:8" x14ac:dyDescent="0.25">
      <c r="E2430" t="str">
        <f>"C60202008198437"</f>
        <v>C60202008198437</v>
      </c>
      <c r="F2430" t="str">
        <f>"00130730762012V300"</f>
        <v>00130730762012V300</v>
      </c>
      <c r="G2430" s="4">
        <v>399.32</v>
      </c>
      <c r="H2430" t="str">
        <f>"00130730762012V300"</f>
        <v>00130730762012V300</v>
      </c>
    </row>
    <row r="2431" spans="1:8" x14ac:dyDescent="0.25">
      <c r="E2431" t="str">
        <f>"C62202008198437"</f>
        <v>C62202008198437</v>
      </c>
      <c r="F2431" t="str">
        <f>"# 0012128865"</f>
        <v># 0012128865</v>
      </c>
      <c r="G2431" s="4">
        <v>243.23</v>
      </c>
      <c r="H2431" t="str">
        <f>"# 0012128865"</f>
        <v># 0012128865</v>
      </c>
    </row>
    <row r="2432" spans="1:8" x14ac:dyDescent="0.25">
      <c r="E2432" t="str">
        <f>"C66202008198437"</f>
        <v>C66202008198437</v>
      </c>
      <c r="F2432" t="str">
        <f>"# 0012871801"</f>
        <v># 0012871801</v>
      </c>
      <c r="G2432" s="4">
        <v>90</v>
      </c>
      <c r="H2432" t="str">
        <f>"# 0012871801"</f>
        <v># 0012871801</v>
      </c>
    </row>
    <row r="2433" spans="1:8" x14ac:dyDescent="0.25">
      <c r="E2433" t="str">
        <f>"C67202008198437"</f>
        <v>C67202008198437</v>
      </c>
      <c r="F2433" t="str">
        <f>"13154657"</f>
        <v>13154657</v>
      </c>
      <c r="G2433" s="4">
        <v>101.99</v>
      </c>
      <c r="H2433" t="str">
        <f>"13154657"</f>
        <v>13154657</v>
      </c>
    </row>
    <row r="2434" spans="1:8" x14ac:dyDescent="0.25">
      <c r="E2434" t="str">
        <f>"C69202008198437"</f>
        <v>C69202008198437</v>
      </c>
      <c r="F2434" t="str">
        <f>"0012046911423672"</f>
        <v>0012046911423672</v>
      </c>
      <c r="G2434" s="4">
        <v>187.38</v>
      </c>
      <c r="H2434" t="str">
        <f>"0012046911423672"</f>
        <v>0012046911423672</v>
      </c>
    </row>
    <row r="2435" spans="1:8" x14ac:dyDescent="0.25">
      <c r="E2435" t="str">
        <f>"C71202008198437"</f>
        <v>C71202008198437</v>
      </c>
      <c r="F2435" t="str">
        <f>"00137390532018V215"</f>
        <v>00137390532018V215</v>
      </c>
      <c r="G2435" s="4">
        <v>264</v>
      </c>
      <c r="H2435" t="str">
        <f>"00137390532018V215"</f>
        <v>00137390532018V215</v>
      </c>
    </row>
    <row r="2436" spans="1:8" x14ac:dyDescent="0.25">
      <c r="E2436" t="str">
        <f>"C72202008198437"</f>
        <v>C72202008198437</v>
      </c>
      <c r="F2436" t="str">
        <f>"0012797601C20130529B"</f>
        <v>0012797601C20130529B</v>
      </c>
      <c r="G2436" s="4">
        <v>241.85</v>
      </c>
      <c r="H2436" t="str">
        <f>"0012797601C20130529B"</f>
        <v>0012797601C20130529B</v>
      </c>
    </row>
    <row r="2437" spans="1:8" x14ac:dyDescent="0.25">
      <c r="E2437" t="str">
        <f>"C78202008198437"</f>
        <v>C78202008198437</v>
      </c>
      <c r="F2437" t="str">
        <f>"00105115972005106221"</f>
        <v>00105115972005106221</v>
      </c>
      <c r="G2437" s="4">
        <v>144.68</v>
      </c>
      <c r="H2437" t="str">
        <f>"00105115972005106221"</f>
        <v>00105115972005106221</v>
      </c>
    </row>
    <row r="2438" spans="1:8" x14ac:dyDescent="0.25">
      <c r="E2438" t="str">
        <f>"C83202008198437"</f>
        <v>C83202008198437</v>
      </c>
      <c r="F2438" t="str">
        <f>"0013096953150533"</f>
        <v>0013096953150533</v>
      </c>
      <c r="G2438" s="4">
        <v>346.15</v>
      </c>
      <c r="H2438" t="str">
        <f>"0013096953150533"</f>
        <v>0013096953150533</v>
      </c>
    </row>
    <row r="2439" spans="1:8" x14ac:dyDescent="0.25">
      <c r="E2439" t="str">
        <f>"C84202008198437"</f>
        <v>C84202008198437</v>
      </c>
      <c r="F2439" t="str">
        <f>"00128499834232566"</f>
        <v>00128499834232566</v>
      </c>
      <c r="G2439" s="4">
        <v>439.94</v>
      </c>
      <c r="H2439" t="str">
        <f>"00128499834232566"</f>
        <v>00128499834232566</v>
      </c>
    </row>
    <row r="2440" spans="1:8" x14ac:dyDescent="0.25">
      <c r="E2440" t="str">
        <f>"C85202008198437"</f>
        <v>C85202008198437</v>
      </c>
      <c r="F2440" t="str">
        <f>"0012469425201770874"</f>
        <v>0012469425201770874</v>
      </c>
      <c r="G2440" s="4">
        <v>138.46</v>
      </c>
      <c r="H2440" t="str">
        <f>"0012469425201770874"</f>
        <v>0012469425201770874</v>
      </c>
    </row>
    <row r="2441" spans="1:8" x14ac:dyDescent="0.25">
      <c r="E2441" t="str">
        <f>"C86202008198437"</f>
        <v>C86202008198437</v>
      </c>
      <c r="F2441" t="str">
        <f>"0013854015101285F"</f>
        <v>0013854015101285F</v>
      </c>
      <c r="G2441" s="4">
        <v>241.85</v>
      </c>
      <c r="H2441" t="str">
        <f>"0013854015101285F"</f>
        <v>0013854015101285F</v>
      </c>
    </row>
    <row r="2442" spans="1:8" x14ac:dyDescent="0.25">
      <c r="E2442" t="str">
        <f>"C87202008198437"</f>
        <v>C87202008198437</v>
      </c>
      <c r="F2442" t="str">
        <f>"0012963634L130019CVB"</f>
        <v>0012963634L130019CVB</v>
      </c>
      <c r="G2442" s="4">
        <v>318.45999999999998</v>
      </c>
      <c r="H2442" t="str">
        <f>"0012963634L130019CVB"</f>
        <v>0012963634L130019CVB</v>
      </c>
    </row>
    <row r="2443" spans="1:8" x14ac:dyDescent="0.25">
      <c r="E2443" t="str">
        <f>"C88202008198437"</f>
        <v>C88202008198437</v>
      </c>
      <c r="F2443" t="str">
        <f>"00123521844231520"</f>
        <v>00123521844231520</v>
      </c>
      <c r="G2443" s="4">
        <v>333.23</v>
      </c>
      <c r="H2443" t="str">
        <f>"00123521844231520"</f>
        <v>00123521844231520</v>
      </c>
    </row>
    <row r="2444" spans="1:8" x14ac:dyDescent="0.25">
      <c r="A2444" t="s">
        <v>384</v>
      </c>
      <c r="B2444">
        <v>653</v>
      </c>
      <c r="C2444">
        <v>196706.23</v>
      </c>
      <c r="D2444" s="1">
        <v>44050</v>
      </c>
      <c r="E2444" t="str">
        <f>"RET202008058198"</f>
        <v>RET202008058198</v>
      </c>
      <c r="F2444" t="str">
        <f>"TEXAS COUNTY &amp; DISTRICT RET"</f>
        <v>TEXAS COUNTY &amp; DISTRICT RET</v>
      </c>
      <c r="G2444" s="4">
        <v>182730</v>
      </c>
      <c r="H2444" t="str">
        <f t="shared" ref="H2444:H2475" si="55">"TEXAS COUNTY &amp; DISTRICT RET"</f>
        <v>TEXAS COUNTY &amp; DISTRICT RET</v>
      </c>
    </row>
    <row r="2445" spans="1:8" x14ac:dyDescent="0.25">
      <c r="E2445" t="str">
        <f>""</f>
        <v/>
      </c>
      <c r="F2445" t="str">
        <f>""</f>
        <v/>
      </c>
      <c r="H2445" t="str">
        <f t="shared" si="55"/>
        <v>TEXAS COUNTY &amp; DISTRICT RET</v>
      </c>
    </row>
    <row r="2446" spans="1:8" x14ac:dyDescent="0.25">
      <c r="E2446" t="str">
        <f>""</f>
        <v/>
      </c>
      <c r="F2446" t="str">
        <f>""</f>
        <v/>
      </c>
      <c r="H2446" t="str">
        <f t="shared" si="55"/>
        <v>TEXAS COUNTY &amp; DISTRICT RET</v>
      </c>
    </row>
    <row r="2447" spans="1:8" x14ac:dyDescent="0.25">
      <c r="E2447" t="str">
        <f>""</f>
        <v/>
      </c>
      <c r="F2447" t="str">
        <f>""</f>
        <v/>
      </c>
      <c r="H2447" t="str">
        <f t="shared" si="55"/>
        <v>TEXAS COUNTY &amp; DISTRICT RET</v>
      </c>
    </row>
    <row r="2448" spans="1:8" x14ac:dyDescent="0.25">
      <c r="E2448" t="str">
        <f>""</f>
        <v/>
      </c>
      <c r="F2448" t="str">
        <f>""</f>
        <v/>
      </c>
      <c r="H2448" t="str">
        <f t="shared" si="55"/>
        <v>TEXAS COUNTY &amp; DISTRICT RET</v>
      </c>
    </row>
    <row r="2449" spans="5:8" x14ac:dyDescent="0.25">
      <c r="E2449" t="str">
        <f>""</f>
        <v/>
      </c>
      <c r="F2449" t="str">
        <f>""</f>
        <v/>
      </c>
      <c r="H2449" t="str">
        <f t="shared" si="55"/>
        <v>TEXAS COUNTY &amp; DISTRICT RET</v>
      </c>
    </row>
    <row r="2450" spans="5:8" x14ac:dyDescent="0.25">
      <c r="E2450" t="str">
        <f>""</f>
        <v/>
      </c>
      <c r="F2450" t="str">
        <f>""</f>
        <v/>
      </c>
      <c r="H2450" t="str">
        <f t="shared" si="55"/>
        <v>TEXAS COUNTY &amp; DISTRICT RET</v>
      </c>
    </row>
    <row r="2451" spans="5:8" x14ac:dyDescent="0.25">
      <c r="E2451" t="str">
        <f>""</f>
        <v/>
      </c>
      <c r="F2451" t="str">
        <f>""</f>
        <v/>
      </c>
      <c r="H2451" t="str">
        <f t="shared" si="55"/>
        <v>TEXAS COUNTY &amp; DISTRICT RET</v>
      </c>
    </row>
    <row r="2452" spans="5:8" x14ac:dyDescent="0.25">
      <c r="E2452" t="str">
        <f>""</f>
        <v/>
      </c>
      <c r="F2452" t="str">
        <f>""</f>
        <v/>
      </c>
      <c r="H2452" t="str">
        <f t="shared" si="55"/>
        <v>TEXAS COUNTY &amp; DISTRICT RET</v>
      </c>
    </row>
    <row r="2453" spans="5:8" x14ac:dyDescent="0.25">
      <c r="E2453" t="str">
        <f>""</f>
        <v/>
      </c>
      <c r="F2453" t="str">
        <f>""</f>
        <v/>
      </c>
      <c r="H2453" t="str">
        <f t="shared" si="55"/>
        <v>TEXAS COUNTY &amp; DISTRICT RET</v>
      </c>
    </row>
    <row r="2454" spans="5:8" x14ac:dyDescent="0.25">
      <c r="E2454" t="str">
        <f>""</f>
        <v/>
      </c>
      <c r="F2454" t="str">
        <f>""</f>
        <v/>
      </c>
      <c r="H2454" t="str">
        <f t="shared" si="55"/>
        <v>TEXAS COUNTY &amp; DISTRICT RET</v>
      </c>
    </row>
    <row r="2455" spans="5:8" x14ac:dyDescent="0.25">
      <c r="E2455" t="str">
        <f>""</f>
        <v/>
      </c>
      <c r="F2455" t="str">
        <f>""</f>
        <v/>
      </c>
      <c r="H2455" t="str">
        <f t="shared" si="55"/>
        <v>TEXAS COUNTY &amp; DISTRICT RET</v>
      </c>
    </row>
    <row r="2456" spans="5:8" x14ac:dyDescent="0.25">
      <c r="E2456" t="str">
        <f>""</f>
        <v/>
      </c>
      <c r="F2456" t="str">
        <f>""</f>
        <v/>
      </c>
      <c r="H2456" t="str">
        <f t="shared" si="55"/>
        <v>TEXAS COUNTY &amp; DISTRICT RET</v>
      </c>
    </row>
    <row r="2457" spans="5:8" x14ac:dyDescent="0.25">
      <c r="E2457" t="str">
        <f>""</f>
        <v/>
      </c>
      <c r="F2457" t="str">
        <f>""</f>
        <v/>
      </c>
      <c r="H2457" t="str">
        <f t="shared" si="55"/>
        <v>TEXAS COUNTY &amp; DISTRICT RET</v>
      </c>
    </row>
    <row r="2458" spans="5:8" x14ac:dyDescent="0.25">
      <c r="E2458" t="str">
        <f>""</f>
        <v/>
      </c>
      <c r="F2458" t="str">
        <f>""</f>
        <v/>
      </c>
      <c r="H2458" t="str">
        <f t="shared" si="55"/>
        <v>TEXAS COUNTY &amp; DISTRICT RET</v>
      </c>
    </row>
    <row r="2459" spans="5:8" x14ac:dyDescent="0.25">
      <c r="E2459" t="str">
        <f>""</f>
        <v/>
      </c>
      <c r="F2459" t="str">
        <f>""</f>
        <v/>
      </c>
      <c r="H2459" t="str">
        <f t="shared" si="55"/>
        <v>TEXAS COUNTY &amp; DISTRICT RET</v>
      </c>
    </row>
    <row r="2460" spans="5:8" x14ac:dyDescent="0.25">
      <c r="E2460" t="str">
        <f>""</f>
        <v/>
      </c>
      <c r="F2460" t="str">
        <f>""</f>
        <v/>
      </c>
      <c r="H2460" t="str">
        <f t="shared" si="55"/>
        <v>TEXAS COUNTY &amp; DISTRICT RET</v>
      </c>
    </row>
    <row r="2461" spans="5:8" x14ac:dyDescent="0.25">
      <c r="E2461" t="str">
        <f>""</f>
        <v/>
      </c>
      <c r="F2461" t="str">
        <f>""</f>
        <v/>
      </c>
      <c r="H2461" t="str">
        <f t="shared" si="55"/>
        <v>TEXAS COUNTY &amp; DISTRICT RET</v>
      </c>
    </row>
    <row r="2462" spans="5:8" x14ac:dyDescent="0.25">
      <c r="E2462" t="str">
        <f>""</f>
        <v/>
      </c>
      <c r="F2462" t="str">
        <f>""</f>
        <v/>
      </c>
      <c r="H2462" t="str">
        <f t="shared" si="55"/>
        <v>TEXAS COUNTY &amp; DISTRICT RET</v>
      </c>
    </row>
    <row r="2463" spans="5:8" x14ac:dyDescent="0.25">
      <c r="E2463" t="str">
        <f>""</f>
        <v/>
      </c>
      <c r="F2463" t="str">
        <f>""</f>
        <v/>
      </c>
      <c r="H2463" t="str">
        <f t="shared" si="55"/>
        <v>TEXAS COUNTY &amp; DISTRICT RET</v>
      </c>
    </row>
    <row r="2464" spans="5:8" x14ac:dyDescent="0.25">
      <c r="E2464" t="str">
        <f>""</f>
        <v/>
      </c>
      <c r="F2464" t="str">
        <f>""</f>
        <v/>
      </c>
      <c r="H2464" t="str">
        <f t="shared" si="55"/>
        <v>TEXAS COUNTY &amp; DISTRICT RET</v>
      </c>
    </row>
    <row r="2465" spans="5:8" x14ac:dyDescent="0.25">
      <c r="E2465" t="str">
        <f>""</f>
        <v/>
      </c>
      <c r="F2465" t="str">
        <f>""</f>
        <v/>
      </c>
      <c r="H2465" t="str">
        <f t="shared" si="55"/>
        <v>TEXAS COUNTY &amp; DISTRICT RET</v>
      </c>
    </row>
    <row r="2466" spans="5:8" x14ac:dyDescent="0.25">
      <c r="E2466" t="str">
        <f>""</f>
        <v/>
      </c>
      <c r="F2466" t="str">
        <f>""</f>
        <v/>
      </c>
      <c r="H2466" t="str">
        <f t="shared" si="55"/>
        <v>TEXAS COUNTY &amp; DISTRICT RET</v>
      </c>
    </row>
    <row r="2467" spans="5:8" x14ac:dyDescent="0.25">
      <c r="E2467" t="str">
        <f>""</f>
        <v/>
      </c>
      <c r="F2467" t="str">
        <f>""</f>
        <v/>
      </c>
      <c r="H2467" t="str">
        <f t="shared" si="55"/>
        <v>TEXAS COUNTY &amp; DISTRICT RET</v>
      </c>
    </row>
    <row r="2468" spans="5:8" x14ac:dyDescent="0.25">
      <c r="E2468" t="str">
        <f>""</f>
        <v/>
      </c>
      <c r="F2468" t="str">
        <f>""</f>
        <v/>
      </c>
      <c r="H2468" t="str">
        <f t="shared" si="55"/>
        <v>TEXAS COUNTY &amp; DISTRICT RET</v>
      </c>
    </row>
    <row r="2469" spans="5:8" x14ac:dyDescent="0.25">
      <c r="E2469" t="str">
        <f>""</f>
        <v/>
      </c>
      <c r="F2469" t="str">
        <f>""</f>
        <v/>
      </c>
      <c r="H2469" t="str">
        <f t="shared" si="55"/>
        <v>TEXAS COUNTY &amp; DISTRICT RET</v>
      </c>
    </row>
    <row r="2470" spans="5:8" x14ac:dyDescent="0.25">
      <c r="E2470" t="str">
        <f>""</f>
        <v/>
      </c>
      <c r="F2470" t="str">
        <f>""</f>
        <v/>
      </c>
      <c r="H2470" t="str">
        <f t="shared" si="55"/>
        <v>TEXAS COUNTY &amp; DISTRICT RET</v>
      </c>
    </row>
    <row r="2471" spans="5:8" x14ac:dyDescent="0.25">
      <c r="E2471" t="str">
        <f>""</f>
        <v/>
      </c>
      <c r="F2471" t="str">
        <f>""</f>
        <v/>
      </c>
      <c r="H2471" t="str">
        <f t="shared" si="55"/>
        <v>TEXAS COUNTY &amp; DISTRICT RET</v>
      </c>
    </row>
    <row r="2472" spans="5:8" x14ac:dyDescent="0.25">
      <c r="E2472" t="str">
        <f>""</f>
        <v/>
      </c>
      <c r="F2472" t="str">
        <f>""</f>
        <v/>
      </c>
      <c r="H2472" t="str">
        <f t="shared" si="55"/>
        <v>TEXAS COUNTY &amp; DISTRICT RET</v>
      </c>
    </row>
    <row r="2473" spans="5:8" x14ac:dyDescent="0.25">
      <c r="E2473" t="str">
        <f>""</f>
        <v/>
      </c>
      <c r="F2473" t="str">
        <f>""</f>
        <v/>
      </c>
      <c r="H2473" t="str">
        <f t="shared" si="55"/>
        <v>TEXAS COUNTY &amp; DISTRICT RET</v>
      </c>
    </row>
    <row r="2474" spans="5:8" x14ac:dyDescent="0.25">
      <c r="E2474" t="str">
        <f>""</f>
        <v/>
      </c>
      <c r="F2474" t="str">
        <f>""</f>
        <v/>
      </c>
      <c r="H2474" t="str">
        <f t="shared" si="55"/>
        <v>TEXAS COUNTY &amp; DISTRICT RET</v>
      </c>
    </row>
    <row r="2475" spans="5:8" x14ac:dyDescent="0.25">
      <c r="E2475" t="str">
        <f>""</f>
        <v/>
      </c>
      <c r="F2475" t="str">
        <f>""</f>
        <v/>
      </c>
      <c r="H2475" t="str">
        <f t="shared" si="55"/>
        <v>TEXAS COUNTY &amp; DISTRICT RET</v>
      </c>
    </row>
    <row r="2476" spans="5:8" x14ac:dyDescent="0.25">
      <c r="E2476" t="str">
        <f>""</f>
        <v/>
      </c>
      <c r="F2476" t="str">
        <f>""</f>
        <v/>
      </c>
      <c r="H2476" t="str">
        <f t="shared" ref="H2476:H2495" si="56">"TEXAS COUNTY &amp; DISTRICT RET"</f>
        <v>TEXAS COUNTY &amp; DISTRICT RET</v>
      </c>
    </row>
    <row r="2477" spans="5:8" x14ac:dyDescent="0.25">
      <c r="E2477" t="str">
        <f>""</f>
        <v/>
      </c>
      <c r="F2477" t="str">
        <f>""</f>
        <v/>
      </c>
      <c r="H2477" t="str">
        <f t="shared" si="56"/>
        <v>TEXAS COUNTY &amp; DISTRICT RET</v>
      </c>
    </row>
    <row r="2478" spans="5:8" x14ac:dyDescent="0.25">
      <c r="E2478" t="str">
        <f>""</f>
        <v/>
      </c>
      <c r="F2478" t="str">
        <f>""</f>
        <v/>
      </c>
      <c r="H2478" t="str">
        <f t="shared" si="56"/>
        <v>TEXAS COUNTY &amp; DISTRICT RET</v>
      </c>
    </row>
    <row r="2479" spans="5:8" x14ac:dyDescent="0.25">
      <c r="E2479" t="str">
        <f>""</f>
        <v/>
      </c>
      <c r="F2479" t="str">
        <f>""</f>
        <v/>
      </c>
      <c r="H2479" t="str">
        <f t="shared" si="56"/>
        <v>TEXAS COUNTY &amp; DISTRICT RET</v>
      </c>
    </row>
    <row r="2480" spans="5:8" x14ac:dyDescent="0.25">
      <c r="E2480" t="str">
        <f>""</f>
        <v/>
      </c>
      <c r="F2480" t="str">
        <f>""</f>
        <v/>
      </c>
      <c r="H2480" t="str">
        <f t="shared" si="56"/>
        <v>TEXAS COUNTY &amp; DISTRICT RET</v>
      </c>
    </row>
    <row r="2481" spans="5:8" x14ac:dyDescent="0.25">
      <c r="E2481" t="str">
        <f>""</f>
        <v/>
      </c>
      <c r="F2481" t="str">
        <f>""</f>
        <v/>
      </c>
      <c r="H2481" t="str">
        <f t="shared" si="56"/>
        <v>TEXAS COUNTY &amp; DISTRICT RET</v>
      </c>
    </row>
    <row r="2482" spans="5:8" x14ac:dyDescent="0.25">
      <c r="E2482" t="str">
        <f>""</f>
        <v/>
      </c>
      <c r="F2482" t="str">
        <f>""</f>
        <v/>
      </c>
      <c r="H2482" t="str">
        <f t="shared" si="56"/>
        <v>TEXAS COUNTY &amp; DISTRICT RET</v>
      </c>
    </row>
    <row r="2483" spans="5:8" x14ac:dyDescent="0.25">
      <c r="E2483" t="str">
        <f>""</f>
        <v/>
      </c>
      <c r="F2483" t="str">
        <f>""</f>
        <v/>
      </c>
      <c r="H2483" t="str">
        <f t="shared" si="56"/>
        <v>TEXAS COUNTY &amp; DISTRICT RET</v>
      </c>
    </row>
    <row r="2484" spans="5:8" x14ac:dyDescent="0.25">
      <c r="E2484" t="str">
        <f>""</f>
        <v/>
      </c>
      <c r="F2484" t="str">
        <f>""</f>
        <v/>
      </c>
      <c r="H2484" t="str">
        <f t="shared" si="56"/>
        <v>TEXAS COUNTY &amp; DISTRICT RET</v>
      </c>
    </row>
    <row r="2485" spans="5:8" x14ac:dyDescent="0.25">
      <c r="E2485" t="str">
        <f>""</f>
        <v/>
      </c>
      <c r="F2485" t="str">
        <f>""</f>
        <v/>
      </c>
      <c r="H2485" t="str">
        <f t="shared" si="56"/>
        <v>TEXAS COUNTY &amp; DISTRICT RET</v>
      </c>
    </row>
    <row r="2486" spans="5:8" x14ac:dyDescent="0.25">
      <c r="E2486" t="str">
        <f>""</f>
        <v/>
      </c>
      <c r="F2486" t="str">
        <f>""</f>
        <v/>
      </c>
      <c r="H2486" t="str">
        <f t="shared" si="56"/>
        <v>TEXAS COUNTY &amp; DISTRICT RET</v>
      </c>
    </row>
    <row r="2487" spans="5:8" x14ac:dyDescent="0.25">
      <c r="E2487" t="str">
        <f>""</f>
        <v/>
      </c>
      <c r="F2487" t="str">
        <f>""</f>
        <v/>
      </c>
      <c r="H2487" t="str">
        <f t="shared" si="56"/>
        <v>TEXAS COUNTY &amp; DISTRICT RET</v>
      </c>
    </row>
    <row r="2488" spans="5:8" x14ac:dyDescent="0.25">
      <c r="E2488" t="str">
        <f>""</f>
        <v/>
      </c>
      <c r="F2488" t="str">
        <f>""</f>
        <v/>
      </c>
      <c r="H2488" t="str">
        <f t="shared" si="56"/>
        <v>TEXAS COUNTY &amp; DISTRICT RET</v>
      </c>
    </row>
    <row r="2489" spans="5:8" x14ac:dyDescent="0.25">
      <c r="E2489" t="str">
        <f>""</f>
        <v/>
      </c>
      <c r="F2489" t="str">
        <f>""</f>
        <v/>
      </c>
      <c r="H2489" t="str">
        <f t="shared" si="56"/>
        <v>TEXAS COUNTY &amp; DISTRICT RET</v>
      </c>
    </row>
    <row r="2490" spans="5:8" x14ac:dyDescent="0.25">
      <c r="E2490" t="str">
        <f>""</f>
        <v/>
      </c>
      <c r="F2490" t="str">
        <f>""</f>
        <v/>
      </c>
      <c r="H2490" t="str">
        <f t="shared" si="56"/>
        <v>TEXAS COUNTY &amp; DISTRICT RET</v>
      </c>
    </row>
    <row r="2491" spans="5:8" x14ac:dyDescent="0.25">
      <c r="E2491" t="str">
        <f>""</f>
        <v/>
      </c>
      <c r="F2491" t="str">
        <f>""</f>
        <v/>
      </c>
      <c r="H2491" t="str">
        <f t="shared" si="56"/>
        <v>TEXAS COUNTY &amp; DISTRICT RET</v>
      </c>
    </row>
    <row r="2492" spans="5:8" x14ac:dyDescent="0.25">
      <c r="E2492" t="str">
        <f>""</f>
        <v/>
      </c>
      <c r="F2492" t="str">
        <f>""</f>
        <v/>
      </c>
      <c r="H2492" t="str">
        <f t="shared" si="56"/>
        <v>TEXAS COUNTY &amp; DISTRICT RET</v>
      </c>
    </row>
    <row r="2493" spans="5:8" x14ac:dyDescent="0.25">
      <c r="E2493" t="str">
        <f>""</f>
        <v/>
      </c>
      <c r="F2493" t="str">
        <f>""</f>
        <v/>
      </c>
      <c r="H2493" t="str">
        <f t="shared" si="56"/>
        <v>TEXAS COUNTY &amp; DISTRICT RET</v>
      </c>
    </row>
    <row r="2494" spans="5:8" x14ac:dyDescent="0.25">
      <c r="E2494" t="str">
        <f>""</f>
        <v/>
      </c>
      <c r="F2494" t="str">
        <f>""</f>
        <v/>
      </c>
      <c r="H2494" t="str">
        <f t="shared" si="56"/>
        <v>TEXAS COUNTY &amp; DISTRICT RET</v>
      </c>
    </row>
    <row r="2495" spans="5:8" x14ac:dyDescent="0.25">
      <c r="E2495" t="str">
        <f>""</f>
        <v/>
      </c>
      <c r="F2495" t="str">
        <f>""</f>
        <v/>
      </c>
      <c r="H2495" t="str">
        <f t="shared" si="56"/>
        <v>TEXAS COUNTY &amp; DISTRICT RET</v>
      </c>
    </row>
    <row r="2496" spans="5:8" x14ac:dyDescent="0.25">
      <c r="E2496" t="str">
        <f>"RET202008058199"</f>
        <v>RET202008058199</v>
      </c>
      <c r="F2496" t="str">
        <f>"TEXAS COUNTY  DISTRICT RET"</f>
        <v>TEXAS COUNTY  DISTRICT RET</v>
      </c>
      <c r="G2496" s="4">
        <v>6646.85</v>
      </c>
      <c r="H2496" t="str">
        <f>"TEXAS COUNTY  DISTRICT RET"</f>
        <v>TEXAS COUNTY  DISTRICT RET</v>
      </c>
    </row>
    <row r="2497" spans="1:8" x14ac:dyDescent="0.25">
      <c r="E2497" t="str">
        <f>""</f>
        <v/>
      </c>
      <c r="F2497" t="str">
        <f>""</f>
        <v/>
      </c>
      <c r="H2497" t="str">
        <f>"TEXAS COUNTY  DISTRICT RET"</f>
        <v>TEXAS COUNTY  DISTRICT RET</v>
      </c>
    </row>
    <row r="2498" spans="1:8" x14ac:dyDescent="0.25">
      <c r="E2498" t="str">
        <f>"RET202008058200"</f>
        <v>RET202008058200</v>
      </c>
      <c r="F2498" t="str">
        <f>"TEXAS COUNTY &amp; DISTRICT RET"</f>
        <v>TEXAS COUNTY &amp; DISTRICT RET</v>
      </c>
      <c r="G2498" s="4">
        <v>7329.38</v>
      </c>
      <c r="H2498" t="str">
        <f t="shared" ref="H2498:H2529" si="57">"TEXAS COUNTY &amp; DISTRICT RET"</f>
        <v>TEXAS COUNTY &amp; DISTRICT RET</v>
      </c>
    </row>
    <row r="2499" spans="1:8" x14ac:dyDescent="0.25">
      <c r="E2499" t="str">
        <f>""</f>
        <v/>
      </c>
      <c r="F2499" t="str">
        <f>""</f>
        <v/>
      </c>
      <c r="H2499" t="str">
        <f t="shared" si="57"/>
        <v>TEXAS COUNTY &amp; DISTRICT RET</v>
      </c>
    </row>
    <row r="2500" spans="1:8" x14ac:dyDescent="0.25">
      <c r="A2500" t="s">
        <v>384</v>
      </c>
      <c r="B2500">
        <v>679</v>
      </c>
      <c r="C2500">
        <v>188745.85</v>
      </c>
      <c r="D2500" s="1">
        <v>44064</v>
      </c>
      <c r="E2500" t="str">
        <f>"RET202008198437"</f>
        <v>RET202008198437</v>
      </c>
      <c r="F2500" t="str">
        <f>"TEXAS COUNTY &amp; DISTRICT RET"</f>
        <v>TEXAS COUNTY &amp; DISTRICT RET</v>
      </c>
      <c r="G2500" s="4">
        <v>174648.25</v>
      </c>
      <c r="H2500" t="str">
        <f t="shared" si="57"/>
        <v>TEXAS COUNTY &amp; DISTRICT RET</v>
      </c>
    </row>
    <row r="2501" spans="1:8" x14ac:dyDescent="0.25">
      <c r="E2501" t="str">
        <f>""</f>
        <v/>
      </c>
      <c r="F2501" t="str">
        <f>""</f>
        <v/>
      </c>
      <c r="H2501" t="str">
        <f t="shared" si="57"/>
        <v>TEXAS COUNTY &amp; DISTRICT RET</v>
      </c>
    </row>
    <row r="2502" spans="1:8" x14ac:dyDescent="0.25">
      <c r="E2502" t="str">
        <f>""</f>
        <v/>
      </c>
      <c r="F2502" t="str">
        <f>""</f>
        <v/>
      </c>
      <c r="H2502" t="str">
        <f t="shared" si="57"/>
        <v>TEXAS COUNTY &amp; DISTRICT RET</v>
      </c>
    </row>
    <row r="2503" spans="1:8" x14ac:dyDescent="0.25">
      <c r="E2503" t="str">
        <f>""</f>
        <v/>
      </c>
      <c r="F2503" t="str">
        <f>""</f>
        <v/>
      </c>
      <c r="H2503" t="str">
        <f t="shared" si="57"/>
        <v>TEXAS COUNTY &amp; DISTRICT RET</v>
      </c>
    </row>
    <row r="2504" spans="1:8" x14ac:dyDescent="0.25">
      <c r="E2504" t="str">
        <f>""</f>
        <v/>
      </c>
      <c r="F2504" t="str">
        <f>""</f>
        <v/>
      </c>
      <c r="H2504" t="str">
        <f t="shared" si="57"/>
        <v>TEXAS COUNTY &amp; DISTRICT RET</v>
      </c>
    </row>
    <row r="2505" spans="1:8" x14ac:dyDescent="0.25">
      <c r="E2505" t="str">
        <f>""</f>
        <v/>
      </c>
      <c r="F2505" t="str">
        <f>""</f>
        <v/>
      </c>
      <c r="H2505" t="str">
        <f t="shared" si="57"/>
        <v>TEXAS COUNTY &amp; DISTRICT RET</v>
      </c>
    </row>
    <row r="2506" spans="1:8" x14ac:dyDescent="0.25">
      <c r="E2506" t="str">
        <f>""</f>
        <v/>
      </c>
      <c r="F2506" t="str">
        <f>""</f>
        <v/>
      </c>
      <c r="H2506" t="str">
        <f t="shared" si="57"/>
        <v>TEXAS COUNTY &amp; DISTRICT RET</v>
      </c>
    </row>
    <row r="2507" spans="1:8" x14ac:dyDescent="0.25">
      <c r="E2507" t="str">
        <f>""</f>
        <v/>
      </c>
      <c r="F2507" t="str">
        <f>""</f>
        <v/>
      </c>
      <c r="H2507" t="str">
        <f t="shared" si="57"/>
        <v>TEXAS COUNTY &amp; DISTRICT RET</v>
      </c>
    </row>
    <row r="2508" spans="1:8" x14ac:dyDescent="0.25">
      <c r="E2508" t="str">
        <f>""</f>
        <v/>
      </c>
      <c r="F2508" t="str">
        <f>""</f>
        <v/>
      </c>
      <c r="H2508" t="str">
        <f t="shared" si="57"/>
        <v>TEXAS COUNTY &amp; DISTRICT RET</v>
      </c>
    </row>
    <row r="2509" spans="1:8" x14ac:dyDescent="0.25">
      <c r="E2509" t="str">
        <f>""</f>
        <v/>
      </c>
      <c r="F2509" t="str">
        <f>""</f>
        <v/>
      </c>
      <c r="H2509" t="str">
        <f t="shared" si="57"/>
        <v>TEXAS COUNTY &amp; DISTRICT RET</v>
      </c>
    </row>
    <row r="2510" spans="1:8" x14ac:dyDescent="0.25">
      <c r="E2510" t="str">
        <f>""</f>
        <v/>
      </c>
      <c r="F2510" t="str">
        <f>""</f>
        <v/>
      </c>
      <c r="H2510" t="str">
        <f t="shared" si="57"/>
        <v>TEXAS COUNTY &amp; DISTRICT RET</v>
      </c>
    </row>
    <row r="2511" spans="1:8" x14ac:dyDescent="0.25">
      <c r="E2511" t="str">
        <f>""</f>
        <v/>
      </c>
      <c r="F2511" t="str">
        <f>""</f>
        <v/>
      </c>
      <c r="H2511" t="str">
        <f t="shared" si="57"/>
        <v>TEXAS COUNTY &amp; DISTRICT RET</v>
      </c>
    </row>
    <row r="2512" spans="1:8" x14ac:dyDescent="0.25">
      <c r="E2512" t="str">
        <f>""</f>
        <v/>
      </c>
      <c r="F2512" t="str">
        <f>""</f>
        <v/>
      </c>
      <c r="H2512" t="str">
        <f t="shared" si="57"/>
        <v>TEXAS COUNTY &amp; DISTRICT RET</v>
      </c>
    </row>
    <row r="2513" spans="5:8" x14ac:dyDescent="0.25">
      <c r="E2513" t="str">
        <f>""</f>
        <v/>
      </c>
      <c r="F2513" t="str">
        <f>""</f>
        <v/>
      </c>
      <c r="H2513" t="str">
        <f t="shared" si="57"/>
        <v>TEXAS COUNTY &amp; DISTRICT RET</v>
      </c>
    </row>
    <row r="2514" spans="5:8" x14ac:dyDescent="0.25">
      <c r="E2514" t="str">
        <f>""</f>
        <v/>
      </c>
      <c r="F2514" t="str">
        <f>""</f>
        <v/>
      </c>
      <c r="H2514" t="str">
        <f t="shared" si="57"/>
        <v>TEXAS COUNTY &amp; DISTRICT RET</v>
      </c>
    </row>
    <row r="2515" spans="5:8" x14ac:dyDescent="0.25">
      <c r="E2515" t="str">
        <f>""</f>
        <v/>
      </c>
      <c r="F2515" t="str">
        <f>""</f>
        <v/>
      </c>
      <c r="H2515" t="str">
        <f t="shared" si="57"/>
        <v>TEXAS COUNTY &amp; DISTRICT RET</v>
      </c>
    </row>
    <row r="2516" spans="5:8" x14ac:dyDescent="0.25">
      <c r="E2516" t="str">
        <f>""</f>
        <v/>
      </c>
      <c r="F2516" t="str">
        <f>""</f>
        <v/>
      </c>
      <c r="H2516" t="str">
        <f t="shared" si="57"/>
        <v>TEXAS COUNTY &amp; DISTRICT RET</v>
      </c>
    </row>
    <row r="2517" spans="5:8" x14ac:dyDescent="0.25">
      <c r="E2517" t="str">
        <f>""</f>
        <v/>
      </c>
      <c r="F2517" t="str">
        <f>""</f>
        <v/>
      </c>
      <c r="H2517" t="str">
        <f t="shared" si="57"/>
        <v>TEXAS COUNTY &amp; DISTRICT RET</v>
      </c>
    </row>
    <row r="2518" spans="5:8" x14ac:dyDescent="0.25">
      <c r="E2518" t="str">
        <f>""</f>
        <v/>
      </c>
      <c r="F2518" t="str">
        <f>""</f>
        <v/>
      </c>
      <c r="H2518" t="str">
        <f t="shared" si="57"/>
        <v>TEXAS COUNTY &amp; DISTRICT RET</v>
      </c>
    </row>
    <row r="2519" spans="5:8" x14ac:dyDescent="0.25">
      <c r="E2519" t="str">
        <f>""</f>
        <v/>
      </c>
      <c r="F2519" t="str">
        <f>""</f>
        <v/>
      </c>
      <c r="H2519" t="str">
        <f t="shared" si="57"/>
        <v>TEXAS COUNTY &amp; DISTRICT RET</v>
      </c>
    </row>
    <row r="2520" spans="5:8" x14ac:dyDescent="0.25">
      <c r="E2520" t="str">
        <f>""</f>
        <v/>
      </c>
      <c r="F2520" t="str">
        <f>""</f>
        <v/>
      </c>
      <c r="H2520" t="str">
        <f t="shared" si="57"/>
        <v>TEXAS COUNTY &amp; DISTRICT RET</v>
      </c>
    </row>
    <row r="2521" spans="5:8" x14ac:dyDescent="0.25">
      <c r="E2521" t="str">
        <f>""</f>
        <v/>
      </c>
      <c r="F2521" t="str">
        <f>""</f>
        <v/>
      </c>
      <c r="H2521" t="str">
        <f t="shared" si="57"/>
        <v>TEXAS COUNTY &amp; DISTRICT RET</v>
      </c>
    </row>
    <row r="2522" spans="5:8" x14ac:dyDescent="0.25">
      <c r="E2522" t="str">
        <f>""</f>
        <v/>
      </c>
      <c r="F2522" t="str">
        <f>""</f>
        <v/>
      </c>
      <c r="H2522" t="str">
        <f t="shared" si="57"/>
        <v>TEXAS COUNTY &amp; DISTRICT RET</v>
      </c>
    </row>
    <row r="2523" spans="5:8" x14ac:dyDescent="0.25">
      <c r="E2523" t="str">
        <f>""</f>
        <v/>
      </c>
      <c r="F2523" t="str">
        <f>""</f>
        <v/>
      </c>
      <c r="H2523" t="str">
        <f t="shared" si="57"/>
        <v>TEXAS COUNTY &amp; DISTRICT RET</v>
      </c>
    </row>
    <row r="2524" spans="5:8" x14ac:dyDescent="0.25">
      <c r="E2524" t="str">
        <f>""</f>
        <v/>
      </c>
      <c r="F2524" t="str">
        <f>""</f>
        <v/>
      </c>
      <c r="H2524" t="str">
        <f t="shared" si="57"/>
        <v>TEXAS COUNTY &amp; DISTRICT RET</v>
      </c>
    </row>
    <row r="2525" spans="5:8" x14ac:dyDescent="0.25">
      <c r="E2525" t="str">
        <f>""</f>
        <v/>
      </c>
      <c r="F2525" t="str">
        <f>""</f>
        <v/>
      </c>
      <c r="H2525" t="str">
        <f t="shared" si="57"/>
        <v>TEXAS COUNTY &amp; DISTRICT RET</v>
      </c>
    </row>
    <row r="2526" spans="5:8" x14ac:dyDescent="0.25">
      <c r="E2526" t="str">
        <f>""</f>
        <v/>
      </c>
      <c r="F2526" t="str">
        <f>""</f>
        <v/>
      </c>
      <c r="H2526" t="str">
        <f t="shared" si="57"/>
        <v>TEXAS COUNTY &amp; DISTRICT RET</v>
      </c>
    </row>
    <row r="2527" spans="5:8" x14ac:dyDescent="0.25">
      <c r="E2527" t="str">
        <f>""</f>
        <v/>
      </c>
      <c r="F2527" t="str">
        <f>""</f>
        <v/>
      </c>
      <c r="H2527" t="str">
        <f t="shared" si="57"/>
        <v>TEXAS COUNTY &amp; DISTRICT RET</v>
      </c>
    </row>
    <row r="2528" spans="5:8" x14ac:dyDescent="0.25">
      <c r="E2528" t="str">
        <f>""</f>
        <v/>
      </c>
      <c r="F2528" t="str">
        <f>""</f>
        <v/>
      </c>
      <c r="H2528" t="str">
        <f t="shared" si="57"/>
        <v>TEXAS COUNTY &amp; DISTRICT RET</v>
      </c>
    </row>
    <row r="2529" spans="5:8" x14ac:dyDescent="0.25">
      <c r="E2529" t="str">
        <f>""</f>
        <v/>
      </c>
      <c r="F2529" t="str">
        <f>""</f>
        <v/>
      </c>
      <c r="H2529" t="str">
        <f t="shared" si="57"/>
        <v>TEXAS COUNTY &amp; DISTRICT RET</v>
      </c>
    </row>
    <row r="2530" spans="5:8" x14ac:dyDescent="0.25">
      <c r="E2530" t="str">
        <f>""</f>
        <v/>
      </c>
      <c r="F2530" t="str">
        <f>""</f>
        <v/>
      </c>
      <c r="H2530" t="str">
        <f t="shared" ref="H2530:H2551" si="58">"TEXAS COUNTY &amp; DISTRICT RET"</f>
        <v>TEXAS COUNTY &amp; DISTRICT RET</v>
      </c>
    </row>
    <row r="2531" spans="5:8" x14ac:dyDescent="0.25">
      <c r="E2531" t="str">
        <f>""</f>
        <v/>
      </c>
      <c r="F2531" t="str">
        <f>""</f>
        <v/>
      </c>
      <c r="H2531" t="str">
        <f t="shared" si="58"/>
        <v>TEXAS COUNTY &amp; DISTRICT RET</v>
      </c>
    </row>
    <row r="2532" spans="5:8" x14ac:dyDescent="0.25">
      <c r="E2532" t="str">
        <f>""</f>
        <v/>
      </c>
      <c r="F2532" t="str">
        <f>""</f>
        <v/>
      </c>
      <c r="H2532" t="str">
        <f t="shared" si="58"/>
        <v>TEXAS COUNTY &amp; DISTRICT RET</v>
      </c>
    </row>
    <row r="2533" spans="5:8" x14ac:dyDescent="0.25">
      <c r="E2533" t="str">
        <f>""</f>
        <v/>
      </c>
      <c r="F2533" t="str">
        <f>""</f>
        <v/>
      </c>
      <c r="H2533" t="str">
        <f t="shared" si="58"/>
        <v>TEXAS COUNTY &amp; DISTRICT RET</v>
      </c>
    </row>
    <row r="2534" spans="5:8" x14ac:dyDescent="0.25">
      <c r="E2534" t="str">
        <f>""</f>
        <v/>
      </c>
      <c r="F2534" t="str">
        <f>""</f>
        <v/>
      </c>
      <c r="H2534" t="str">
        <f t="shared" si="58"/>
        <v>TEXAS COUNTY &amp; DISTRICT RET</v>
      </c>
    </row>
    <row r="2535" spans="5:8" x14ac:dyDescent="0.25">
      <c r="E2535" t="str">
        <f>""</f>
        <v/>
      </c>
      <c r="F2535" t="str">
        <f>""</f>
        <v/>
      </c>
      <c r="H2535" t="str">
        <f t="shared" si="58"/>
        <v>TEXAS COUNTY &amp; DISTRICT RET</v>
      </c>
    </row>
    <row r="2536" spans="5:8" x14ac:dyDescent="0.25">
      <c r="E2536" t="str">
        <f>""</f>
        <v/>
      </c>
      <c r="F2536" t="str">
        <f>""</f>
        <v/>
      </c>
      <c r="H2536" t="str">
        <f t="shared" si="58"/>
        <v>TEXAS COUNTY &amp; DISTRICT RET</v>
      </c>
    </row>
    <row r="2537" spans="5:8" x14ac:dyDescent="0.25">
      <c r="E2537" t="str">
        <f>""</f>
        <v/>
      </c>
      <c r="F2537" t="str">
        <f>""</f>
        <v/>
      </c>
      <c r="H2537" t="str">
        <f t="shared" si="58"/>
        <v>TEXAS COUNTY &amp; DISTRICT RET</v>
      </c>
    </row>
    <row r="2538" spans="5:8" x14ac:dyDescent="0.25">
      <c r="E2538" t="str">
        <f>""</f>
        <v/>
      </c>
      <c r="F2538" t="str">
        <f>""</f>
        <v/>
      </c>
      <c r="H2538" t="str">
        <f t="shared" si="58"/>
        <v>TEXAS COUNTY &amp; DISTRICT RET</v>
      </c>
    </row>
    <row r="2539" spans="5:8" x14ac:dyDescent="0.25">
      <c r="E2539" t="str">
        <f>""</f>
        <v/>
      </c>
      <c r="F2539" t="str">
        <f>""</f>
        <v/>
      </c>
      <c r="H2539" t="str">
        <f t="shared" si="58"/>
        <v>TEXAS COUNTY &amp; DISTRICT RET</v>
      </c>
    </row>
    <row r="2540" spans="5:8" x14ac:dyDescent="0.25">
      <c r="E2540" t="str">
        <f>""</f>
        <v/>
      </c>
      <c r="F2540" t="str">
        <f>""</f>
        <v/>
      </c>
      <c r="H2540" t="str">
        <f t="shared" si="58"/>
        <v>TEXAS COUNTY &amp; DISTRICT RET</v>
      </c>
    </row>
    <row r="2541" spans="5:8" x14ac:dyDescent="0.25">
      <c r="E2541" t="str">
        <f>""</f>
        <v/>
      </c>
      <c r="F2541" t="str">
        <f>""</f>
        <v/>
      </c>
      <c r="H2541" t="str">
        <f t="shared" si="58"/>
        <v>TEXAS COUNTY &amp; DISTRICT RET</v>
      </c>
    </row>
    <row r="2542" spans="5:8" x14ac:dyDescent="0.25">
      <c r="E2542" t="str">
        <f>""</f>
        <v/>
      </c>
      <c r="F2542" t="str">
        <f>""</f>
        <v/>
      </c>
      <c r="H2542" t="str">
        <f t="shared" si="58"/>
        <v>TEXAS COUNTY &amp; DISTRICT RET</v>
      </c>
    </row>
    <row r="2543" spans="5:8" x14ac:dyDescent="0.25">
      <c r="E2543" t="str">
        <f>""</f>
        <v/>
      </c>
      <c r="F2543" t="str">
        <f>""</f>
        <v/>
      </c>
      <c r="H2543" t="str">
        <f t="shared" si="58"/>
        <v>TEXAS COUNTY &amp; DISTRICT RET</v>
      </c>
    </row>
    <row r="2544" spans="5:8" x14ac:dyDescent="0.25">
      <c r="E2544" t="str">
        <f>""</f>
        <v/>
      </c>
      <c r="F2544" t="str">
        <f>""</f>
        <v/>
      </c>
      <c r="H2544" t="str">
        <f t="shared" si="58"/>
        <v>TEXAS COUNTY &amp; DISTRICT RET</v>
      </c>
    </row>
    <row r="2545" spans="1:8" x14ac:dyDescent="0.25">
      <c r="E2545" t="str">
        <f>""</f>
        <v/>
      </c>
      <c r="F2545" t="str">
        <f>""</f>
        <v/>
      </c>
      <c r="H2545" t="str">
        <f t="shared" si="58"/>
        <v>TEXAS COUNTY &amp; DISTRICT RET</v>
      </c>
    </row>
    <row r="2546" spans="1:8" x14ac:dyDescent="0.25">
      <c r="E2546" t="str">
        <f>""</f>
        <v/>
      </c>
      <c r="F2546" t="str">
        <f>""</f>
        <v/>
      </c>
      <c r="H2546" t="str">
        <f t="shared" si="58"/>
        <v>TEXAS COUNTY &amp; DISTRICT RET</v>
      </c>
    </row>
    <row r="2547" spans="1:8" x14ac:dyDescent="0.25">
      <c r="E2547" t="str">
        <f>""</f>
        <v/>
      </c>
      <c r="F2547" t="str">
        <f>""</f>
        <v/>
      </c>
      <c r="H2547" t="str">
        <f t="shared" si="58"/>
        <v>TEXAS COUNTY &amp; DISTRICT RET</v>
      </c>
    </row>
    <row r="2548" spans="1:8" x14ac:dyDescent="0.25">
      <c r="E2548" t="str">
        <f>""</f>
        <v/>
      </c>
      <c r="F2548" t="str">
        <f>""</f>
        <v/>
      </c>
      <c r="H2548" t="str">
        <f t="shared" si="58"/>
        <v>TEXAS COUNTY &amp; DISTRICT RET</v>
      </c>
    </row>
    <row r="2549" spans="1:8" x14ac:dyDescent="0.25">
      <c r="E2549" t="str">
        <f>""</f>
        <v/>
      </c>
      <c r="F2549" t="str">
        <f>""</f>
        <v/>
      </c>
      <c r="H2549" t="str">
        <f t="shared" si="58"/>
        <v>TEXAS COUNTY &amp; DISTRICT RET</v>
      </c>
    </row>
    <row r="2550" spans="1:8" x14ac:dyDescent="0.25">
      <c r="E2550" t="str">
        <f>""</f>
        <v/>
      </c>
      <c r="F2550" t="str">
        <f>""</f>
        <v/>
      </c>
      <c r="H2550" t="str">
        <f t="shared" si="58"/>
        <v>TEXAS COUNTY &amp; DISTRICT RET</v>
      </c>
    </row>
    <row r="2551" spans="1:8" x14ac:dyDescent="0.25">
      <c r="E2551" t="str">
        <f>""</f>
        <v/>
      </c>
      <c r="F2551" t="str">
        <f>""</f>
        <v/>
      </c>
      <c r="H2551" t="str">
        <f t="shared" si="58"/>
        <v>TEXAS COUNTY &amp; DISTRICT RET</v>
      </c>
    </row>
    <row r="2552" spans="1:8" x14ac:dyDescent="0.25">
      <c r="E2552" t="str">
        <f>"RET202008198438"</f>
        <v>RET202008198438</v>
      </c>
      <c r="F2552" t="str">
        <f>"TEXAS COUNTY  DISTRICT RET"</f>
        <v>TEXAS COUNTY  DISTRICT RET</v>
      </c>
      <c r="G2552" s="4">
        <v>6632.81</v>
      </c>
      <c r="H2552" t="str">
        <f>"TEXAS COUNTY  DISTRICT RET"</f>
        <v>TEXAS COUNTY  DISTRICT RET</v>
      </c>
    </row>
    <row r="2553" spans="1:8" x14ac:dyDescent="0.25">
      <c r="E2553" t="str">
        <f>""</f>
        <v/>
      </c>
      <c r="F2553" t="str">
        <f>""</f>
        <v/>
      </c>
      <c r="H2553" t="str">
        <f>"TEXAS COUNTY  DISTRICT RET"</f>
        <v>TEXAS COUNTY  DISTRICT RET</v>
      </c>
    </row>
    <row r="2554" spans="1:8" x14ac:dyDescent="0.25">
      <c r="E2554" t="str">
        <f>"RET202008198439"</f>
        <v>RET202008198439</v>
      </c>
      <c r="F2554" t="str">
        <f>"TEXAS COUNTY &amp; DISTRICT RET"</f>
        <v>TEXAS COUNTY &amp; DISTRICT RET</v>
      </c>
      <c r="G2554" s="4">
        <v>7464.79</v>
      </c>
      <c r="H2554" t="str">
        <f>"TEXAS COUNTY &amp; DISTRICT RET"</f>
        <v>TEXAS COUNTY &amp; DISTRICT RET</v>
      </c>
    </row>
    <row r="2555" spans="1:8" x14ac:dyDescent="0.25">
      <c r="E2555" t="str">
        <f>""</f>
        <v/>
      </c>
      <c r="F2555" t="str">
        <f>""</f>
        <v/>
      </c>
      <c r="H2555" t="str">
        <f>"TEXAS COUNTY &amp; DISTRICT RET"</f>
        <v>TEXAS COUNTY &amp; DISTRICT RET</v>
      </c>
    </row>
    <row r="2556" spans="1:8" x14ac:dyDescent="0.25">
      <c r="A2556" t="s">
        <v>385</v>
      </c>
      <c r="B2556">
        <v>48054</v>
      </c>
      <c r="C2556">
        <v>1448</v>
      </c>
      <c r="D2556" s="1">
        <v>44068</v>
      </c>
      <c r="E2556" t="str">
        <f>"LEG202008058198"</f>
        <v>LEG202008058198</v>
      </c>
      <c r="F2556" t="str">
        <f>"TEXAS LEGAL PROTECTION PLAN"</f>
        <v>TEXAS LEGAL PROTECTION PLAN</v>
      </c>
      <c r="G2556" s="4">
        <v>252</v>
      </c>
      <c r="H2556" t="str">
        <f>"TEXAS LEGAL PROTECTION PLAN"</f>
        <v>TEXAS LEGAL PROTECTION PLAN</v>
      </c>
    </row>
    <row r="2557" spans="1:8" x14ac:dyDescent="0.25">
      <c r="E2557" t="str">
        <f>"LEG202008198437"</f>
        <v>LEG202008198437</v>
      </c>
      <c r="F2557" t="str">
        <f>"TEXAS LEGAL PROTECTION PLAN"</f>
        <v>TEXAS LEGAL PROTECTION PLAN</v>
      </c>
      <c r="G2557" s="4">
        <v>252</v>
      </c>
      <c r="H2557" t="str">
        <f>"TEXAS LEGAL PROTECTION PLAN"</f>
        <v>TEXAS LEGAL PROTECTION PLAN</v>
      </c>
    </row>
    <row r="2558" spans="1:8" x14ac:dyDescent="0.25">
      <c r="E2558" t="str">
        <f>"LGF202008058198"</f>
        <v>LGF202008058198</v>
      </c>
      <c r="F2558" t="str">
        <f>"TEXAS LEGAL PROTECTION PLAN"</f>
        <v>TEXAS LEGAL PROTECTION PLAN</v>
      </c>
      <c r="G2558" s="4">
        <v>472</v>
      </c>
      <c r="H2558" t="str">
        <f>"TEXAS LEGAL PROTECTION PLAN"</f>
        <v>TEXAS LEGAL PROTECTION PLAN</v>
      </c>
    </row>
    <row r="2559" spans="1:8" x14ac:dyDescent="0.25">
      <c r="E2559" t="str">
        <f>"LGF202008198437"</f>
        <v>LGF202008198437</v>
      </c>
      <c r="F2559" t="str">
        <f>"TEXAS LEGAL PROTECTION PLAN"</f>
        <v>TEXAS LEGAL PROTECTION PLAN</v>
      </c>
      <c r="G2559" s="4">
        <v>472</v>
      </c>
      <c r="H2559" t="str">
        <f>"TEXAS LEGAL PROTECTION PLAN"</f>
        <v>TEXAS LEGAL PROTECTION PLAN</v>
      </c>
    </row>
    <row r="2560" spans="1:8" x14ac:dyDescent="0.25">
      <c r="A2560" t="s">
        <v>386</v>
      </c>
      <c r="B2560">
        <v>663</v>
      </c>
      <c r="C2560">
        <v>66.319999999999993</v>
      </c>
      <c r="D2560" s="1">
        <v>44054</v>
      </c>
      <c r="E2560" t="str">
        <f>"202008118288"</f>
        <v>202008118288</v>
      </c>
      <c r="F2560" t="str">
        <f t="shared" ref="F2560:F2565" si="59">"ACCT#72-5613 / 08032020"</f>
        <v>ACCT#72-5613 / 08032020</v>
      </c>
      <c r="G2560" s="4">
        <v>66.319999999999993</v>
      </c>
      <c r="H2560" t="str">
        <f t="shared" ref="H2560:H2579" si="60">"ACCT#72-5613 / 08032020"</f>
        <v>ACCT#72-5613 / 08032020</v>
      </c>
    </row>
    <row r="2561" spans="1:8" x14ac:dyDescent="0.25">
      <c r="A2561" t="s">
        <v>117</v>
      </c>
      <c r="B2561">
        <v>659</v>
      </c>
      <c r="C2561">
        <v>374.15</v>
      </c>
      <c r="D2561" s="1">
        <v>44054</v>
      </c>
      <c r="E2561" t="str">
        <f>"202008118284"</f>
        <v>202008118284</v>
      </c>
      <c r="F2561" t="str">
        <f t="shared" si="59"/>
        <v>ACCT#72-5613 / 08032020</v>
      </c>
      <c r="G2561" s="4">
        <v>374.15</v>
      </c>
      <c r="H2561" t="str">
        <f t="shared" si="60"/>
        <v>ACCT#72-5613 / 08032020</v>
      </c>
    </row>
    <row r="2562" spans="1:8" x14ac:dyDescent="0.25">
      <c r="A2562" t="s">
        <v>120</v>
      </c>
      <c r="B2562">
        <v>664</v>
      </c>
      <c r="C2562">
        <v>556.75</v>
      </c>
      <c r="D2562" s="1">
        <v>44054</v>
      </c>
      <c r="E2562" t="str">
        <f>"202008118289"</f>
        <v>202008118289</v>
      </c>
      <c r="F2562" t="str">
        <f t="shared" si="59"/>
        <v>ACCT#72-5613 / 08032020</v>
      </c>
      <c r="G2562" s="4">
        <v>556.75</v>
      </c>
      <c r="H2562" t="str">
        <f t="shared" si="60"/>
        <v>ACCT#72-5613 / 08032020</v>
      </c>
    </row>
    <row r="2563" spans="1:8" x14ac:dyDescent="0.25">
      <c r="A2563" t="s">
        <v>387</v>
      </c>
      <c r="B2563">
        <v>666</v>
      </c>
      <c r="C2563">
        <v>58.48</v>
      </c>
      <c r="D2563" s="1">
        <v>44054</v>
      </c>
      <c r="E2563" t="str">
        <f>"202008118291"</f>
        <v>202008118291</v>
      </c>
      <c r="F2563" t="str">
        <f t="shared" si="59"/>
        <v>ACCT#72-5613 / 08032020</v>
      </c>
      <c r="G2563" s="4">
        <v>58.48</v>
      </c>
      <c r="H2563" t="str">
        <f t="shared" si="60"/>
        <v>ACCT#72-5613 / 08032020</v>
      </c>
    </row>
    <row r="2564" spans="1:8" x14ac:dyDescent="0.25">
      <c r="A2564" t="s">
        <v>388</v>
      </c>
      <c r="B2564">
        <v>665</v>
      </c>
      <c r="C2564">
        <v>13.68</v>
      </c>
      <c r="D2564" s="1">
        <v>44054</v>
      </c>
      <c r="E2564" t="str">
        <f>"202008118290"</f>
        <v>202008118290</v>
      </c>
      <c r="F2564" t="str">
        <f t="shared" si="59"/>
        <v>ACCT#72-5613 / 08032020</v>
      </c>
      <c r="G2564" s="4">
        <v>13.68</v>
      </c>
      <c r="H2564" t="str">
        <f t="shared" si="60"/>
        <v>ACCT#72-5613 / 08032020</v>
      </c>
    </row>
    <row r="2565" spans="1:8" x14ac:dyDescent="0.25">
      <c r="A2565" t="s">
        <v>155</v>
      </c>
      <c r="B2565">
        <v>660</v>
      </c>
      <c r="C2565">
        <v>676.44</v>
      </c>
      <c r="D2565" s="1">
        <v>44054</v>
      </c>
      <c r="E2565" t="str">
        <f>"202008118285"</f>
        <v>202008118285</v>
      </c>
      <c r="F2565" t="str">
        <f t="shared" si="59"/>
        <v>ACCT#72-5613 / 08032020</v>
      </c>
      <c r="G2565" s="4">
        <v>676.44</v>
      </c>
      <c r="H2565" t="str">
        <f t="shared" si="60"/>
        <v>ACCT#72-5613 / 08032020</v>
      </c>
    </row>
    <row r="2566" spans="1:8" x14ac:dyDescent="0.25">
      <c r="E2566" t="str">
        <f>""</f>
        <v/>
      </c>
      <c r="F2566" t="str">
        <f>""</f>
        <v/>
      </c>
      <c r="H2566" t="str">
        <f t="shared" si="60"/>
        <v>ACCT#72-5613 / 08032020</v>
      </c>
    </row>
    <row r="2567" spans="1:8" x14ac:dyDescent="0.25">
      <c r="A2567" t="s">
        <v>205</v>
      </c>
      <c r="B2567">
        <v>658</v>
      </c>
      <c r="C2567">
        <v>290.04000000000002</v>
      </c>
      <c r="D2567" s="1">
        <v>44054</v>
      </c>
      <c r="E2567" t="str">
        <f>"202008118283"</f>
        <v>202008118283</v>
      </c>
      <c r="F2567" t="str">
        <f>"ACCT#72-5613 / 08032020"</f>
        <v>ACCT#72-5613 / 08032020</v>
      </c>
      <c r="G2567" s="4">
        <v>290.04000000000002</v>
      </c>
      <c r="H2567" t="str">
        <f t="shared" si="60"/>
        <v>ACCT#72-5613 / 08032020</v>
      </c>
    </row>
    <row r="2568" spans="1:8" x14ac:dyDescent="0.25">
      <c r="A2568" t="s">
        <v>247</v>
      </c>
      <c r="B2568">
        <v>662</v>
      </c>
      <c r="C2568">
        <v>4.13</v>
      </c>
      <c r="D2568" s="1">
        <v>44054</v>
      </c>
      <c r="E2568" t="str">
        <f>"202008118287"</f>
        <v>202008118287</v>
      </c>
      <c r="F2568" t="str">
        <f>"ACCT#72-5613 / 08032020"</f>
        <v>ACCT#72-5613 / 08032020</v>
      </c>
      <c r="G2568" s="4">
        <v>4.13</v>
      </c>
      <c r="H2568" t="str">
        <f t="shared" si="60"/>
        <v>ACCT#72-5613 / 08032020</v>
      </c>
    </row>
    <row r="2569" spans="1:8" x14ac:dyDescent="0.25">
      <c r="A2569" t="s">
        <v>389</v>
      </c>
      <c r="B2569">
        <v>657</v>
      </c>
      <c r="C2569">
        <v>39.94</v>
      </c>
      <c r="D2569" s="1">
        <v>44054</v>
      </c>
      <c r="E2569" t="str">
        <f>"202008118282"</f>
        <v>202008118282</v>
      </c>
      <c r="F2569" t="str">
        <f>"ACCT#72-5613 / 08032020"</f>
        <v>ACCT#72-5613 / 08032020</v>
      </c>
      <c r="G2569" s="4">
        <v>39.94</v>
      </c>
      <c r="H2569" t="str">
        <f t="shared" si="60"/>
        <v>ACCT#72-5613 / 08032020</v>
      </c>
    </row>
    <row r="2570" spans="1:8" x14ac:dyDescent="0.25">
      <c r="A2570" t="s">
        <v>287</v>
      </c>
      <c r="B2570">
        <v>661</v>
      </c>
      <c r="C2570">
        <v>16.989999999999998</v>
      </c>
      <c r="D2570" s="1">
        <v>44054</v>
      </c>
      <c r="E2570" t="str">
        <f>"202008118286"</f>
        <v>202008118286</v>
      </c>
      <c r="F2570" t="str">
        <f>"ACCT#72-5613 / 08032020"</f>
        <v>ACCT#72-5613 / 08032020</v>
      </c>
      <c r="G2570" s="4">
        <v>16.989999999999998</v>
      </c>
      <c r="H2570" t="str">
        <f t="shared" si="60"/>
        <v>ACCT#72-5613 / 08032020</v>
      </c>
    </row>
    <row r="2571" spans="1:8" x14ac:dyDescent="0.25">
      <c r="A2571" t="s">
        <v>322</v>
      </c>
      <c r="B2571">
        <v>667</v>
      </c>
      <c r="C2571">
        <v>315.99</v>
      </c>
      <c r="D2571" s="1">
        <v>44054</v>
      </c>
      <c r="E2571" t="str">
        <f>"202008118292"</f>
        <v>202008118292</v>
      </c>
      <c r="F2571" t="str">
        <f>"ACCT#72-5613 / 08032020"</f>
        <v>ACCT#72-5613 / 08032020</v>
      </c>
      <c r="G2571" s="4">
        <v>315.99</v>
      </c>
      <c r="H2571" t="str">
        <f t="shared" si="60"/>
        <v>ACCT#72-5613 / 08032020</v>
      </c>
    </row>
    <row r="2572" spans="1:8" x14ac:dyDescent="0.25">
      <c r="E2572" t="str">
        <f>""</f>
        <v/>
      </c>
      <c r="F2572" t="str">
        <f>""</f>
        <v/>
      </c>
      <c r="H2572" t="str">
        <f t="shared" si="60"/>
        <v>ACCT#72-5613 / 08032020</v>
      </c>
    </row>
    <row r="2573" spans="1:8" x14ac:dyDescent="0.25">
      <c r="E2573" t="str">
        <f>""</f>
        <v/>
      </c>
      <c r="F2573" t="str">
        <f>""</f>
        <v/>
      </c>
      <c r="H2573" t="str">
        <f t="shared" si="60"/>
        <v>ACCT#72-5613 / 08032020</v>
      </c>
    </row>
    <row r="2574" spans="1:8" x14ac:dyDescent="0.25">
      <c r="A2574" t="s">
        <v>390</v>
      </c>
      <c r="B2574">
        <v>668</v>
      </c>
      <c r="C2574">
        <v>191.04</v>
      </c>
      <c r="D2574" s="1">
        <v>44054</v>
      </c>
      <c r="E2574" t="str">
        <f>"202008118293"</f>
        <v>202008118293</v>
      </c>
      <c r="F2574" t="str">
        <f t="shared" ref="F2574:F2579" si="61">"ACCT#72-5613 / 08032020"</f>
        <v>ACCT#72-5613 / 08032020</v>
      </c>
      <c r="G2574" s="4">
        <v>191.04</v>
      </c>
      <c r="H2574" t="str">
        <f t="shared" si="60"/>
        <v>ACCT#72-5613 / 08032020</v>
      </c>
    </row>
    <row r="2575" spans="1:8" x14ac:dyDescent="0.25">
      <c r="A2575" t="s">
        <v>391</v>
      </c>
      <c r="B2575">
        <v>669</v>
      </c>
      <c r="C2575">
        <v>594.79</v>
      </c>
      <c r="D2575" s="1">
        <v>44054</v>
      </c>
      <c r="E2575" t="str">
        <f>"202008118294"</f>
        <v>202008118294</v>
      </c>
      <c r="F2575" t="str">
        <f t="shared" si="61"/>
        <v>ACCT#72-5613 / 08032020</v>
      </c>
      <c r="G2575" s="4">
        <v>594.79</v>
      </c>
      <c r="H2575" t="str">
        <f t="shared" si="60"/>
        <v>ACCT#72-5613 / 08032020</v>
      </c>
    </row>
    <row r="2576" spans="1:8" x14ac:dyDescent="0.25">
      <c r="A2576" t="s">
        <v>117</v>
      </c>
      <c r="B2576">
        <v>670</v>
      </c>
      <c r="C2576">
        <v>220.89</v>
      </c>
      <c r="D2576" s="1">
        <v>44054</v>
      </c>
      <c r="E2576" t="str">
        <f>"202008118295"</f>
        <v>202008118295</v>
      </c>
      <c r="F2576" t="str">
        <f t="shared" si="61"/>
        <v>ACCT#72-5613 / 08032020</v>
      </c>
      <c r="G2576" s="4">
        <v>220.89</v>
      </c>
      <c r="H2576" t="str">
        <f t="shared" si="60"/>
        <v>ACCT#72-5613 / 08032020</v>
      </c>
    </row>
    <row r="2577" spans="1:8" x14ac:dyDescent="0.25">
      <c r="A2577" t="s">
        <v>392</v>
      </c>
      <c r="B2577">
        <v>672</v>
      </c>
      <c r="C2577">
        <v>1529.68</v>
      </c>
      <c r="D2577" s="1">
        <v>44054</v>
      </c>
      <c r="E2577" t="str">
        <f>"202008118297"</f>
        <v>202008118297</v>
      </c>
      <c r="F2577" t="str">
        <f t="shared" si="61"/>
        <v>ACCT#72-5613 / 08032020</v>
      </c>
      <c r="G2577" s="4">
        <v>1529.68</v>
      </c>
      <c r="H2577" t="str">
        <f t="shared" si="60"/>
        <v>ACCT#72-5613 / 08032020</v>
      </c>
    </row>
    <row r="2578" spans="1:8" x14ac:dyDescent="0.25">
      <c r="A2578" t="s">
        <v>287</v>
      </c>
      <c r="B2578">
        <v>671</v>
      </c>
      <c r="C2578">
        <v>264.49</v>
      </c>
      <c r="D2578" s="1">
        <v>44054</v>
      </c>
      <c r="E2578" t="str">
        <f>"202008118296"</f>
        <v>202008118296</v>
      </c>
      <c r="F2578" t="str">
        <f t="shared" si="61"/>
        <v>ACCT#72-5613 / 08032020</v>
      </c>
      <c r="G2578" s="4">
        <v>264.49</v>
      </c>
      <c r="H2578" t="str">
        <f t="shared" si="60"/>
        <v>ACCT#72-5613 / 08032020</v>
      </c>
    </row>
    <row r="2579" spans="1:8" x14ac:dyDescent="0.25">
      <c r="A2579" t="s">
        <v>390</v>
      </c>
      <c r="B2579">
        <v>673</v>
      </c>
      <c r="C2579">
        <v>187.34</v>
      </c>
      <c r="D2579" s="1">
        <v>44054</v>
      </c>
      <c r="E2579" t="str">
        <f>"202008118298"</f>
        <v>202008118298</v>
      </c>
      <c r="F2579" t="str">
        <f t="shared" si="61"/>
        <v>ACCT#72-5613 / 08032020</v>
      </c>
      <c r="G2579" s="4">
        <v>187.34</v>
      </c>
      <c r="H2579" t="str">
        <f t="shared" si="60"/>
        <v>ACCT#72-5613 / 08032020</v>
      </c>
    </row>
    <row r="2580" spans="1:8" ht="15.75" thickBot="1" x14ac:dyDescent="0.3">
      <c r="G2580" s="5">
        <f>SUM(G2:G2579)</f>
        <v>3921334.1999999965</v>
      </c>
    </row>
    <row r="2581" spans="1:8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August 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2020-09-09T17:01:19Z</dcterms:created>
  <dcterms:modified xsi:type="dcterms:W3CDTF">2020-09-09T17:11:42Z</dcterms:modified>
</cp:coreProperties>
</file>