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Documents from drive C\Laurie Files\"/>
    </mc:Choice>
  </mc:AlternateContent>
  <bookViews>
    <workbookView xWindow="0" yWindow="0" windowWidth="28800" windowHeight="12435"/>
  </bookViews>
  <sheets>
    <sheet name="AP-CHK-RPT-20191210" sheetId="1" r:id="rId1"/>
  </sheets>
  <calcPr calcId="152511"/>
</workbook>
</file>

<file path=xl/calcChain.xml><?xml version="1.0" encoding="utf-8"?>
<calcChain xmlns="http://schemas.openxmlformats.org/spreadsheetml/2006/main">
  <c r="C3075" i="1" l="1"/>
  <c r="E2" i="1" l="1"/>
  <c r="G2" i="1"/>
  <c r="E3" i="1"/>
  <c r="G3" i="1"/>
  <c r="E4" i="1"/>
  <c r="G4" i="1"/>
  <c r="E5" i="1"/>
  <c r="G5" i="1"/>
  <c r="E6" i="1"/>
  <c r="G6" i="1"/>
  <c r="E7" i="1"/>
  <c r="G7" i="1"/>
  <c r="E8" i="1"/>
  <c r="G8" i="1"/>
  <c r="E9" i="1"/>
  <c r="G9" i="1"/>
  <c r="E10" i="1"/>
  <c r="G10" i="1"/>
  <c r="E11" i="1"/>
  <c r="G11" i="1"/>
  <c r="E12" i="1"/>
  <c r="G12" i="1"/>
  <c r="E13" i="1"/>
  <c r="G13" i="1"/>
  <c r="E14" i="1"/>
  <c r="G14" i="1"/>
  <c r="E15" i="1"/>
  <c r="G15" i="1"/>
  <c r="E16" i="1"/>
  <c r="G16" i="1"/>
  <c r="E17" i="1"/>
  <c r="G17" i="1"/>
  <c r="E18" i="1"/>
  <c r="G18" i="1"/>
  <c r="E19" i="1"/>
  <c r="G19" i="1"/>
  <c r="E20" i="1"/>
  <c r="G20" i="1"/>
  <c r="E21" i="1"/>
  <c r="G21" i="1"/>
  <c r="E22" i="1"/>
  <c r="G22" i="1"/>
  <c r="E23" i="1"/>
  <c r="G23" i="1"/>
  <c r="E24" i="1"/>
  <c r="G24" i="1"/>
  <c r="E25" i="1"/>
  <c r="G25" i="1"/>
  <c r="E26" i="1"/>
  <c r="G26" i="1"/>
  <c r="E27" i="1"/>
  <c r="G27" i="1"/>
  <c r="E28" i="1"/>
  <c r="G28" i="1"/>
  <c r="E29" i="1"/>
  <c r="G29" i="1"/>
  <c r="E30" i="1"/>
  <c r="G30" i="1"/>
  <c r="E31" i="1"/>
  <c r="G31" i="1"/>
  <c r="E32" i="1"/>
  <c r="G32" i="1"/>
  <c r="E33" i="1"/>
  <c r="G33" i="1"/>
  <c r="E34" i="1"/>
  <c r="G34" i="1"/>
  <c r="E35" i="1"/>
  <c r="G35" i="1"/>
  <c r="E36" i="1"/>
  <c r="G36" i="1"/>
  <c r="E37" i="1"/>
  <c r="G37" i="1"/>
  <c r="E38" i="1"/>
  <c r="G38" i="1"/>
  <c r="E39" i="1"/>
  <c r="G39" i="1"/>
  <c r="E40" i="1"/>
  <c r="G40" i="1"/>
  <c r="E41" i="1"/>
  <c r="G41" i="1"/>
  <c r="E42" i="1"/>
  <c r="G42" i="1"/>
  <c r="E43" i="1"/>
  <c r="G43" i="1"/>
  <c r="E44" i="1"/>
  <c r="G44" i="1"/>
  <c r="E45" i="1"/>
  <c r="G45" i="1"/>
  <c r="E46" i="1"/>
  <c r="G46" i="1"/>
  <c r="E47" i="1"/>
  <c r="G47" i="1"/>
  <c r="E48" i="1"/>
  <c r="G48" i="1"/>
  <c r="E49" i="1"/>
  <c r="G49" i="1"/>
  <c r="E50" i="1"/>
  <c r="G50" i="1"/>
  <c r="E51" i="1"/>
  <c r="G51" i="1"/>
  <c r="E52" i="1"/>
  <c r="G52" i="1"/>
  <c r="E53" i="1"/>
  <c r="G53" i="1"/>
  <c r="E54" i="1"/>
  <c r="G54" i="1"/>
  <c r="E55" i="1"/>
  <c r="G55" i="1"/>
  <c r="E56" i="1"/>
  <c r="G56" i="1"/>
  <c r="E57" i="1"/>
  <c r="G57" i="1"/>
  <c r="E58" i="1"/>
  <c r="G58" i="1"/>
  <c r="E59" i="1"/>
  <c r="G59" i="1"/>
  <c r="E60" i="1"/>
  <c r="G60" i="1"/>
  <c r="F61" i="1"/>
  <c r="G61" i="1"/>
  <c r="H61" i="1"/>
  <c r="F62" i="1"/>
  <c r="G62" i="1"/>
  <c r="H62" i="1"/>
  <c r="E63" i="1"/>
  <c r="G63" i="1"/>
  <c r="E64" i="1"/>
  <c r="G64" i="1"/>
  <c r="E65" i="1"/>
  <c r="G65" i="1"/>
  <c r="E66" i="1"/>
  <c r="G66" i="1"/>
  <c r="E67" i="1"/>
  <c r="G67" i="1"/>
  <c r="E68" i="1"/>
  <c r="G68" i="1"/>
  <c r="E69" i="1"/>
  <c r="G69" i="1"/>
  <c r="E70" i="1"/>
  <c r="G70" i="1"/>
  <c r="E71" i="1"/>
  <c r="G71" i="1"/>
  <c r="E72" i="1"/>
  <c r="G72" i="1"/>
  <c r="E73" i="1"/>
  <c r="G73" i="1"/>
  <c r="E74" i="1"/>
  <c r="G74" i="1"/>
  <c r="E75" i="1"/>
  <c r="G75" i="1"/>
  <c r="E76" i="1"/>
  <c r="G76" i="1"/>
  <c r="E77" i="1"/>
  <c r="G77" i="1"/>
  <c r="E78" i="1"/>
  <c r="G78" i="1"/>
  <c r="E79" i="1"/>
  <c r="G79" i="1"/>
  <c r="E80" i="1"/>
  <c r="G80" i="1"/>
  <c r="E81" i="1"/>
  <c r="G81" i="1"/>
  <c r="E82" i="1"/>
  <c r="G82" i="1"/>
  <c r="E83" i="1"/>
  <c r="G83" i="1"/>
  <c r="E84" i="1"/>
  <c r="G84" i="1"/>
  <c r="E85" i="1"/>
  <c r="G85" i="1"/>
  <c r="E86" i="1"/>
  <c r="G86" i="1"/>
  <c r="E87" i="1"/>
  <c r="G87" i="1"/>
  <c r="E88" i="1"/>
  <c r="G88" i="1"/>
  <c r="E89" i="1"/>
  <c r="G89" i="1"/>
  <c r="E90" i="1"/>
  <c r="G90" i="1"/>
  <c r="E91" i="1"/>
  <c r="G91" i="1"/>
  <c r="E92" i="1"/>
  <c r="G92" i="1"/>
  <c r="E93" i="1"/>
  <c r="G93" i="1"/>
  <c r="E94" i="1"/>
  <c r="G94" i="1"/>
  <c r="E95" i="1"/>
  <c r="G95" i="1"/>
  <c r="E96" i="1"/>
  <c r="G96" i="1"/>
  <c r="E97" i="1"/>
  <c r="G97" i="1"/>
  <c r="E98" i="1"/>
  <c r="G98" i="1"/>
  <c r="E99" i="1"/>
  <c r="G99" i="1"/>
  <c r="E100" i="1"/>
  <c r="G100" i="1"/>
  <c r="E101" i="1"/>
  <c r="G101" i="1"/>
  <c r="E102" i="1"/>
  <c r="G102" i="1"/>
  <c r="E103" i="1"/>
  <c r="G103" i="1"/>
  <c r="E104" i="1"/>
  <c r="G104" i="1"/>
  <c r="E105" i="1"/>
  <c r="G105" i="1"/>
  <c r="E106" i="1"/>
  <c r="G106" i="1"/>
  <c r="E107" i="1"/>
  <c r="G107" i="1"/>
  <c r="E108" i="1"/>
  <c r="G108" i="1"/>
  <c r="E109" i="1"/>
  <c r="G109" i="1"/>
  <c r="E110" i="1"/>
  <c r="G110" i="1"/>
  <c r="E111" i="1"/>
  <c r="G111" i="1"/>
  <c r="E112" i="1"/>
  <c r="G112" i="1"/>
  <c r="E113" i="1"/>
  <c r="G113" i="1"/>
  <c r="E114" i="1"/>
  <c r="G114" i="1"/>
  <c r="E115" i="1"/>
  <c r="G115" i="1"/>
  <c r="E116" i="1"/>
  <c r="G116" i="1"/>
  <c r="E117" i="1"/>
  <c r="G117" i="1"/>
  <c r="E118" i="1"/>
  <c r="G118" i="1"/>
  <c r="E119" i="1"/>
  <c r="G119" i="1"/>
  <c r="E120" i="1"/>
  <c r="G120" i="1"/>
  <c r="E121" i="1"/>
  <c r="G121" i="1"/>
  <c r="E122" i="1"/>
  <c r="G122" i="1"/>
  <c r="E123" i="1"/>
  <c r="G123" i="1"/>
  <c r="E124" i="1"/>
  <c r="G124" i="1"/>
  <c r="E125" i="1"/>
  <c r="G125" i="1"/>
  <c r="E126" i="1"/>
  <c r="G126" i="1"/>
  <c r="E127" i="1"/>
  <c r="G127" i="1"/>
  <c r="E128" i="1"/>
  <c r="G128" i="1"/>
  <c r="E129" i="1"/>
  <c r="G129" i="1"/>
  <c r="E130" i="1"/>
  <c r="G130" i="1"/>
  <c r="E131" i="1"/>
  <c r="G131" i="1"/>
  <c r="E132" i="1"/>
  <c r="G132" i="1"/>
  <c r="E133" i="1"/>
  <c r="G133" i="1"/>
  <c r="E134" i="1"/>
  <c r="G134" i="1"/>
  <c r="E135" i="1"/>
  <c r="G135" i="1"/>
  <c r="E136" i="1"/>
  <c r="G136" i="1"/>
  <c r="E137" i="1"/>
  <c r="G137" i="1"/>
  <c r="E138" i="1"/>
  <c r="G138" i="1"/>
  <c r="E139" i="1"/>
  <c r="G139" i="1"/>
  <c r="E140" i="1"/>
  <c r="G140" i="1"/>
  <c r="E141" i="1"/>
  <c r="G141" i="1"/>
  <c r="E142" i="1"/>
  <c r="G142" i="1"/>
  <c r="E143" i="1"/>
  <c r="G143" i="1"/>
  <c r="E144" i="1"/>
  <c r="G144" i="1"/>
  <c r="E145" i="1"/>
  <c r="G145" i="1"/>
  <c r="E146" i="1"/>
  <c r="G146" i="1"/>
  <c r="E147" i="1"/>
  <c r="G147" i="1"/>
  <c r="E148" i="1"/>
  <c r="G148" i="1"/>
  <c r="E149" i="1"/>
  <c r="G149" i="1"/>
  <c r="E150" i="1"/>
  <c r="G150" i="1"/>
  <c r="E151" i="1"/>
  <c r="G151" i="1"/>
  <c r="F152" i="1"/>
  <c r="G152" i="1"/>
  <c r="H152" i="1"/>
  <c r="E153" i="1"/>
  <c r="G153" i="1"/>
  <c r="E154" i="1"/>
  <c r="G154" i="1"/>
  <c r="E155" i="1"/>
  <c r="G155" i="1"/>
  <c r="E156" i="1"/>
  <c r="G156" i="1"/>
  <c r="F157" i="1"/>
  <c r="G157" i="1"/>
  <c r="H157" i="1"/>
  <c r="E158" i="1"/>
  <c r="G158" i="1"/>
  <c r="E159" i="1"/>
  <c r="G159" i="1"/>
  <c r="E160" i="1"/>
  <c r="G160" i="1"/>
  <c r="E161" i="1"/>
  <c r="G161" i="1"/>
  <c r="E162" i="1"/>
  <c r="G162" i="1"/>
  <c r="E163" i="1"/>
  <c r="G163" i="1"/>
  <c r="E164" i="1"/>
  <c r="G164" i="1"/>
  <c r="E165" i="1"/>
  <c r="G165" i="1"/>
  <c r="E166" i="1"/>
  <c r="G166" i="1"/>
  <c r="E167" i="1"/>
  <c r="G167" i="1"/>
  <c r="E168" i="1"/>
  <c r="G168" i="1"/>
  <c r="E169" i="1"/>
  <c r="G169" i="1"/>
  <c r="E170" i="1"/>
  <c r="G170" i="1"/>
  <c r="E171" i="1"/>
  <c r="G171" i="1"/>
  <c r="E172" i="1"/>
  <c r="G172" i="1"/>
  <c r="E173" i="1"/>
  <c r="G173" i="1"/>
  <c r="E174" i="1"/>
  <c r="G174" i="1"/>
  <c r="E175" i="1"/>
  <c r="G175" i="1"/>
  <c r="E176" i="1"/>
  <c r="G176" i="1"/>
  <c r="E177" i="1"/>
  <c r="G177" i="1"/>
  <c r="E178" i="1"/>
  <c r="G178" i="1"/>
  <c r="E179" i="1"/>
  <c r="G179" i="1"/>
  <c r="E180" i="1"/>
  <c r="G180" i="1"/>
  <c r="E181" i="1"/>
  <c r="G181" i="1"/>
  <c r="E182" i="1"/>
  <c r="G182" i="1"/>
  <c r="E183" i="1"/>
  <c r="G183" i="1"/>
  <c r="E184" i="1"/>
  <c r="G184" i="1"/>
  <c r="E185" i="1"/>
  <c r="G185" i="1"/>
  <c r="E186" i="1"/>
  <c r="G186" i="1"/>
  <c r="E187" i="1"/>
  <c r="G187" i="1"/>
  <c r="E188" i="1"/>
  <c r="G188" i="1"/>
  <c r="E189" i="1"/>
  <c r="G189" i="1"/>
  <c r="E190" i="1"/>
  <c r="G190" i="1"/>
  <c r="E191" i="1"/>
  <c r="G191" i="1"/>
  <c r="E192" i="1"/>
  <c r="G192" i="1"/>
  <c r="E193" i="1"/>
  <c r="G193" i="1"/>
  <c r="E194" i="1"/>
  <c r="G194" i="1"/>
  <c r="E195" i="1"/>
  <c r="G195" i="1"/>
  <c r="E196" i="1"/>
  <c r="G196" i="1"/>
  <c r="E197" i="1"/>
  <c r="G197" i="1"/>
  <c r="E198" i="1"/>
  <c r="G198" i="1"/>
  <c r="E199" i="1"/>
  <c r="G199" i="1"/>
  <c r="E200" i="1"/>
  <c r="G200" i="1"/>
  <c r="E201" i="1"/>
  <c r="G201" i="1"/>
  <c r="E202" i="1"/>
  <c r="G202" i="1"/>
  <c r="E203" i="1"/>
  <c r="G203" i="1"/>
  <c r="E204" i="1"/>
  <c r="G204" i="1"/>
  <c r="E205" i="1"/>
  <c r="G205" i="1"/>
  <c r="E206" i="1"/>
  <c r="G206" i="1"/>
  <c r="E207" i="1"/>
  <c r="G207" i="1"/>
  <c r="E208" i="1"/>
  <c r="G208" i="1"/>
  <c r="E209" i="1"/>
  <c r="G209" i="1"/>
  <c r="E210" i="1"/>
  <c r="G210" i="1"/>
  <c r="E211" i="1"/>
  <c r="G211" i="1"/>
  <c r="E212" i="1"/>
  <c r="G212" i="1"/>
  <c r="E213" i="1"/>
  <c r="G213" i="1"/>
  <c r="E214" i="1"/>
  <c r="G214" i="1"/>
  <c r="E215" i="1"/>
  <c r="G215" i="1"/>
  <c r="E216" i="1"/>
  <c r="G216" i="1"/>
  <c r="E217" i="1"/>
  <c r="G217" i="1"/>
  <c r="E218" i="1"/>
  <c r="G218" i="1"/>
  <c r="E219" i="1"/>
  <c r="G219" i="1"/>
  <c r="E220" i="1"/>
  <c r="G220" i="1"/>
  <c r="E221" i="1"/>
  <c r="G221" i="1"/>
  <c r="E222" i="1"/>
  <c r="G222" i="1"/>
  <c r="E223" i="1"/>
  <c r="G223" i="1"/>
  <c r="E224" i="1"/>
  <c r="G224" i="1"/>
  <c r="E225" i="1"/>
  <c r="G225" i="1"/>
  <c r="E226" i="1"/>
  <c r="G226" i="1"/>
  <c r="E227" i="1"/>
  <c r="G227" i="1"/>
  <c r="F228" i="1"/>
  <c r="G228" i="1"/>
  <c r="H228" i="1"/>
  <c r="E229" i="1"/>
  <c r="G229" i="1"/>
  <c r="E230" i="1"/>
  <c r="G230" i="1"/>
  <c r="E231" i="1"/>
  <c r="G231" i="1"/>
  <c r="E232" i="1"/>
  <c r="G232" i="1"/>
  <c r="E233" i="1"/>
  <c r="G233" i="1"/>
  <c r="E234" i="1"/>
  <c r="G234" i="1"/>
  <c r="E235" i="1"/>
  <c r="G235" i="1"/>
  <c r="E236" i="1"/>
  <c r="G236" i="1"/>
  <c r="E237" i="1"/>
  <c r="G237" i="1"/>
  <c r="E238" i="1"/>
  <c r="G238" i="1"/>
  <c r="E239" i="1"/>
  <c r="G239" i="1"/>
  <c r="E240" i="1"/>
  <c r="G240" i="1"/>
  <c r="E241" i="1"/>
  <c r="G241" i="1"/>
  <c r="E242" i="1"/>
  <c r="G242" i="1"/>
  <c r="E243" i="1"/>
  <c r="G243" i="1"/>
  <c r="E244" i="1"/>
  <c r="G244" i="1"/>
  <c r="E245" i="1"/>
  <c r="G245" i="1"/>
  <c r="E246" i="1"/>
  <c r="G246" i="1"/>
  <c r="E247" i="1"/>
  <c r="G247" i="1"/>
  <c r="E248" i="1"/>
  <c r="G248" i="1"/>
  <c r="E249" i="1"/>
  <c r="G249" i="1"/>
  <c r="E250" i="1"/>
  <c r="G250" i="1"/>
  <c r="E251" i="1"/>
  <c r="G251" i="1"/>
  <c r="E252" i="1"/>
  <c r="G252" i="1"/>
  <c r="E253" i="1"/>
  <c r="G253" i="1"/>
  <c r="E254" i="1"/>
  <c r="G254" i="1"/>
  <c r="E255" i="1"/>
  <c r="G255" i="1"/>
  <c r="E256" i="1"/>
  <c r="G256" i="1"/>
  <c r="E257" i="1"/>
  <c r="G257" i="1"/>
  <c r="E258" i="1"/>
  <c r="G258" i="1"/>
  <c r="E259" i="1"/>
  <c r="G259" i="1"/>
  <c r="E260" i="1"/>
  <c r="G260" i="1"/>
  <c r="E261" i="1"/>
  <c r="G261" i="1"/>
  <c r="E262" i="1"/>
  <c r="G262" i="1"/>
  <c r="E263" i="1"/>
  <c r="G263" i="1"/>
  <c r="E264" i="1"/>
  <c r="G264" i="1"/>
  <c r="E265" i="1"/>
  <c r="G265" i="1"/>
  <c r="E266" i="1"/>
  <c r="G266" i="1"/>
  <c r="E267" i="1"/>
  <c r="G267" i="1"/>
  <c r="E268" i="1"/>
  <c r="G268" i="1"/>
  <c r="E269" i="1"/>
  <c r="G269" i="1"/>
  <c r="E270" i="1"/>
  <c r="G270" i="1"/>
  <c r="E271" i="1"/>
  <c r="G271" i="1"/>
  <c r="E272" i="1"/>
  <c r="G272" i="1"/>
  <c r="E273" i="1"/>
  <c r="G273" i="1"/>
  <c r="E274" i="1"/>
  <c r="G274" i="1"/>
  <c r="E275" i="1"/>
  <c r="G275" i="1"/>
  <c r="E276" i="1"/>
  <c r="G276" i="1"/>
  <c r="E277" i="1"/>
  <c r="G277" i="1"/>
  <c r="E278" i="1"/>
  <c r="G278" i="1"/>
  <c r="E279" i="1"/>
  <c r="G279" i="1"/>
  <c r="E280" i="1"/>
  <c r="G280" i="1"/>
  <c r="E281" i="1"/>
  <c r="G281" i="1"/>
  <c r="E282" i="1"/>
  <c r="G282" i="1"/>
  <c r="E283" i="1"/>
  <c r="G283" i="1"/>
  <c r="E284" i="1"/>
  <c r="G284" i="1"/>
  <c r="E285" i="1"/>
  <c r="G285" i="1"/>
  <c r="E286" i="1"/>
  <c r="G286" i="1"/>
  <c r="E287" i="1"/>
  <c r="G287" i="1"/>
  <c r="E288" i="1"/>
  <c r="G288" i="1"/>
  <c r="E289" i="1"/>
  <c r="G289" i="1"/>
  <c r="E290" i="1"/>
  <c r="G290" i="1"/>
  <c r="E291" i="1"/>
  <c r="G291" i="1"/>
  <c r="E292" i="1"/>
  <c r="G292" i="1"/>
  <c r="E293" i="1"/>
  <c r="G293" i="1"/>
  <c r="E294" i="1"/>
  <c r="G294" i="1"/>
  <c r="E295" i="1"/>
  <c r="G295" i="1"/>
  <c r="E296" i="1"/>
  <c r="G296" i="1"/>
  <c r="E297" i="1"/>
  <c r="G297" i="1"/>
  <c r="E298" i="1"/>
  <c r="G298" i="1"/>
  <c r="E299" i="1"/>
  <c r="G299" i="1"/>
  <c r="E300" i="1"/>
  <c r="G300" i="1"/>
  <c r="E301" i="1"/>
  <c r="G301" i="1"/>
  <c r="E302" i="1"/>
  <c r="G302" i="1"/>
  <c r="E303" i="1"/>
  <c r="G303" i="1"/>
  <c r="E304" i="1"/>
  <c r="G304" i="1"/>
  <c r="E305" i="1"/>
  <c r="G305" i="1"/>
  <c r="E306" i="1"/>
  <c r="G306" i="1"/>
  <c r="E307" i="1"/>
  <c r="G307" i="1"/>
  <c r="E308" i="1"/>
  <c r="G308" i="1"/>
  <c r="E309" i="1"/>
  <c r="G309" i="1"/>
  <c r="E310" i="1"/>
  <c r="G310" i="1"/>
  <c r="E311" i="1"/>
  <c r="G311" i="1"/>
  <c r="E312" i="1"/>
  <c r="G312" i="1"/>
  <c r="F313" i="1"/>
  <c r="G313" i="1"/>
  <c r="H313" i="1"/>
  <c r="E314" i="1"/>
  <c r="G314" i="1"/>
  <c r="E315" i="1"/>
  <c r="G315" i="1"/>
  <c r="E316" i="1"/>
  <c r="G316" i="1"/>
  <c r="E317" i="1"/>
  <c r="G317" i="1"/>
  <c r="E318" i="1"/>
  <c r="G318" i="1"/>
  <c r="E319" i="1"/>
  <c r="G319" i="1"/>
  <c r="E320" i="1"/>
  <c r="G320" i="1"/>
  <c r="E321" i="1"/>
  <c r="G321" i="1"/>
  <c r="E322" i="1"/>
  <c r="G322" i="1"/>
  <c r="E323" i="1"/>
  <c r="G323" i="1"/>
  <c r="E324" i="1"/>
  <c r="G324" i="1"/>
  <c r="F325" i="1"/>
  <c r="E326" i="1"/>
  <c r="G326" i="1"/>
  <c r="E327" i="1"/>
  <c r="G327" i="1"/>
  <c r="E328" i="1"/>
  <c r="G328" i="1"/>
  <c r="E329" i="1"/>
  <c r="G329" i="1"/>
  <c r="E330" i="1"/>
  <c r="G330" i="1"/>
  <c r="E331" i="1"/>
  <c r="G331" i="1"/>
  <c r="E332" i="1"/>
  <c r="G332" i="1"/>
  <c r="E333" i="1"/>
  <c r="G333" i="1"/>
  <c r="E334" i="1"/>
  <c r="G334" i="1"/>
  <c r="E335" i="1"/>
  <c r="G335" i="1"/>
  <c r="E336" i="1"/>
  <c r="G336" i="1"/>
  <c r="E337" i="1"/>
  <c r="G337" i="1"/>
  <c r="F338" i="1"/>
  <c r="G338" i="1"/>
  <c r="H338" i="1"/>
  <c r="E339" i="1"/>
  <c r="G339" i="1"/>
  <c r="E340" i="1"/>
  <c r="G340" i="1"/>
  <c r="E341" i="1"/>
  <c r="G341" i="1"/>
  <c r="E342" i="1"/>
  <c r="G342" i="1"/>
  <c r="E343" i="1"/>
  <c r="G343" i="1"/>
  <c r="E344" i="1"/>
  <c r="G344" i="1"/>
  <c r="E345" i="1"/>
  <c r="G345" i="1"/>
  <c r="E346" i="1"/>
  <c r="G346" i="1"/>
  <c r="E347" i="1"/>
  <c r="G347" i="1"/>
  <c r="E348" i="1"/>
  <c r="G348" i="1"/>
  <c r="E349" i="1"/>
  <c r="G349" i="1"/>
  <c r="E350" i="1"/>
  <c r="G350" i="1"/>
  <c r="E351" i="1"/>
  <c r="G351" i="1"/>
  <c r="E352" i="1"/>
  <c r="E353" i="1"/>
  <c r="E354" i="1"/>
  <c r="E355" i="1"/>
  <c r="G355" i="1"/>
  <c r="E356" i="1"/>
  <c r="G356" i="1"/>
  <c r="E357" i="1"/>
  <c r="G357" i="1"/>
  <c r="E358" i="1"/>
  <c r="G358" i="1"/>
  <c r="E359" i="1"/>
  <c r="G359" i="1"/>
  <c r="E360" i="1"/>
  <c r="G360" i="1"/>
  <c r="E361" i="1"/>
  <c r="G361" i="1"/>
  <c r="E362" i="1"/>
  <c r="G362" i="1"/>
  <c r="E363" i="1"/>
  <c r="G363" i="1"/>
  <c r="E364" i="1"/>
  <c r="G364" i="1"/>
  <c r="E365" i="1"/>
  <c r="G365" i="1"/>
  <c r="E366" i="1"/>
  <c r="G366" i="1"/>
  <c r="E367" i="1"/>
  <c r="G367" i="1"/>
  <c r="E368" i="1"/>
  <c r="G368" i="1"/>
  <c r="E369" i="1"/>
  <c r="G369" i="1"/>
  <c r="E370" i="1"/>
  <c r="G370" i="1"/>
  <c r="E371" i="1"/>
  <c r="G371" i="1"/>
  <c r="E372" i="1"/>
  <c r="G372" i="1"/>
  <c r="E373" i="1"/>
  <c r="G373" i="1"/>
  <c r="E374" i="1"/>
  <c r="G374" i="1"/>
  <c r="E375" i="1"/>
  <c r="G375" i="1"/>
  <c r="E376" i="1"/>
  <c r="G376" i="1"/>
  <c r="E377" i="1"/>
  <c r="G377" i="1"/>
  <c r="E378" i="1"/>
  <c r="G378" i="1"/>
  <c r="F379" i="1"/>
  <c r="G379" i="1"/>
  <c r="H379" i="1"/>
  <c r="E380" i="1"/>
  <c r="G380" i="1"/>
  <c r="E381" i="1"/>
  <c r="G381" i="1"/>
  <c r="E382" i="1"/>
  <c r="G382" i="1"/>
  <c r="E383" i="1"/>
  <c r="G383" i="1"/>
  <c r="E384" i="1"/>
  <c r="G384" i="1"/>
  <c r="E385" i="1"/>
  <c r="G385" i="1"/>
  <c r="E386" i="1"/>
  <c r="G386" i="1"/>
  <c r="E387" i="1"/>
  <c r="G387" i="1"/>
  <c r="E388" i="1"/>
  <c r="G388" i="1"/>
  <c r="E389" i="1"/>
  <c r="G389" i="1"/>
  <c r="E390" i="1"/>
  <c r="G390" i="1"/>
  <c r="E391" i="1"/>
  <c r="G391" i="1"/>
  <c r="E392" i="1"/>
  <c r="G392" i="1"/>
  <c r="E393" i="1"/>
  <c r="G393" i="1"/>
  <c r="E394" i="1"/>
  <c r="G394" i="1"/>
  <c r="E395" i="1"/>
  <c r="G395" i="1"/>
  <c r="E396" i="1"/>
  <c r="G396" i="1"/>
  <c r="E397" i="1"/>
  <c r="G397" i="1"/>
  <c r="E398" i="1"/>
  <c r="G398" i="1"/>
  <c r="E399" i="1"/>
  <c r="G399" i="1"/>
  <c r="E400" i="1"/>
  <c r="G400" i="1"/>
  <c r="E401" i="1"/>
  <c r="G401" i="1"/>
  <c r="F402" i="1"/>
  <c r="G402" i="1"/>
  <c r="H402" i="1"/>
  <c r="E403" i="1"/>
  <c r="G403" i="1"/>
  <c r="E404" i="1"/>
  <c r="G404" i="1"/>
  <c r="E405" i="1"/>
  <c r="G405" i="1"/>
  <c r="E406" i="1"/>
  <c r="G406" i="1"/>
  <c r="E407" i="1"/>
  <c r="G407" i="1"/>
  <c r="E408" i="1"/>
  <c r="G408" i="1"/>
  <c r="E409" i="1"/>
  <c r="G409" i="1"/>
  <c r="E410" i="1"/>
  <c r="G410" i="1"/>
  <c r="E411" i="1"/>
  <c r="G411" i="1"/>
  <c r="E412" i="1"/>
  <c r="G412" i="1"/>
  <c r="E413" i="1"/>
  <c r="G413" i="1"/>
  <c r="E414" i="1"/>
  <c r="G414" i="1"/>
  <c r="E415" i="1"/>
  <c r="G415" i="1"/>
  <c r="E416" i="1"/>
  <c r="G416" i="1"/>
  <c r="E417" i="1"/>
  <c r="G417" i="1"/>
  <c r="E418" i="1"/>
  <c r="G418" i="1"/>
  <c r="E419" i="1"/>
  <c r="G419" i="1"/>
  <c r="E420" i="1"/>
  <c r="G420" i="1"/>
  <c r="E421" i="1"/>
  <c r="G421" i="1"/>
  <c r="E422" i="1"/>
  <c r="G422" i="1"/>
  <c r="E423" i="1"/>
  <c r="G423" i="1"/>
  <c r="E424" i="1"/>
  <c r="G424" i="1"/>
  <c r="E425" i="1"/>
  <c r="G425" i="1"/>
  <c r="E426" i="1"/>
  <c r="G426" i="1"/>
  <c r="E427" i="1"/>
  <c r="G427" i="1"/>
  <c r="E428" i="1"/>
  <c r="G428" i="1"/>
  <c r="E429" i="1"/>
  <c r="G429" i="1"/>
  <c r="E430" i="1"/>
  <c r="G430" i="1"/>
  <c r="E431" i="1"/>
  <c r="G431" i="1"/>
  <c r="E432" i="1"/>
  <c r="G432" i="1"/>
  <c r="E433" i="1"/>
  <c r="G433" i="1"/>
  <c r="E434" i="1"/>
  <c r="G434" i="1"/>
  <c r="E435" i="1"/>
  <c r="G435" i="1"/>
  <c r="E436" i="1"/>
  <c r="G436" i="1"/>
  <c r="E437" i="1"/>
  <c r="G437" i="1"/>
  <c r="E438" i="1"/>
  <c r="G438" i="1"/>
  <c r="E439" i="1"/>
  <c r="G439" i="1"/>
  <c r="E440" i="1"/>
  <c r="G440" i="1"/>
  <c r="E441" i="1"/>
  <c r="G441" i="1"/>
  <c r="E442" i="1"/>
  <c r="G442" i="1"/>
  <c r="E443" i="1"/>
  <c r="G443" i="1"/>
  <c r="E444" i="1"/>
  <c r="G444" i="1"/>
  <c r="E445" i="1"/>
  <c r="G445" i="1"/>
  <c r="E446" i="1"/>
  <c r="G446" i="1"/>
  <c r="E447" i="1"/>
  <c r="G447" i="1"/>
  <c r="E448" i="1"/>
  <c r="G448" i="1"/>
  <c r="E449" i="1"/>
  <c r="G449" i="1"/>
  <c r="F450" i="1"/>
  <c r="G450" i="1"/>
  <c r="H450" i="1"/>
  <c r="E451" i="1"/>
  <c r="G451" i="1"/>
  <c r="E452" i="1"/>
  <c r="G452" i="1"/>
  <c r="E453" i="1"/>
  <c r="G453" i="1"/>
  <c r="E454" i="1"/>
  <c r="G454" i="1"/>
  <c r="E455" i="1"/>
  <c r="G455" i="1"/>
  <c r="E456" i="1"/>
  <c r="G456" i="1"/>
  <c r="E457" i="1"/>
  <c r="G457" i="1"/>
  <c r="E458" i="1"/>
  <c r="G458" i="1"/>
  <c r="E459" i="1"/>
  <c r="G459" i="1"/>
  <c r="E460" i="1"/>
  <c r="G460" i="1"/>
  <c r="E461" i="1"/>
  <c r="G461" i="1"/>
  <c r="E462" i="1"/>
  <c r="G462" i="1"/>
  <c r="E463" i="1"/>
  <c r="G463" i="1"/>
  <c r="E464" i="1"/>
  <c r="G464" i="1"/>
  <c r="E465" i="1"/>
  <c r="G465" i="1"/>
  <c r="E466" i="1"/>
  <c r="G466" i="1"/>
  <c r="E467" i="1"/>
  <c r="G467" i="1"/>
  <c r="E468" i="1"/>
  <c r="G468" i="1"/>
  <c r="E469" i="1"/>
  <c r="G469" i="1"/>
  <c r="E470" i="1"/>
  <c r="G470" i="1"/>
  <c r="E471" i="1"/>
  <c r="G471" i="1"/>
  <c r="E472" i="1"/>
  <c r="G472" i="1"/>
  <c r="E473" i="1"/>
  <c r="G473" i="1"/>
  <c r="E474" i="1"/>
  <c r="G474" i="1"/>
  <c r="E475" i="1"/>
  <c r="G475" i="1"/>
  <c r="E476" i="1"/>
  <c r="G476" i="1"/>
  <c r="E477" i="1"/>
  <c r="G477" i="1"/>
  <c r="E478" i="1"/>
  <c r="G478" i="1"/>
  <c r="E479" i="1"/>
  <c r="G479" i="1"/>
  <c r="E480" i="1"/>
  <c r="G480" i="1"/>
  <c r="E481" i="1"/>
  <c r="G481" i="1"/>
  <c r="E482" i="1"/>
  <c r="G482" i="1"/>
  <c r="E483" i="1"/>
  <c r="G483" i="1"/>
  <c r="E484" i="1"/>
  <c r="G484" i="1"/>
  <c r="E485" i="1"/>
  <c r="G485" i="1"/>
  <c r="E486" i="1"/>
  <c r="G486" i="1"/>
  <c r="E487" i="1"/>
  <c r="G487" i="1"/>
  <c r="E488" i="1"/>
  <c r="G488" i="1"/>
  <c r="E489" i="1"/>
  <c r="G489" i="1"/>
  <c r="E490" i="1"/>
  <c r="G490" i="1"/>
  <c r="E491" i="1"/>
  <c r="G491" i="1"/>
  <c r="E492" i="1"/>
  <c r="G492" i="1"/>
  <c r="E493" i="1"/>
  <c r="G493" i="1"/>
  <c r="E494" i="1"/>
  <c r="E495" i="1"/>
  <c r="G495" i="1"/>
  <c r="E496" i="1"/>
  <c r="G496" i="1"/>
  <c r="E497" i="1"/>
  <c r="G497" i="1"/>
  <c r="E498" i="1"/>
  <c r="G498" i="1"/>
  <c r="E499" i="1"/>
  <c r="G499" i="1"/>
  <c r="E500" i="1"/>
  <c r="G500" i="1"/>
  <c r="E501" i="1"/>
  <c r="G501" i="1"/>
  <c r="E502" i="1"/>
  <c r="G502" i="1"/>
  <c r="E503" i="1"/>
  <c r="G503" i="1"/>
  <c r="E504" i="1"/>
  <c r="G504" i="1"/>
  <c r="E505" i="1"/>
  <c r="G505" i="1"/>
  <c r="E506" i="1"/>
  <c r="G506" i="1"/>
  <c r="E507" i="1"/>
  <c r="G507" i="1"/>
  <c r="E508" i="1"/>
  <c r="G508" i="1"/>
  <c r="E509" i="1"/>
  <c r="G509" i="1"/>
  <c r="E510" i="1"/>
  <c r="G510" i="1"/>
  <c r="E511" i="1"/>
  <c r="G511" i="1"/>
  <c r="E512" i="1"/>
  <c r="G512" i="1"/>
  <c r="E513" i="1"/>
  <c r="G513" i="1"/>
  <c r="E514" i="1"/>
  <c r="G514" i="1"/>
  <c r="E515" i="1"/>
  <c r="G515" i="1"/>
  <c r="E516" i="1"/>
  <c r="G516" i="1"/>
  <c r="E517" i="1"/>
  <c r="G517" i="1"/>
  <c r="E518" i="1"/>
  <c r="G518" i="1"/>
  <c r="E519" i="1"/>
  <c r="G519" i="1"/>
  <c r="E520" i="1"/>
  <c r="G520" i="1"/>
  <c r="E521" i="1"/>
  <c r="G521" i="1"/>
  <c r="E522" i="1"/>
  <c r="G522" i="1"/>
  <c r="E523" i="1"/>
  <c r="G523" i="1"/>
  <c r="E524" i="1"/>
  <c r="G524" i="1"/>
  <c r="E525" i="1"/>
  <c r="G525" i="1"/>
  <c r="E526" i="1"/>
  <c r="G526" i="1"/>
  <c r="E527" i="1"/>
  <c r="G527" i="1"/>
  <c r="E528" i="1"/>
  <c r="G528" i="1"/>
  <c r="E529" i="1"/>
  <c r="G529" i="1"/>
  <c r="E530" i="1"/>
  <c r="G530" i="1"/>
  <c r="E531" i="1"/>
  <c r="G531" i="1"/>
  <c r="E532" i="1"/>
  <c r="G532" i="1"/>
  <c r="E533" i="1"/>
  <c r="G533" i="1"/>
  <c r="E534" i="1"/>
  <c r="G534" i="1"/>
  <c r="E535" i="1"/>
  <c r="G535" i="1"/>
  <c r="E536" i="1"/>
  <c r="G536" i="1"/>
  <c r="E537" i="1"/>
  <c r="G537" i="1"/>
  <c r="E538" i="1"/>
  <c r="G538" i="1"/>
  <c r="E539" i="1"/>
  <c r="G539" i="1"/>
  <c r="E540" i="1"/>
  <c r="G540" i="1"/>
  <c r="E541" i="1"/>
  <c r="G541" i="1"/>
  <c r="E542" i="1"/>
  <c r="G542" i="1"/>
  <c r="E543" i="1"/>
  <c r="G543" i="1"/>
  <c r="E544" i="1"/>
  <c r="G544" i="1"/>
  <c r="E545" i="1"/>
  <c r="G545" i="1"/>
  <c r="E546" i="1"/>
  <c r="G546" i="1"/>
  <c r="E547" i="1"/>
  <c r="G547" i="1"/>
  <c r="E548" i="1"/>
  <c r="G548" i="1"/>
  <c r="E549" i="1"/>
  <c r="G549" i="1"/>
  <c r="E550" i="1"/>
  <c r="G550" i="1"/>
  <c r="E551" i="1"/>
  <c r="G551" i="1"/>
  <c r="E552" i="1"/>
  <c r="G552" i="1"/>
  <c r="E553" i="1"/>
  <c r="G553" i="1"/>
  <c r="E554" i="1"/>
  <c r="G554" i="1"/>
  <c r="E555" i="1"/>
  <c r="G555" i="1"/>
  <c r="E556" i="1"/>
  <c r="G556" i="1"/>
  <c r="E557" i="1"/>
  <c r="G557" i="1"/>
  <c r="E558" i="1"/>
  <c r="G558" i="1"/>
  <c r="E559" i="1"/>
  <c r="G559" i="1"/>
  <c r="E560" i="1"/>
  <c r="G560" i="1"/>
  <c r="E561" i="1"/>
  <c r="G561" i="1"/>
  <c r="E562" i="1"/>
  <c r="G562" i="1"/>
  <c r="E563" i="1"/>
  <c r="G563" i="1"/>
  <c r="E564" i="1"/>
  <c r="G564" i="1"/>
  <c r="E565" i="1"/>
  <c r="G565" i="1"/>
  <c r="E566" i="1"/>
  <c r="G566" i="1"/>
  <c r="E567" i="1"/>
  <c r="G567" i="1"/>
  <c r="E568" i="1"/>
  <c r="G568" i="1"/>
  <c r="E569" i="1"/>
  <c r="G569" i="1"/>
  <c r="F570" i="1"/>
  <c r="G570" i="1"/>
  <c r="H570" i="1"/>
  <c r="F571" i="1"/>
  <c r="G571" i="1"/>
  <c r="H571" i="1"/>
  <c r="E572" i="1"/>
  <c r="G572" i="1"/>
  <c r="E573" i="1"/>
  <c r="G573" i="1"/>
  <c r="E574" i="1"/>
  <c r="G574" i="1"/>
  <c r="E575" i="1"/>
  <c r="G575" i="1"/>
  <c r="E576" i="1"/>
  <c r="G576" i="1"/>
  <c r="E577" i="1"/>
  <c r="G577" i="1"/>
  <c r="E578" i="1"/>
  <c r="G578" i="1"/>
  <c r="E579" i="1"/>
  <c r="G579" i="1"/>
  <c r="E580" i="1"/>
  <c r="G580" i="1"/>
  <c r="E581" i="1"/>
  <c r="G581" i="1"/>
  <c r="E582" i="1"/>
  <c r="G582" i="1"/>
  <c r="E583" i="1"/>
  <c r="G583" i="1"/>
  <c r="E584" i="1"/>
  <c r="G584" i="1"/>
  <c r="E585" i="1"/>
  <c r="G585" i="1"/>
  <c r="E586" i="1"/>
  <c r="G586" i="1"/>
  <c r="E587" i="1"/>
  <c r="G587" i="1"/>
  <c r="E588" i="1"/>
  <c r="G588" i="1"/>
  <c r="E589" i="1"/>
  <c r="G589" i="1"/>
  <c r="E590" i="1"/>
  <c r="G590" i="1"/>
  <c r="E591" i="1"/>
  <c r="G591" i="1"/>
  <c r="E592" i="1"/>
  <c r="G592" i="1"/>
  <c r="E593" i="1"/>
  <c r="G593" i="1"/>
  <c r="E594" i="1"/>
  <c r="G594" i="1"/>
  <c r="E595" i="1"/>
  <c r="G595" i="1"/>
  <c r="E596" i="1"/>
  <c r="G596" i="1"/>
  <c r="E597" i="1"/>
  <c r="G597" i="1"/>
  <c r="E598" i="1"/>
  <c r="G598" i="1"/>
  <c r="E599" i="1"/>
  <c r="G599" i="1"/>
  <c r="E600" i="1"/>
  <c r="G600" i="1"/>
  <c r="E601" i="1"/>
  <c r="G601" i="1"/>
  <c r="E602" i="1"/>
  <c r="G602" i="1"/>
  <c r="E603" i="1"/>
  <c r="G603" i="1"/>
  <c r="E604" i="1"/>
  <c r="G604" i="1"/>
  <c r="E605" i="1"/>
  <c r="G605" i="1"/>
  <c r="E606" i="1"/>
  <c r="G606" i="1"/>
  <c r="E607" i="1"/>
  <c r="G607" i="1"/>
  <c r="E608" i="1"/>
  <c r="G608" i="1"/>
  <c r="E609" i="1"/>
  <c r="G609" i="1"/>
  <c r="E610" i="1"/>
  <c r="G610" i="1"/>
  <c r="E611" i="1"/>
  <c r="G611" i="1"/>
  <c r="E612" i="1"/>
  <c r="G612" i="1"/>
  <c r="E613" i="1"/>
  <c r="G613" i="1"/>
  <c r="E614" i="1"/>
  <c r="G614" i="1"/>
  <c r="E615" i="1"/>
  <c r="G615" i="1"/>
  <c r="E616" i="1"/>
  <c r="G616" i="1"/>
  <c r="E617" i="1"/>
  <c r="G617" i="1"/>
  <c r="E618" i="1"/>
  <c r="G618" i="1"/>
  <c r="E619" i="1"/>
  <c r="G619" i="1"/>
  <c r="E620" i="1"/>
  <c r="G620" i="1"/>
  <c r="E621" i="1"/>
  <c r="G621" i="1"/>
  <c r="E622" i="1"/>
  <c r="G622" i="1"/>
  <c r="E623" i="1"/>
  <c r="G623" i="1"/>
  <c r="E624" i="1"/>
  <c r="G624" i="1"/>
  <c r="E625" i="1"/>
  <c r="G625" i="1"/>
  <c r="E626" i="1"/>
  <c r="G626" i="1"/>
  <c r="E627" i="1"/>
  <c r="G627" i="1"/>
  <c r="E628" i="1"/>
  <c r="G628" i="1"/>
  <c r="E629" i="1"/>
  <c r="G629" i="1"/>
  <c r="E630" i="1"/>
  <c r="G630" i="1"/>
  <c r="E631" i="1"/>
  <c r="G631" i="1"/>
  <c r="E632" i="1"/>
  <c r="G632" i="1"/>
  <c r="E633" i="1"/>
  <c r="G633" i="1"/>
  <c r="E634" i="1"/>
  <c r="G634" i="1"/>
  <c r="E635" i="1"/>
  <c r="G635" i="1"/>
  <c r="E636" i="1"/>
  <c r="G636" i="1"/>
  <c r="E637" i="1"/>
  <c r="G637" i="1"/>
  <c r="E638" i="1"/>
  <c r="G638" i="1"/>
  <c r="E639" i="1"/>
  <c r="G639" i="1"/>
  <c r="E640" i="1"/>
  <c r="G640" i="1"/>
  <c r="E641" i="1"/>
  <c r="G641" i="1"/>
  <c r="E642" i="1"/>
  <c r="G642" i="1"/>
  <c r="E643" i="1"/>
  <c r="G643" i="1"/>
  <c r="E644" i="1"/>
  <c r="G644" i="1"/>
  <c r="E645" i="1"/>
  <c r="G645" i="1"/>
  <c r="E646" i="1"/>
  <c r="G646" i="1"/>
  <c r="E647" i="1"/>
  <c r="G647" i="1"/>
  <c r="E648" i="1"/>
  <c r="G648" i="1"/>
  <c r="E649" i="1"/>
  <c r="G649" i="1"/>
  <c r="E650" i="1"/>
  <c r="G650" i="1"/>
  <c r="E651" i="1"/>
  <c r="G651" i="1"/>
  <c r="E652" i="1"/>
  <c r="G652" i="1"/>
  <c r="E653" i="1"/>
  <c r="G653" i="1"/>
  <c r="E654" i="1"/>
  <c r="G654" i="1"/>
  <c r="E655" i="1"/>
  <c r="G655" i="1"/>
  <c r="E656" i="1"/>
  <c r="G656" i="1"/>
  <c r="E657" i="1"/>
  <c r="G657" i="1"/>
  <c r="E658" i="1"/>
  <c r="G658" i="1"/>
  <c r="E659" i="1"/>
  <c r="G659" i="1"/>
  <c r="E660" i="1"/>
  <c r="G660" i="1"/>
  <c r="E661" i="1"/>
  <c r="G661" i="1"/>
  <c r="E662" i="1"/>
  <c r="G662" i="1"/>
  <c r="E663" i="1"/>
  <c r="G663" i="1"/>
  <c r="E664" i="1"/>
  <c r="G664" i="1"/>
  <c r="E665" i="1"/>
  <c r="G665" i="1"/>
  <c r="E666" i="1"/>
  <c r="G666" i="1"/>
  <c r="E667" i="1"/>
  <c r="G667" i="1"/>
  <c r="E668" i="1"/>
  <c r="G668" i="1"/>
  <c r="E669" i="1"/>
  <c r="G669" i="1"/>
  <c r="E670" i="1"/>
  <c r="G670" i="1"/>
  <c r="E671" i="1"/>
  <c r="G671" i="1"/>
  <c r="F672" i="1"/>
  <c r="G672" i="1"/>
  <c r="H672" i="1"/>
  <c r="F673" i="1"/>
  <c r="G673" i="1"/>
  <c r="H673" i="1"/>
  <c r="F674" i="1"/>
  <c r="G674" i="1"/>
  <c r="H674" i="1"/>
  <c r="E675" i="1"/>
  <c r="G675" i="1"/>
  <c r="E676" i="1"/>
  <c r="G676" i="1"/>
  <c r="E677" i="1"/>
  <c r="G677" i="1"/>
  <c r="E678" i="1"/>
  <c r="G678" i="1"/>
  <c r="E679" i="1"/>
  <c r="G679" i="1"/>
  <c r="E680" i="1"/>
  <c r="G680" i="1"/>
  <c r="E681" i="1"/>
  <c r="G681" i="1"/>
  <c r="E682" i="1"/>
  <c r="G682" i="1"/>
  <c r="E683" i="1"/>
  <c r="G683" i="1"/>
  <c r="E684" i="1"/>
  <c r="G684" i="1"/>
  <c r="E685" i="1"/>
  <c r="G685" i="1"/>
  <c r="E686" i="1"/>
  <c r="G686" i="1"/>
  <c r="E687" i="1"/>
  <c r="G687" i="1"/>
  <c r="E688" i="1"/>
  <c r="G688" i="1"/>
  <c r="E689" i="1"/>
  <c r="G689" i="1"/>
  <c r="E690" i="1"/>
  <c r="G690" i="1"/>
  <c r="E691" i="1"/>
  <c r="G691" i="1"/>
  <c r="E692" i="1"/>
  <c r="G692" i="1"/>
  <c r="E693" i="1"/>
  <c r="G693" i="1"/>
  <c r="E694" i="1"/>
  <c r="G694" i="1"/>
  <c r="E695" i="1"/>
  <c r="G695" i="1"/>
  <c r="E696" i="1"/>
  <c r="G696" i="1"/>
  <c r="E697" i="1"/>
  <c r="G697" i="1"/>
  <c r="E698" i="1"/>
  <c r="G698" i="1"/>
  <c r="E699" i="1"/>
  <c r="G699" i="1"/>
  <c r="E700" i="1"/>
  <c r="G700" i="1"/>
  <c r="E701" i="1"/>
  <c r="G701" i="1"/>
  <c r="E702" i="1"/>
  <c r="G702" i="1"/>
  <c r="E703" i="1"/>
  <c r="G703" i="1"/>
  <c r="E704" i="1"/>
  <c r="G704" i="1"/>
  <c r="E705" i="1"/>
  <c r="G705" i="1"/>
  <c r="E706" i="1"/>
  <c r="G706" i="1"/>
  <c r="E707" i="1"/>
  <c r="G707" i="1"/>
  <c r="E708" i="1"/>
  <c r="G708" i="1"/>
  <c r="E709" i="1"/>
  <c r="G709" i="1"/>
  <c r="E710" i="1"/>
  <c r="G710" i="1"/>
  <c r="E711" i="1"/>
  <c r="G711" i="1"/>
  <c r="E712" i="1"/>
  <c r="G712" i="1"/>
  <c r="E713" i="1"/>
  <c r="G713" i="1"/>
  <c r="E714" i="1"/>
  <c r="G714" i="1"/>
  <c r="E715" i="1"/>
  <c r="G715" i="1"/>
  <c r="E716" i="1"/>
  <c r="G716" i="1"/>
  <c r="E717" i="1"/>
  <c r="G717" i="1"/>
  <c r="E718" i="1"/>
  <c r="G718" i="1"/>
  <c r="E719" i="1"/>
  <c r="G719" i="1"/>
  <c r="E720" i="1"/>
  <c r="G720" i="1"/>
  <c r="E721" i="1"/>
  <c r="G721" i="1"/>
  <c r="E722" i="1"/>
  <c r="G722" i="1"/>
  <c r="E723" i="1"/>
  <c r="G723" i="1"/>
  <c r="E724" i="1"/>
  <c r="G724" i="1"/>
  <c r="E725" i="1"/>
  <c r="G725" i="1"/>
  <c r="E726" i="1"/>
  <c r="G726" i="1"/>
  <c r="E727" i="1"/>
  <c r="G727" i="1"/>
  <c r="E728" i="1"/>
  <c r="G728" i="1"/>
  <c r="E729" i="1"/>
  <c r="G729" i="1"/>
  <c r="E730" i="1"/>
  <c r="G730" i="1"/>
  <c r="E731" i="1"/>
  <c r="G731" i="1"/>
  <c r="E732" i="1"/>
  <c r="G732" i="1"/>
  <c r="E733" i="1"/>
  <c r="G733" i="1"/>
  <c r="E734" i="1"/>
  <c r="G734" i="1"/>
  <c r="E735" i="1"/>
  <c r="G735" i="1"/>
  <c r="E736" i="1"/>
  <c r="G736" i="1"/>
  <c r="E737" i="1"/>
  <c r="G737" i="1"/>
  <c r="E738" i="1"/>
  <c r="G738" i="1"/>
  <c r="E739" i="1"/>
  <c r="G739" i="1"/>
  <c r="E740" i="1"/>
  <c r="G740" i="1"/>
  <c r="E741" i="1"/>
  <c r="G741" i="1"/>
  <c r="E742" i="1"/>
  <c r="G742" i="1"/>
  <c r="E743" i="1"/>
  <c r="G743" i="1"/>
  <c r="E744" i="1"/>
  <c r="G744" i="1"/>
  <c r="E745" i="1"/>
  <c r="G745" i="1"/>
  <c r="E746" i="1"/>
  <c r="G746" i="1"/>
  <c r="E747" i="1"/>
  <c r="G747" i="1"/>
  <c r="E748" i="1"/>
  <c r="G748" i="1"/>
  <c r="E749" i="1"/>
  <c r="G749" i="1"/>
  <c r="E750" i="1"/>
  <c r="G750" i="1"/>
  <c r="E751" i="1"/>
  <c r="G751" i="1"/>
  <c r="E752" i="1"/>
  <c r="G752" i="1"/>
  <c r="E753" i="1"/>
  <c r="G753" i="1"/>
  <c r="E754" i="1"/>
  <c r="G754" i="1"/>
  <c r="E755" i="1"/>
  <c r="G755" i="1"/>
  <c r="E756" i="1"/>
  <c r="G756" i="1"/>
  <c r="E757" i="1"/>
  <c r="G757" i="1"/>
  <c r="E758" i="1"/>
  <c r="G758" i="1"/>
  <c r="E759" i="1"/>
  <c r="G759" i="1"/>
  <c r="E760" i="1"/>
  <c r="G760" i="1"/>
  <c r="E761" i="1"/>
  <c r="G761" i="1"/>
  <c r="E762" i="1"/>
  <c r="G762" i="1"/>
  <c r="E763" i="1"/>
  <c r="G763" i="1"/>
  <c r="E764" i="1"/>
  <c r="G764" i="1"/>
  <c r="E765" i="1"/>
  <c r="G765" i="1"/>
  <c r="E766" i="1"/>
  <c r="G766" i="1"/>
  <c r="F767" i="1"/>
  <c r="G767" i="1"/>
  <c r="H767" i="1"/>
  <c r="F768" i="1"/>
  <c r="G768" i="1"/>
  <c r="H768" i="1"/>
  <c r="E769" i="1"/>
  <c r="G769" i="1"/>
  <c r="E770" i="1"/>
  <c r="G770" i="1"/>
  <c r="E771" i="1"/>
  <c r="G771" i="1"/>
  <c r="E772" i="1"/>
  <c r="G772" i="1"/>
  <c r="E773" i="1"/>
  <c r="G773" i="1"/>
  <c r="E774" i="1"/>
  <c r="G774" i="1"/>
  <c r="E775" i="1"/>
  <c r="G775" i="1"/>
  <c r="E776" i="1"/>
  <c r="G776" i="1"/>
  <c r="E777" i="1"/>
  <c r="G777" i="1"/>
  <c r="E778" i="1"/>
  <c r="G778" i="1"/>
  <c r="E779" i="1"/>
  <c r="E780" i="1"/>
  <c r="E781" i="1"/>
  <c r="G781" i="1"/>
  <c r="E782" i="1"/>
  <c r="G782" i="1"/>
  <c r="E783" i="1"/>
  <c r="G783" i="1"/>
  <c r="E784" i="1"/>
  <c r="G784" i="1"/>
  <c r="E785" i="1"/>
  <c r="G785" i="1"/>
  <c r="E786" i="1"/>
  <c r="G786" i="1"/>
  <c r="E787" i="1"/>
  <c r="G787" i="1"/>
  <c r="E788" i="1"/>
  <c r="G788" i="1"/>
  <c r="E789" i="1"/>
  <c r="G789" i="1"/>
  <c r="E790" i="1"/>
  <c r="G790" i="1"/>
  <c r="E791" i="1"/>
  <c r="G791" i="1"/>
  <c r="E792" i="1"/>
  <c r="G792" i="1"/>
  <c r="E793" i="1"/>
  <c r="G793" i="1"/>
  <c r="E794" i="1"/>
  <c r="G794" i="1"/>
  <c r="E795" i="1"/>
  <c r="G795" i="1"/>
  <c r="E796" i="1"/>
  <c r="G796" i="1"/>
  <c r="E797" i="1"/>
  <c r="G797" i="1"/>
  <c r="E798" i="1"/>
  <c r="G798" i="1"/>
  <c r="E799" i="1"/>
  <c r="G799" i="1"/>
  <c r="E800" i="1"/>
  <c r="G800" i="1"/>
  <c r="E801" i="1"/>
  <c r="G801" i="1"/>
  <c r="E802" i="1"/>
  <c r="G802" i="1"/>
  <c r="E803" i="1"/>
  <c r="G803" i="1"/>
  <c r="E804" i="1"/>
  <c r="G804" i="1"/>
  <c r="F805" i="1"/>
  <c r="G805" i="1"/>
  <c r="H805" i="1"/>
  <c r="E806" i="1"/>
  <c r="G806" i="1"/>
  <c r="E807" i="1"/>
  <c r="G807" i="1"/>
  <c r="E808" i="1"/>
  <c r="G808" i="1"/>
  <c r="E809" i="1"/>
  <c r="G809" i="1"/>
  <c r="E810" i="1"/>
  <c r="G810" i="1"/>
  <c r="E811" i="1"/>
  <c r="G811" i="1"/>
  <c r="E812" i="1"/>
  <c r="G812" i="1"/>
  <c r="E813" i="1"/>
  <c r="G813" i="1"/>
  <c r="E814" i="1"/>
  <c r="G814" i="1"/>
  <c r="E815" i="1"/>
  <c r="G815" i="1"/>
  <c r="E816" i="1"/>
  <c r="G816" i="1"/>
  <c r="E817" i="1"/>
  <c r="G817" i="1"/>
  <c r="E818" i="1"/>
  <c r="G818" i="1"/>
  <c r="E819" i="1"/>
  <c r="G819" i="1"/>
  <c r="E820" i="1"/>
  <c r="G820" i="1"/>
  <c r="E821" i="1"/>
  <c r="G821" i="1"/>
  <c r="E822" i="1"/>
  <c r="G822" i="1"/>
  <c r="E823" i="1"/>
  <c r="G823" i="1"/>
  <c r="E824" i="1"/>
  <c r="G824" i="1"/>
  <c r="E825" i="1"/>
  <c r="G825" i="1"/>
  <c r="E826" i="1"/>
  <c r="G826" i="1"/>
  <c r="E827" i="1"/>
  <c r="G827" i="1"/>
  <c r="E828" i="1"/>
  <c r="G828" i="1"/>
  <c r="E829" i="1"/>
  <c r="G829" i="1"/>
  <c r="E830" i="1"/>
  <c r="G830" i="1"/>
  <c r="E831" i="1"/>
  <c r="G831" i="1"/>
  <c r="E832" i="1"/>
  <c r="G832" i="1"/>
  <c r="E833" i="1"/>
  <c r="G833" i="1"/>
  <c r="E834" i="1"/>
  <c r="G834" i="1"/>
  <c r="E835" i="1"/>
  <c r="G835" i="1"/>
  <c r="E836" i="1"/>
  <c r="G836" i="1"/>
  <c r="E837" i="1"/>
  <c r="G837" i="1"/>
  <c r="E838" i="1"/>
  <c r="G838" i="1"/>
  <c r="E839" i="1"/>
  <c r="G839" i="1"/>
  <c r="F840" i="1"/>
  <c r="G840" i="1"/>
  <c r="H840" i="1"/>
  <c r="E841" i="1"/>
  <c r="G841" i="1"/>
  <c r="E842" i="1"/>
  <c r="G842" i="1"/>
  <c r="E843" i="1"/>
  <c r="G843" i="1"/>
  <c r="E844" i="1"/>
  <c r="G844" i="1"/>
  <c r="E845" i="1"/>
  <c r="G845" i="1"/>
  <c r="E846" i="1"/>
  <c r="G846" i="1"/>
  <c r="E847" i="1"/>
  <c r="G847" i="1"/>
  <c r="E848" i="1"/>
  <c r="G848" i="1"/>
  <c r="E849" i="1"/>
  <c r="G849" i="1"/>
  <c r="E850" i="1"/>
  <c r="G850" i="1"/>
  <c r="E851" i="1"/>
  <c r="G851" i="1"/>
  <c r="F852" i="1"/>
  <c r="G852" i="1"/>
  <c r="H852" i="1"/>
  <c r="E853" i="1"/>
  <c r="G853" i="1"/>
  <c r="E854" i="1"/>
  <c r="G854" i="1"/>
  <c r="E855" i="1"/>
  <c r="G855" i="1"/>
  <c r="E856" i="1"/>
  <c r="G856" i="1"/>
  <c r="E857" i="1"/>
  <c r="G857" i="1"/>
  <c r="E858" i="1"/>
  <c r="G858" i="1"/>
  <c r="E859" i="1"/>
  <c r="G859" i="1"/>
  <c r="E860" i="1"/>
  <c r="G860" i="1"/>
  <c r="E861" i="1"/>
  <c r="G861" i="1"/>
  <c r="E862" i="1"/>
  <c r="G862" i="1"/>
  <c r="E863" i="1"/>
  <c r="G863" i="1"/>
  <c r="E864" i="1"/>
  <c r="G864" i="1"/>
  <c r="E865" i="1"/>
  <c r="G865" i="1"/>
  <c r="E866" i="1"/>
  <c r="G866" i="1"/>
  <c r="E867" i="1"/>
  <c r="G867" i="1"/>
  <c r="E868" i="1"/>
  <c r="G868" i="1"/>
  <c r="E869" i="1"/>
  <c r="G869" i="1"/>
  <c r="E870" i="1"/>
  <c r="G870" i="1"/>
  <c r="E871" i="1"/>
  <c r="G871" i="1"/>
  <c r="E872" i="1"/>
  <c r="G872" i="1"/>
  <c r="E873" i="1"/>
  <c r="G873" i="1"/>
  <c r="E874" i="1"/>
  <c r="G874" i="1"/>
  <c r="E875" i="1"/>
  <c r="G875" i="1"/>
  <c r="E876" i="1"/>
  <c r="G876" i="1"/>
  <c r="E877" i="1"/>
  <c r="G877" i="1"/>
  <c r="E878" i="1"/>
  <c r="G878" i="1"/>
  <c r="E879" i="1"/>
  <c r="G879" i="1"/>
  <c r="E880" i="1"/>
  <c r="G880" i="1"/>
  <c r="E881" i="1"/>
  <c r="G881" i="1"/>
  <c r="E882" i="1"/>
  <c r="G882" i="1"/>
  <c r="E883" i="1"/>
  <c r="G883" i="1"/>
  <c r="E884" i="1"/>
  <c r="G884" i="1"/>
  <c r="E885" i="1"/>
  <c r="G885" i="1"/>
  <c r="E886" i="1"/>
  <c r="G886" i="1"/>
  <c r="E887" i="1"/>
  <c r="G887" i="1"/>
  <c r="E888" i="1"/>
  <c r="G888" i="1"/>
  <c r="E889" i="1"/>
  <c r="G889" i="1"/>
  <c r="E890" i="1"/>
  <c r="G890" i="1"/>
  <c r="E891" i="1"/>
  <c r="G891" i="1"/>
  <c r="E892" i="1"/>
  <c r="G892" i="1"/>
  <c r="E893" i="1"/>
  <c r="G893" i="1"/>
  <c r="E894" i="1"/>
  <c r="G894" i="1"/>
  <c r="E895" i="1"/>
  <c r="G895" i="1"/>
  <c r="E896" i="1"/>
  <c r="G896" i="1"/>
  <c r="E897" i="1"/>
  <c r="G897" i="1"/>
  <c r="E898" i="1"/>
  <c r="G898" i="1"/>
  <c r="E899" i="1"/>
  <c r="G899" i="1"/>
  <c r="E900" i="1"/>
  <c r="G900" i="1"/>
  <c r="E901" i="1"/>
  <c r="G901" i="1"/>
  <c r="E902" i="1"/>
  <c r="G902" i="1"/>
  <c r="E903" i="1"/>
  <c r="G903" i="1"/>
  <c r="E904" i="1"/>
  <c r="G904" i="1"/>
  <c r="E905" i="1"/>
  <c r="G905" i="1"/>
  <c r="E906" i="1"/>
  <c r="G906" i="1"/>
  <c r="E907" i="1"/>
  <c r="G907" i="1"/>
  <c r="E908" i="1"/>
  <c r="G908" i="1"/>
  <c r="E909" i="1"/>
  <c r="G909" i="1"/>
  <c r="E910" i="1"/>
  <c r="G910" i="1"/>
  <c r="F911" i="1"/>
  <c r="G911" i="1"/>
  <c r="H911" i="1"/>
  <c r="F912" i="1"/>
  <c r="G912" i="1"/>
  <c r="H912" i="1"/>
  <c r="E913" i="1"/>
  <c r="G913" i="1"/>
  <c r="E914" i="1"/>
  <c r="G914" i="1"/>
  <c r="E915" i="1"/>
  <c r="G915" i="1"/>
  <c r="E916" i="1"/>
  <c r="G916" i="1"/>
  <c r="E917" i="1"/>
  <c r="G917" i="1"/>
  <c r="E918" i="1"/>
  <c r="G918" i="1"/>
  <c r="E919" i="1"/>
  <c r="G919" i="1"/>
  <c r="E920" i="1"/>
  <c r="G920" i="1"/>
  <c r="E921" i="1"/>
  <c r="G921" i="1"/>
  <c r="E922" i="1"/>
  <c r="G922" i="1"/>
  <c r="E923" i="1"/>
  <c r="G923" i="1"/>
  <c r="E924" i="1"/>
  <c r="G924" i="1"/>
  <c r="E925" i="1"/>
  <c r="G925" i="1"/>
  <c r="E926" i="1"/>
  <c r="G926" i="1"/>
  <c r="E927" i="1"/>
  <c r="G927" i="1"/>
  <c r="E928" i="1"/>
  <c r="G928" i="1"/>
  <c r="E929" i="1"/>
  <c r="G929" i="1"/>
  <c r="E930" i="1"/>
  <c r="G930" i="1"/>
  <c r="E931" i="1"/>
  <c r="G931" i="1"/>
  <c r="E932" i="1"/>
  <c r="G932" i="1"/>
  <c r="E933" i="1"/>
  <c r="G933" i="1"/>
  <c r="E934" i="1"/>
  <c r="G934" i="1"/>
  <c r="E935" i="1"/>
  <c r="G935" i="1"/>
  <c r="E936" i="1"/>
  <c r="G936" i="1"/>
  <c r="E937" i="1"/>
  <c r="G937" i="1"/>
  <c r="E938" i="1"/>
  <c r="G938" i="1"/>
  <c r="E939" i="1"/>
  <c r="G939" i="1"/>
  <c r="E940" i="1"/>
  <c r="G940" i="1"/>
  <c r="E941" i="1"/>
  <c r="G941" i="1"/>
  <c r="E942" i="1"/>
  <c r="G942" i="1"/>
  <c r="E943" i="1"/>
  <c r="G943" i="1"/>
  <c r="E944" i="1"/>
  <c r="G944" i="1"/>
  <c r="E945" i="1"/>
  <c r="G945" i="1"/>
  <c r="E946" i="1"/>
  <c r="G946" i="1"/>
  <c r="E947" i="1"/>
  <c r="G947" i="1"/>
  <c r="E948" i="1"/>
  <c r="G948" i="1"/>
  <c r="E949" i="1"/>
  <c r="G949" i="1"/>
  <c r="F950" i="1"/>
  <c r="G950" i="1"/>
  <c r="H950" i="1"/>
  <c r="E951" i="1"/>
  <c r="G951" i="1"/>
  <c r="E952" i="1"/>
  <c r="G952" i="1"/>
  <c r="E953" i="1"/>
  <c r="G953" i="1"/>
  <c r="E954" i="1"/>
  <c r="G954" i="1"/>
  <c r="E955" i="1"/>
  <c r="G955" i="1"/>
  <c r="E956" i="1"/>
  <c r="G956" i="1"/>
  <c r="E957" i="1"/>
  <c r="G957" i="1"/>
  <c r="E958" i="1"/>
  <c r="G958" i="1"/>
  <c r="E959" i="1"/>
  <c r="G959" i="1"/>
  <c r="E960" i="1"/>
  <c r="G960" i="1"/>
  <c r="E961" i="1"/>
  <c r="G961" i="1"/>
  <c r="E962" i="1"/>
  <c r="G962" i="1"/>
  <c r="E963" i="1"/>
  <c r="G963" i="1"/>
  <c r="E964" i="1"/>
  <c r="G964" i="1"/>
  <c r="E965" i="1"/>
  <c r="G965" i="1"/>
  <c r="E966" i="1"/>
  <c r="G966" i="1"/>
  <c r="E967" i="1"/>
  <c r="G967" i="1"/>
  <c r="E968" i="1"/>
  <c r="G968" i="1"/>
  <c r="E969" i="1"/>
  <c r="G969" i="1"/>
  <c r="E970" i="1"/>
  <c r="G970" i="1"/>
  <c r="E971" i="1"/>
  <c r="G971" i="1"/>
  <c r="E972" i="1"/>
  <c r="G972" i="1"/>
  <c r="E973" i="1"/>
  <c r="G973" i="1"/>
  <c r="E974" i="1"/>
  <c r="G974" i="1"/>
  <c r="E975" i="1"/>
  <c r="G975" i="1"/>
  <c r="E976" i="1"/>
  <c r="G976" i="1"/>
  <c r="E977" i="1"/>
  <c r="G977" i="1"/>
  <c r="E978" i="1"/>
  <c r="G978" i="1"/>
  <c r="E979" i="1"/>
  <c r="G979" i="1"/>
  <c r="E980" i="1"/>
  <c r="G980" i="1"/>
  <c r="E981" i="1"/>
  <c r="G981" i="1"/>
  <c r="E982" i="1"/>
  <c r="G982" i="1"/>
  <c r="E983" i="1"/>
  <c r="G983" i="1"/>
  <c r="E984" i="1"/>
  <c r="G984" i="1"/>
  <c r="E985" i="1"/>
  <c r="G985" i="1"/>
  <c r="E986" i="1"/>
  <c r="G986" i="1"/>
  <c r="E987" i="1"/>
  <c r="G987" i="1"/>
  <c r="E988" i="1"/>
  <c r="G988" i="1"/>
  <c r="E989" i="1"/>
  <c r="G989" i="1"/>
  <c r="E990" i="1"/>
  <c r="G990" i="1"/>
  <c r="E991" i="1"/>
  <c r="G991" i="1"/>
  <c r="E992" i="1"/>
  <c r="G992" i="1"/>
  <c r="E993" i="1"/>
  <c r="G993" i="1"/>
  <c r="E994" i="1"/>
  <c r="G994" i="1"/>
  <c r="E995" i="1"/>
  <c r="G995" i="1"/>
  <c r="E996" i="1"/>
  <c r="G996" i="1"/>
  <c r="E997" i="1"/>
  <c r="G997" i="1"/>
  <c r="E998" i="1"/>
  <c r="G998" i="1"/>
  <c r="E999" i="1"/>
  <c r="G999" i="1"/>
  <c r="E1000" i="1"/>
  <c r="G1000" i="1"/>
  <c r="E1001" i="1"/>
  <c r="G1001" i="1"/>
  <c r="E1002" i="1"/>
  <c r="G1002" i="1"/>
  <c r="E1003" i="1"/>
  <c r="G1003" i="1"/>
  <c r="E1004" i="1"/>
  <c r="G1004" i="1"/>
  <c r="E1005" i="1"/>
  <c r="G1005" i="1"/>
  <c r="E1006" i="1"/>
  <c r="G1006" i="1"/>
  <c r="E1007" i="1"/>
  <c r="G1007" i="1"/>
  <c r="E1008" i="1"/>
  <c r="G1008" i="1"/>
  <c r="E1009" i="1"/>
  <c r="G1009" i="1"/>
  <c r="E1010" i="1"/>
  <c r="G1010" i="1"/>
  <c r="E1011" i="1"/>
  <c r="G1011" i="1"/>
  <c r="E1012" i="1"/>
  <c r="G1012" i="1"/>
  <c r="E1013" i="1"/>
  <c r="G1013" i="1"/>
  <c r="E1014" i="1"/>
  <c r="G1014" i="1"/>
  <c r="E1015" i="1"/>
  <c r="G1015" i="1"/>
  <c r="E1016" i="1"/>
  <c r="G1016" i="1"/>
  <c r="E1017" i="1"/>
  <c r="G1017" i="1"/>
  <c r="E1018" i="1"/>
  <c r="G1018" i="1"/>
  <c r="E1019" i="1"/>
  <c r="G1019" i="1"/>
  <c r="E1020" i="1"/>
  <c r="G1020" i="1"/>
  <c r="E1021" i="1"/>
  <c r="G1021" i="1"/>
  <c r="E1022" i="1"/>
  <c r="G1022" i="1"/>
  <c r="E1023" i="1"/>
  <c r="G1023" i="1"/>
  <c r="E1024" i="1"/>
  <c r="G1024" i="1"/>
  <c r="E1025" i="1"/>
  <c r="G1025" i="1"/>
  <c r="E1026" i="1"/>
  <c r="G1026" i="1"/>
  <c r="E1027" i="1"/>
  <c r="G1027" i="1"/>
  <c r="E1028" i="1"/>
  <c r="G1028" i="1"/>
  <c r="E1029" i="1"/>
  <c r="G1029" i="1"/>
  <c r="E1030" i="1"/>
  <c r="G1030" i="1"/>
  <c r="E1031" i="1"/>
  <c r="G1031" i="1"/>
  <c r="E1032" i="1"/>
  <c r="G1032" i="1"/>
  <c r="E1033" i="1"/>
  <c r="G1033" i="1"/>
  <c r="E1034" i="1"/>
  <c r="G1034" i="1"/>
  <c r="E1035" i="1"/>
  <c r="G1035" i="1"/>
  <c r="E1036" i="1"/>
  <c r="G1036" i="1"/>
  <c r="E1037" i="1"/>
  <c r="G1037" i="1"/>
  <c r="E1038" i="1"/>
  <c r="G1038" i="1"/>
  <c r="E1039" i="1"/>
  <c r="G1039" i="1"/>
  <c r="E1040" i="1"/>
  <c r="G1040" i="1"/>
  <c r="E1041" i="1"/>
  <c r="G1041" i="1"/>
  <c r="E1042" i="1"/>
  <c r="G1042" i="1"/>
  <c r="E1043" i="1"/>
  <c r="G1043" i="1"/>
  <c r="E1044" i="1"/>
  <c r="G1044" i="1"/>
  <c r="E1045" i="1"/>
  <c r="G1045" i="1"/>
  <c r="E1046" i="1"/>
  <c r="G1046" i="1"/>
  <c r="E1047" i="1"/>
  <c r="G1047" i="1"/>
  <c r="E1048" i="1"/>
  <c r="G1048" i="1"/>
  <c r="E1049" i="1"/>
  <c r="G1049" i="1"/>
  <c r="E1050" i="1"/>
  <c r="G1050" i="1"/>
  <c r="E1051" i="1"/>
  <c r="G1051" i="1"/>
  <c r="E1052" i="1"/>
  <c r="G1052" i="1"/>
  <c r="E1053" i="1"/>
  <c r="G1053" i="1"/>
  <c r="E1054" i="1"/>
  <c r="G1054" i="1"/>
  <c r="E1055" i="1"/>
  <c r="G1055" i="1"/>
  <c r="E1056" i="1"/>
  <c r="G1056" i="1"/>
  <c r="E1057" i="1"/>
  <c r="G1057" i="1"/>
  <c r="E1058" i="1"/>
  <c r="G1058" i="1"/>
  <c r="E1059" i="1"/>
  <c r="G1059" i="1"/>
  <c r="E1060" i="1"/>
  <c r="G1060" i="1"/>
  <c r="E1061" i="1"/>
  <c r="G1061" i="1"/>
  <c r="E1062" i="1"/>
  <c r="G1062" i="1"/>
  <c r="E1063" i="1"/>
  <c r="G1063" i="1"/>
  <c r="E1064" i="1"/>
  <c r="G1064" i="1"/>
  <c r="E1065" i="1"/>
  <c r="G1065" i="1"/>
  <c r="E1066" i="1"/>
  <c r="G1066" i="1"/>
  <c r="E1067" i="1"/>
  <c r="G1067" i="1"/>
  <c r="E1068" i="1"/>
  <c r="G1068" i="1"/>
  <c r="E1069" i="1"/>
  <c r="G1069" i="1"/>
  <c r="E1070" i="1"/>
  <c r="G1070" i="1"/>
  <c r="E1071" i="1"/>
  <c r="G1071" i="1"/>
  <c r="E1072" i="1"/>
  <c r="G1072" i="1"/>
  <c r="E1073" i="1"/>
  <c r="G1073" i="1"/>
  <c r="E1074" i="1"/>
  <c r="G1074" i="1"/>
  <c r="E1075" i="1"/>
  <c r="G1075" i="1"/>
  <c r="E1076" i="1"/>
  <c r="G1076" i="1"/>
  <c r="E1077" i="1"/>
  <c r="G1077" i="1"/>
  <c r="E1078" i="1"/>
  <c r="G1078" i="1"/>
  <c r="E1079" i="1"/>
  <c r="G1079" i="1"/>
  <c r="E1080" i="1"/>
  <c r="G1080" i="1"/>
  <c r="E1081" i="1"/>
  <c r="G1081" i="1"/>
  <c r="E1082" i="1"/>
  <c r="G1082" i="1"/>
  <c r="E1083" i="1"/>
  <c r="G1083" i="1"/>
  <c r="E1084" i="1"/>
  <c r="G1084" i="1"/>
  <c r="E1085" i="1"/>
  <c r="G1085" i="1"/>
  <c r="E1086" i="1"/>
  <c r="G1086" i="1"/>
  <c r="E1087" i="1"/>
  <c r="G1087" i="1"/>
  <c r="E1088" i="1"/>
  <c r="G1088" i="1"/>
  <c r="E1089" i="1"/>
  <c r="G1089" i="1"/>
  <c r="E1090" i="1"/>
  <c r="G1090" i="1"/>
  <c r="E1091" i="1"/>
  <c r="G1091" i="1"/>
  <c r="E1092" i="1"/>
  <c r="G1092" i="1"/>
  <c r="E1093" i="1"/>
  <c r="G1093" i="1"/>
  <c r="E1094" i="1"/>
  <c r="G1094" i="1"/>
  <c r="E1095" i="1"/>
  <c r="G1095" i="1"/>
  <c r="E1096" i="1"/>
  <c r="G1096" i="1"/>
  <c r="E1097" i="1"/>
  <c r="G1097" i="1"/>
  <c r="E1098" i="1"/>
  <c r="G1098" i="1"/>
  <c r="E1099" i="1"/>
  <c r="G1099" i="1"/>
  <c r="E1100" i="1"/>
  <c r="G1100" i="1"/>
  <c r="E1101" i="1"/>
  <c r="G1101" i="1"/>
  <c r="E1102" i="1"/>
  <c r="G1102" i="1"/>
  <c r="E1103" i="1"/>
  <c r="G1103" i="1"/>
  <c r="E1104" i="1"/>
  <c r="G1104" i="1"/>
  <c r="E1105" i="1"/>
  <c r="G1105" i="1"/>
  <c r="E1106" i="1"/>
  <c r="G1106" i="1"/>
  <c r="E1107" i="1"/>
  <c r="G1107" i="1"/>
  <c r="E1108" i="1"/>
  <c r="G1108" i="1"/>
  <c r="E1109" i="1"/>
  <c r="G1109" i="1"/>
  <c r="E1110" i="1"/>
  <c r="G1110" i="1"/>
  <c r="E1111" i="1"/>
  <c r="G1111" i="1"/>
  <c r="E1112" i="1"/>
  <c r="G1112" i="1"/>
  <c r="E1113" i="1"/>
  <c r="G1113" i="1"/>
  <c r="E1114" i="1"/>
  <c r="G1114" i="1"/>
  <c r="E1115" i="1"/>
  <c r="G1115" i="1"/>
  <c r="E1116" i="1"/>
  <c r="G1116" i="1"/>
  <c r="E1117" i="1"/>
  <c r="G1117" i="1"/>
  <c r="E1118" i="1"/>
  <c r="G1118" i="1"/>
  <c r="E1119" i="1"/>
  <c r="G1119" i="1"/>
  <c r="E1120" i="1"/>
  <c r="G1120" i="1"/>
  <c r="E1121" i="1"/>
  <c r="G1121" i="1"/>
  <c r="E1122" i="1"/>
  <c r="G1122" i="1"/>
  <c r="E1123" i="1"/>
  <c r="G1123" i="1"/>
  <c r="E1124" i="1"/>
  <c r="G1124" i="1"/>
  <c r="E1125" i="1"/>
  <c r="G1125" i="1"/>
  <c r="E1126" i="1"/>
  <c r="G1126" i="1"/>
  <c r="E1127" i="1"/>
  <c r="G1127" i="1"/>
  <c r="E1128" i="1"/>
  <c r="G1128" i="1"/>
  <c r="E1129" i="1"/>
  <c r="G1129" i="1"/>
  <c r="E1130" i="1"/>
  <c r="G1130" i="1"/>
  <c r="E1131" i="1"/>
  <c r="G1131" i="1"/>
  <c r="E1132" i="1"/>
  <c r="G1132" i="1"/>
  <c r="E1133" i="1"/>
  <c r="G1133" i="1"/>
  <c r="E1134" i="1"/>
  <c r="G1134" i="1"/>
  <c r="E1135" i="1"/>
  <c r="G1135" i="1"/>
  <c r="E1136" i="1"/>
  <c r="G1136" i="1"/>
  <c r="E1137" i="1"/>
  <c r="G1137" i="1"/>
  <c r="E1138" i="1"/>
  <c r="G1138" i="1"/>
  <c r="E1139" i="1"/>
  <c r="G1139" i="1"/>
  <c r="E1140" i="1"/>
  <c r="G1140" i="1"/>
  <c r="E1141" i="1"/>
  <c r="G1141" i="1"/>
  <c r="E1142" i="1"/>
  <c r="G1142" i="1"/>
  <c r="E1143" i="1"/>
  <c r="G1143" i="1"/>
  <c r="E1144" i="1"/>
  <c r="G1144" i="1"/>
  <c r="E1145" i="1"/>
  <c r="G1145" i="1"/>
  <c r="E1146" i="1"/>
  <c r="G1146" i="1"/>
  <c r="E1147" i="1"/>
  <c r="G1147" i="1"/>
  <c r="E1148" i="1"/>
  <c r="G1148" i="1"/>
  <c r="E1149" i="1"/>
  <c r="G1149" i="1"/>
  <c r="E1150" i="1"/>
  <c r="G1150" i="1"/>
  <c r="E1151" i="1"/>
  <c r="G1151" i="1"/>
  <c r="E1152" i="1"/>
  <c r="G1152" i="1"/>
  <c r="E1153" i="1"/>
  <c r="G1153" i="1"/>
  <c r="E1154" i="1"/>
  <c r="G1154" i="1"/>
  <c r="E1155" i="1"/>
  <c r="G1155" i="1"/>
  <c r="F1156" i="1"/>
  <c r="G1156" i="1"/>
  <c r="H1156" i="1"/>
  <c r="F1157" i="1"/>
  <c r="G1157" i="1"/>
  <c r="H1157" i="1"/>
  <c r="E1158" i="1"/>
  <c r="G1158" i="1"/>
  <c r="E1159" i="1"/>
  <c r="G1159" i="1"/>
  <c r="E1160" i="1"/>
  <c r="G1160" i="1"/>
  <c r="E1161" i="1"/>
  <c r="G1161" i="1"/>
  <c r="F1162" i="1"/>
  <c r="G1162" i="1"/>
  <c r="H1162" i="1"/>
  <c r="E1163" i="1"/>
  <c r="G1163" i="1"/>
  <c r="E1164" i="1"/>
  <c r="G1164" i="1"/>
  <c r="E1165" i="1"/>
  <c r="G1165" i="1"/>
  <c r="E1166" i="1"/>
  <c r="G1166" i="1"/>
  <c r="E1167" i="1"/>
  <c r="G1167" i="1"/>
  <c r="E1168" i="1"/>
  <c r="G1168" i="1"/>
  <c r="E1169" i="1"/>
  <c r="G1169" i="1"/>
  <c r="E1170" i="1"/>
  <c r="G1170" i="1"/>
  <c r="E1171" i="1"/>
  <c r="G1171" i="1"/>
  <c r="E1172" i="1"/>
  <c r="G1172" i="1"/>
  <c r="E1173" i="1"/>
  <c r="G1173" i="1"/>
  <c r="E1174" i="1"/>
  <c r="G1174" i="1"/>
  <c r="E1175" i="1"/>
  <c r="G1175" i="1"/>
  <c r="E1176" i="1"/>
  <c r="G1176" i="1"/>
  <c r="E1177" i="1"/>
  <c r="G1177" i="1"/>
  <c r="E1178" i="1"/>
  <c r="G1178" i="1"/>
  <c r="E1179" i="1"/>
  <c r="G1179" i="1"/>
  <c r="E1180" i="1"/>
  <c r="G1180" i="1"/>
  <c r="E1181" i="1"/>
  <c r="G1181" i="1"/>
  <c r="E1182" i="1"/>
  <c r="G1182" i="1"/>
  <c r="E1183" i="1"/>
  <c r="G1183" i="1"/>
  <c r="E1184" i="1"/>
  <c r="G1184" i="1"/>
  <c r="E1185" i="1"/>
  <c r="G1185" i="1"/>
  <c r="E1186" i="1"/>
  <c r="G1186" i="1"/>
  <c r="E1187" i="1"/>
  <c r="G1187" i="1"/>
  <c r="E1188" i="1"/>
  <c r="G1188" i="1"/>
  <c r="E1189" i="1"/>
  <c r="G1189" i="1"/>
  <c r="E1190" i="1"/>
  <c r="G1190" i="1"/>
  <c r="E1191" i="1"/>
  <c r="G1191" i="1"/>
  <c r="E1192" i="1"/>
  <c r="G1192" i="1"/>
  <c r="E1193" i="1"/>
  <c r="G1193" i="1"/>
  <c r="E1194" i="1"/>
  <c r="G1194" i="1"/>
  <c r="E1195" i="1"/>
  <c r="G1195" i="1"/>
  <c r="E1196" i="1"/>
  <c r="G1196" i="1"/>
  <c r="E1197" i="1"/>
  <c r="G1197" i="1"/>
  <c r="E1198" i="1"/>
  <c r="G1198" i="1"/>
  <c r="E1199" i="1"/>
  <c r="G1199" i="1"/>
  <c r="E1200" i="1"/>
  <c r="G1200" i="1"/>
  <c r="E1201" i="1"/>
  <c r="G1201" i="1"/>
  <c r="E1202" i="1"/>
  <c r="G1202" i="1"/>
  <c r="E1203" i="1"/>
  <c r="G1203" i="1"/>
  <c r="E1204" i="1"/>
  <c r="G1204" i="1"/>
  <c r="E1205" i="1"/>
  <c r="G1205" i="1"/>
  <c r="E1206" i="1"/>
  <c r="G1206" i="1"/>
  <c r="E1207" i="1"/>
  <c r="G1207" i="1"/>
  <c r="E1208" i="1"/>
  <c r="G1208" i="1"/>
  <c r="E1209" i="1"/>
  <c r="G1209" i="1"/>
  <c r="E1210" i="1"/>
  <c r="G1210" i="1"/>
  <c r="E1211" i="1"/>
  <c r="G1211" i="1"/>
  <c r="E1212" i="1"/>
  <c r="G1212" i="1"/>
  <c r="E1213" i="1"/>
  <c r="G1213" i="1"/>
  <c r="E1214" i="1"/>
  <c r="G1214" i="1"/>
  <c r="E1215" i="1"/>
  <c r="G1215" i="1"/>
  <c r="E1216" i="1"/>
  <c r="G1216" i="1"/>
  <c r="E1217" i="1"/>
  <c r="G1217" i="1"/>
  <c r="E1218" i="1"/>
  <c r="G1218" i="1"/>
  <c r="E1219" i="1"/>
  <c r="G1219" i="1"/>
  <c r="E1220" i="1"/>
  <c r="G1220" i="1"/>
  <c r="E1221" i="1"/>
  <c r="G1221" i="1"/>
  <c r="E1222" i="1"/>
  <c r="G1222" i="1"/>
  <c r="E1223" i="1"/>
  <c r="G1223" i="1"/>
  <c r="E1224" i="1"/>
  <c r="G1224" i="1"/>
  <c r="E1225" i="1"/>
  <c r="G1225" i="1"/>
  <c r="E1226" i="1"/>
  <c r="G1226" i="1"/>
  <c r="E1227" i="1"/>
  <c r="G1227" i="1"/>
  <c r="E1228" i="1"/>
  <c r="G1228" i="1"/>
  <c r="E1229" i="1"/>
  <c r="G1229" i="1"/>
  <c r="E1230" i="1"/>
  <c r="G1230" i="1"/>
  <c r="E1231" i="1"/>
  <c r="G1231" i="1"/>
  <c r="E1232" i="1"/>
  <c r="G1232" i="1"/>
  <c r="E1233" i="1"/>
  <c r="G1233" i="1"/>
  <c r="E1234" i="1"/>
  <c r="G1234" i="1"/>
  <c r="E1235" i="1"/>
  <c r="G1235" i="1"/>
  <c r="E1236" i="1"/>
  <c r="G1236" i="1"/>
  <c r="E1237" i="1"/>
  <c r="G1237" i="1"/>
  <c r="E1238" i="1"/>
  <c r="G1238" i="1"/>
  <c r="E1239" i="1"/>
  <c r="G1239" i="1"/>
  <c r="E1240" i="1"/>
  <c r="G1240" i="1"/>
  <c r="E1241" i="1"/>
  <c r="G1241" i="1"/>
  <c r="E1242" i="1"/>
  <c r="G1242" i="1"/>
  <c r="E1243" i="1"/>
  <c r="G1243" i="1"/>
  <c r="E1244" i="1"/>
  <c r="G1244" i="1"/>
  <c r="E1245" i="1"/>
  <c r="G1245" i="1"/>
  <c r="E1246" i="1"/>
  <c r="G1246" i="1"/>
  <c r="E1247" i="1"/>
  <c r="G1247" i="1"/>
  <c r="E1248" i="1"/>
  <c r="G1248" i="1"/>
  <c r="E1249" i="1"/>
  <c r="G1249" i="1"/>
  <c r="E1250" i="1"/>
  <c r="G1250" i="1"/>
  <c r="E1251" i="1"/>
  <c r="G1251" i="1"/>
  <c r="E1252" i="1"/>
  <c r="G1252" i="1"/>
  <c r="E1253" i="1"/>
  <c r="G1253" i="1"/>
  <c r="E1254" i="1"/>
  <c r="G1254" i="1"/>
  <c r="E1255" i="1"/>
  <c r="G1255" i="1"/>
  <c r="E1256" i="1"/>
  <c r="G1256" i="1"/>
  <c r="E1257" i="1"/>
  <c r="G1257" i="1"/>
  <c r="E1258" i="1"/>
  <c r="G1258" i="1"/>
  <c r="E1259" i="1"/>
  <c r="G1259" i="1"/>
  <c r="E1260" i="1"/>
  <c r="G1260" i="1"/>
  <c r="E1261" i="1"/>
  <c r="G1261" i="1"/>
  <c r="E1262" i="1"/>
  <c r="G1262" i="1"/>
  <c r="E1263" i="1"/>
  <c r="G1263" i="1"/>
  <c r="E1264" i="1"/>
  <c r="G1264" i="1"/>
  <c r="E1265" i="1"/>
  <c r="G1265" i="1"/>
  <c r="E1266" i="1"/>
  <c r="G1266" i="1"/>
  <c r="E1267" i="1"/>
  <c r="G1267" i="1"/>
  <c r="E1268" i="1"/>
  <c r="G1268" i="1"/>
  <c r="E1269" i="1"/>
  <c r="G1269" i="1"/>
  <c r="E1270" i="1"/>
  <c r="G1270" i="1"/>
  <c r="E1271" i="1"/>
  <c r="G1271" i="1"/>
  <c r="E1272" i="1"/>
  <c r="G1272" i="1"/>
  <c r="E1273" i="1"/>
  <c r="G1273" i="1"/>
  <c r="E1274" i="1"/>
  <c r="G1274" i="1"/>
  <c r="E1275" i="1"/>
  <c r="G1275" i="1"/>
  <c r="E1276" i="1"/>
  <c r="G1276" i="1"/>
  <c r="E1277" i="1"/>
  <c r="G1277" i="1"/>
  <c r="E1278" i="1"/>
  <c r="G1278" i="1"/>
  <c r="E1279" i="1"/>
  <c r="G1279" i="1"/>
  <c r="E1280" i="1"/>
  <c r="G1280" i="1"/>
  <c r="E1281" i="1"/>
  <c r="G1281" i="1"/>
  <c r="E1282" i="1"/>
  <c r="G1282" i="1"/>
  <c r="E1283" i="1"/>
  <c r="G1283" i="1"/>
  <c r="E1284" i="1"/>
  <c r="G1284" i="1"/>
  <c r="E1285" i="1"/>
  <c r="G1285" i="1"/>
  <c r="E1286" i="1"/>
  <c r="G1286" i="1"/>
  <c r="E1287" i="1"/>
  <c r="G1287" i="1"/>
  <c r="E1288" i="1"/>
  <c r="G1288" i="1"/>
  <c r="E1289" i="1"/>
  <c r="G1289" i="1"/>
  <c r="E1290" i="1"/>
  <c r="G1290" i="1"/>
  <c r="E1291" i="1"/>
  <c r="G1291" i="1"/>
  <c r="E1292" i="1"/>
  <c r="G1292" i="1"/>
  <c r="F1293" i="1"/>
  <c r="G1293" i="1"/>
  <c r="H1293" i="1"/>
  <c r="F1294" i="1"/>
  <c r="G1294" i="1"/>
  <c r="H1294" i="1"/>
  <c r="F1295" i="1"/>
  <c r="G1295" i="1"/>
  <c r="H1295" i="1"/>
  <c r="E1296" i="1"/>
  <c r="G1296" i="1"/>
  <c r="E1297" i="1"/>
  <c r="G1297" i="1"/>
  <c r="E1298" i="1"/>
  <c r="G1298" i="1"/>
  <c r="E1299" i="1"/>
  <c r="G1299" i="1"/>
  <c r="E1300" i="1"/>
  <c r="G1300" i="1"/>
  <c r="E1301" i="1"/>
  <c r="G1301" i="1"/>
  <c r="E1302" i="1"/>
  <c r="G1302" i="1"/>
  <c r="E1303" i="1"/>
  <c r="G1303" i="1"/>
  <c r="E1304" i="1"/>
  <c r="G1304" i="1"/>
  <c r="E1305" i="1"/>
  <c r="G1305" i="1"/>
  <c r="E1306" i="1"/>
  <c r="G1306" i="1"/>
  <c r="E1307" i="1"/>
  <c r="G1307" i="1"/>
  <c r="E1308" i="1"/>
  <c r="G1308" i="1"/>
  <c r="E1309" i="1"/>
  <c r="G1309" i="1"/>
  <c r="E1310" i="1"/>
  <c r="G1310" i="1"/>
  <c r="E1311" i="1"/>
  <c r="G1311" i="1"/>
  <c r="E1312" i="1"/>
  <c r="G1312" i="1"/>
  <c r="E1313" i="1"/>
  <c r="G1313" i="1"/>
  <c r="E1314" i="1"/>
  <c r="G1314" i="1"/>
  <c r="E1315" i="1"/>
  <c r="G1315" i="1"/>
  <c r="E1316" i="1"/>
  <c r="G1316" i="1"/>
  <c r="E1317" i="1"/>
  <c r="G1317" i="1"/>
  <c r="E1318" i="1"/>
  <c r="G1318" i="1"/>
  <c r="E1319" i="1"/>
  <c r="G1319" i="1"/>
  <c r="E1320" i="1"/>
  <c r="G1320" i="1"/>
  <c r="E1321" i="1"/>
  <c r="G1321" i="1"/>
  <c r="E1322" i="1"/>
  <c r="G1322" i="1"/>
  <c r="E1323" i="1"/>
  <c r="G1323" i="1"/>
  <c r="E1324" i="1"/>
  <c r="G1324" i="1"/>
  <c r="E1325" i="1"/>
  <c r="G1325" i="1"/>
  <c r="E1326" i="1"/>
  <c r="G1326" i="1"/>
  <c r="E1327" i="1"/>
  <c r="G1327" i="1"/>
  <c r="E1328" i="1"/>
  <c r="G1328" i="1"/>
  <c r="E1329" i="1"/>
  <c r="G1329" i="1"/>
  <c r="E1330" i="1"/>
  <c r="G1330" i="1"/>
  <c r="E1331" i="1"/>
  <c r="G1331" i="1"/>
  <c r="E1332" i="1"/>
  <c r="G1332" i="1"/>
  <c r="E1333" i="1"/>
  <c r="G1333" i="1"/>
  <c r="E1334" i="1"/>
  <c r="G1334" i="1"/>
  <c r="E1335" i="1"/>
  <c r="G1335" i="1"/>
  <c r="E1336" i="1"/>
  <c r="G1336" i="1"/>
  <c r="E1337" i="1"/>
  <c r="G1337" i="1"/>
  <c r="E1338" i="1"/>
  <c r="G1338" i="1"/>
  <c r="E1339" i="1"/>
  <c r="G1339" i="1"/>
  <c r="E1340" i="1"/>
  <c r="G1340" i="1"/>
  <c r="E1341" i="1"/>
  <c r="G1341" i="1"/>
  <c r="E1342" i="1"/>
  <c r="G1342" i="1"/>
  <c r="E1343" i="1"/>
  <c r="G1343" i="1"/>
  <c r="E1344" i="1"/>
  <c r="G1344" i="1"/>
  <c r="E1345" i="1"/>
  <c r="G1345" i="1"/>
  <c r="E1346" i="1"/>
  <c r="G1346" i="1"/>
  <c r="E1347" i="1"/>
  <c r="G1347" i="1"/>
  <c r="E1348" i="1"/>
  <c r="G1348" i="1"/>
  <c r="E1349" i="1"/>
  <c r="G1349" i="1"/>
  <c r="E1350" i="1"/>
  <c r="G1350" i="1"/>
  <c r="E1351" i="1"/>
  <c r="G1351" i="1"/>
  <c r="E1352" i="1"/>
  <c r="G1352" i="1"/>
  <c r="E1353" i="1"/>
  <c r="G1353" i="1"/>
  <c r="E1354" i="1"/>
  <c r="G1354" i="1"/>
  <c r="E1355" i="1"/>
  <c r="G1355" i="1"/>
  <c r="E1356" i="1"/>
  <c r="G1356" i="1"/>
  <c r="E1357" i="1"/>
  <c r="G1357" i="1"/>
  <c r="E1358" i="1"/>
  <c r="G1358" i="1"/>
  <c r="E1359" i="1"/>
  <c r="G1359" i="1"/>
  <c r="E1360" i="1"/>
  <c r="G1360" i="1"/>
  <c r="E1361" i="1"/>
  <c r="G1361" i="1"/>
  <c r="E1362" i="1"/>
  <c r="G1362" i="1"/>
  <c r="E1363" i="1"/>
  <c r="G1363" i="1"/>
  <c r="E1364" i="1"/>
  <c r="G1364" i="1"/>
  <c r="E1365" i="1"/>
  <c r="G1365" i="1"/>
  <c r="E1366" i="1"/>
  <c r="G1366" i="1"/>
  <c r="E1367" i="1"/>
  <c r="G1367" i="1"/>
  <c r="E1368" i="1"/>
  <c r="G1368" i="1"/>
  <c r="E1369" i="1"/>
  <c r="G1369" i="1"/>
  <c r="E1370" i="1"/>
  <c r="G1370" i="1"/>
  <c r="E1371" i="1"/>
  <c r="G1371" i="1"/>
  <c r="E1372" i="1"/>
  <c r="G1372" i="1"/>
  <c r="E1373" i="1"/>
  <c r="G1373" i="1"/>
  <c r="E1374" i="1"/>
  <c r="G1374" i="1"/>
  <c r="E1375" i="1"/>
  <c r="G1375" i="1"/>
  <c r="E1376" i="1"/>
  <c r="G1376" i="1"/>
  <c r="E1377" i="1"/>
  <c r="G1377" i="1"/>
  <c r="E1378" i="1"/>
  <c r="G1378" i="1"/>
  <c r="E1379" i="1"/>
  <c r="G1379" i="1"/>
  <c r="E1380" i="1"/>
  <c r="G1380" i="1"/>
  <c r="E1381" i="1"/>
  <c r="G1381" i="1"/>
  <c r="E1382" i="1"/>
  <c r="G1382" i="1"/>
  <c r="E1383" i="1"/>
  <c r="G1383" i="1"/>
  <c r="E1384" i="1"/>
  <c r="G1384" i="1"/>
  <c r="E1385" i="1"/>
  <c r="G1385" i="1"/>
  <c r="E1386" i="1"/>
  <c r="G1386" i="1"/>
  <c r="E1387" i="1"/>
  <c r="G1387" i="1"/>
  <c r="E1388" i="1"/>
  <c r="G1388" i="1"/>
  <c r="E1389" i="1"/>
  <c r="G1389" i="1"/>
  <c r="E1390" i="1"/>
  <c r="G1390" i="1"/>
  <c r="E1391" i="1"/>
  <c r="G1391" i="1"/>
  <c r="E1392" i="1"/>
  <c r="G1392" i="1"/>
  <c r="E1393" i="1"/>
  <c r="G1393" i="1"/>
  <c r="E1394" i="1"/>
  <c r="G1394" i="1"/>
  <c r="E1395" i="1"/>
  <c r="G1395" i="1"/>
  <c r="E1396" i="1"/>
  <c r="G1396" i="1"/>
  <c r="E1397" i="1"/>
  <c r="G1397" i="1"/>
  <c r="E1398" i="1"/>
  <c r="G1398" i="1"/>
  <c r="E1399" i="1"/>
  <c r="G1399" i="1"/>
  <c r="E1400" i="1"/>
  <c r="G1400" i="1"/>
  <c r="F1401" i="1"/>
  <c r="G1401" i="1"/>
  <c r="H1401" i="1"/>
  <c r="E1402" i="1"/>
  <c r="G1402" i="1"/>
  <c r="E1403" i="1"/>
  <c r="G1403" i="1"/>
  <c r="E1404" i="1"/>
  <c r="G1404" i="1"/>
  <c r="E1405" i="1"/>
  <c r="G1405" i="1"/>
  <c r="E1406" i="1"/>
  <c r="G1406" i="1"/>
  <c r="E1407" i="1"/>
  <c r="G1407" i="1"/>
  <c r="E1408" i="1"/>
  <c r="G1408" i="1"/>
  <c r="E1409" i="1"/>
  <c r="G1409" i="1"/>
  <c r="E1410" i="1"/>
  <c r="G1410" i="1"/>
  <c r="E1411" i="1"/>
  <c r="G1411" i="1"/>
  <c r="E1412" i="1"/>
  <c r="G1412" i="1"/>
  <c r="E1413" i="1"/>
  <c r="G1413" i="1"/>
  <c r="E1414" i="1"/>
  <c r="G1414" i="1"/>
  <c r="E1415" i="1"/>
  <c r="G1415" i="1"/>
  <c r="E1416" i="1"/>
  <c r="G1416" i="1"/>
  <c r="E1417" i="1"/>
  <c r="G1417" i="1"/>
  <c r="E1418" i="1"/>
  <c r="G1418" i="1"/>
  <c r="E1419" i="1"/>
  <c r="G1419" i="1"/>
  <c r="E1420" i="1"/>
  <c r="G1420" i="1"/>
  <c r="E1421" i="1"/>
  <c r="G1421" i="1"/>
  <c r="E1422" i="1"/>
  <c r="G1422" i="1"/>
  <c r="E1423" i="1"/>
  <c r="G1423" i="1"/>
  <c r="E1424" i="1"/>
  <c r="G1424" i="1"/>
  <c r="E1425" i="1"/>
  <c r="G1425" i="1"/>
  <c r="E1426" i="1"/>
  <c r="G1426" i="1"/>
  <c r="E1427" i="1"/>
  <c r="G1427" i="1"/>
  <c r="E1428" i="1"/>
  <c r="G1428" i="1"/>
  <c r="E1429" i="1"/>
  <c r="G1429" i="1"/>
  <c r="E1430" i="1"/>
  <c r="G1430" i="1"/>
  <c r="E1431" i="1"/>
  <c r="G1431" i="1"/>
  <c r="E1432" i="1"/>
  <c r="G1432" i="1"/>
  <c r="E1433" i="1"/>
  <c r="G1433" i="1"/>
  <c r="E1434" i="1"/>
  <c r="G1434" i="1"/>
  <c r="E1435" i="1"/>
  <c r="G1435" i="1"/>
  <c r="E1436" i="1"/>
  <c r="G1436" i="1"/>
  <c r="E1437" i="1"/>
  <c r="G1437" i="1"/>
  <c r="E1438" i="1"/>
  <c r="G1438" i="1"/>
  <c r="E1439" i="1"/>
  <c r="G1439" i="1"/>
  <c r="E1440" i="1"/>
  <c r="G1440" i="1"/>
  <c r="E1441" i="1"/>
  <c r="G1441" i="1"/>
  <c r="E1442" i="1"/>
  <c r="G1442" i="1"/>
  <c r="E1443" i="1"/>
  <c r="G1443" i="1"/>
  <c r="E1444" i="1"/>
  <c r="G1444" i="1"/>
  <c r="E1445" i="1"/>
  <c r="G1445" i="1"/>
  <c r="E1446" i="1"/>
  <c r="G1446" i="1"/>
  <c r="E1447" i="1"/>
  <c r="G1447" i="1"/>
  <c r="E1448" i="1"/>
  <c r="G1448" i="1"/>
  <c r="E1449" i="1"/>
  <c r="G1449" i="1"/>
  <c r="E1450" i="1"/>
  <c r="G1450" i="1"/>
  <c r="E1451" i="1"/>
  <c r="G1451" i="1"/>
  <c r="E1452" i="1"/>
  <c r="G1452" i="1"/>
  <c r="E1453" i="1"/>
  <c r="G1453" i="1"/>
  <c r="E1454" i="1"/>
  <c r="G1454" i="1"/>
  <c r="E1455" i="1"/>
  <c r="G1455" i="1"/>
  <c r="E1456" i="1"/>
  <c r="G1456" i="1"/>
  <c r="E1457" i="1"/>
  <c r="G1457" i="1"/>
  <c r="E1458" i="1"/>
  <c r="G1458" i="1"/>
  <c r="E1459" i="1"/>
  <c r="G1459" i="1"/>
  <c r="E1460" i="1"/>
  <c r="G1460" i="1"/>
  <c r="E1461" i="1"/>
  <c r="G1461" i="1"/>
  <c r="E1462" i="1"/>
  <c r="G1462" i="1"/>
  <c r="E1463" i="1"/>
  <c r="G1463" i="1"/>
  <c r="E1464" i="1"/>
  <c r="G1464" i="1"/>
  <c r="E1465" i="1"/>
  <c r="G1465" i="1"/>
  <c r="E1466" i="1"/>
  <c r="G1466" i="1"/>
  <c r="E1467" i="1"/>
  <c r="G1467" i="1"/>
  <c r="E1468" i="1"/>
  <c r="G1468" i="1"/>
  <c r="E1469" i="1"/>
  <c r="G1469" i="1"/>
  <c r="E1470" i="1"/>
  <c r="G1470" i="1"/>
  <c r="E1471" i="1"/>
  <c r="G1471" i="1"/>
  <c r="E1472" i="1"/>
  <c r="G1472" i="1"/>
  <c r="E1473" i="1"/>
  <c r="G1473" i="1"/>
  <c r="E1474" i="1"/>
  <c r="G1474" i="1"/>
  <c r="E1475" i="1"/>
  <c r="G1475" i="1"/>
  <c r="E1476" i="1"/>
  <c r="G1476" i="1"/>
  <c r="E1477" i="1"/>
  <c r="G1477" i="1"/>
  <c r="E1478" i="1"/>
  <c r="G1478" i="1"/>
  <c r="E1479" i="1"/>
  <c r="G1479" i="1"/>
  <c r="E1480" i="1"/>
  <c r="G1480" i="1"/>
  <c r="E1481" i="1"/>
  <c r="G1481" i="1"/>
  <c r="E1482" i="1"/>
  <c r="G1482" i="1"/>
  <c r="E1483" i="1"/>
  <c r="G1483" i="1"/>
  <c r="E1484" i="1"/>
  <c r="G1484" i="1"/>
  <c r="E1485" i="1"/>
  <c r="G1485" i="1"/>
  <c r="E1486" i="1"/>
  <c r="G1486" i="1"/>
  <c r="E1487" i="1"/>
  <c r="G1487" i="1"/>
  <c r="E1488" i="1"/>
  <c r="G1488" i="1"/>
  <c r="E1489" i="1"/>
  <c r="G1489" i="1"/>
  <c r="E1490" i="1"/>
  <c r="G1490" i="1"/>
  <c r="E1491" i="1"/>
  <c r="G1491" i="1"/>
  <c r="E1492" i="1"/>
  <c r="G1492" i="1"/>
  <c r="E1493" i="1"/>
  <c r="G1493" i="1"/>
  <c r="E1494" i="1"/>
  <c r="G1494" i="1"/>
  <c r="E1495" i="1"/>
  <c r="G1495" i="1"/>
  <c r="E1496" i="1"/>
  <c r="G1496" i="1"/>
  <c r="E1497" i="1"/>
  <c r="G1497" i="1"/>
  <c r="E1498" i="1"/>
  <c r="G1498" i="1"/>
  <c r="E1499" i="1"/>
  <c r="G1499" i="1"/>
  <c r="E1500" i="1"/>
  <c r="G1500" i="1"/>
  <c r="E1501" i="1"/>
  <c r="G1501" i="1"/>
  <c r="E1502" i="1"/>
  <c r="G1502" i="1"/>
  <c r="E1503" i="1"/>
  <c r="G1503" i="1"/>
  <c r="E1504" i="1"/>
  <c r="G1504" i="1"/>
  <c r="E1505" i="1"/>
  <c r="G1505" i="1"/>
  <c r="E1506" i="1"/>
  <c r="G1506" i="1"/>
  <c r="E1507" i="1"/>
  <c r="G1507" i="1"/>
  <c r="E1508" i="1"/>
  <c r="G1508" i="1"/>
  <c r="E1509" i="1"/>
  <c r="G1509" i="1"/>
  <c r="E1510" i="1"/>
  <c r="G1510" i="1"/>
  <c r="E1511" i="1"/>
  <c r="G1511" i="1"/>
  <c r="E1512" i="1"/>
  <c r="G1512" i="1"/>
  <c r="E1513" i="1"/>
  <c r="G1513" i="1"/>
  <c r="E1514" i="1"/>
  <c r="G1514" i="1"/>
  <c r="E1515" i="1"/>
  <c r="G1515" i="1"/>
  <c r="E1516" i="1"/>
  <c r="G1516" i="1"/>
  <c r="E1517" i="1"/>
  <c r="G1517" i="1"/>
  <c r="E1518" i="1"/>
  <c r="G1518" i="1"/>
  <c r="E1519" i="1"/>
  <c r="G1519" i="1"/>
  <c r="E1520" i="1"/>
  <c r="G1520" i="1"/>
  <c r="E1521" i="1"/>
  <c r="G1521" i="1"/>
  <c r="E1522" i="1"/>
  <c r="G1522" i="1"/>
  <c r="E1523" i="1"/>
  <c r="G1523" i="1"/>
  <c r="F1524" i="1"/>
  <c r="G1524" i="1"/>
  <c r="H1524" i="1"/>
  <c r="F1525" i="1"/>
  <c r="G1525" i="1"/>
  <c r="H1525" i="1"/>
  <c r="F1526" i="1"/>
  <c r="G1526" i="1"/>
  <c r="H1526" i="1"/>
  <c r="E1527" i="1"/>
  <c r="G1527" i="1"/>
  <c r="E1528" i="1"/>
  <c r="G1528" i="1"/>
  <c r="E1529" i="1"/>
  <c r="G1529" i="1"/>
  <c r="E1530" i="1"/>
  <c r="G1530" i="1"/>
  <c r="E1531" i="1"/>
  <c r="G1531" i="1"/>
  <c r="E1532" i="1"/>
  <c r="G1532" i="1"/>
  <c r="E1533" i="1"/>
  <c r="G1533" i="1"/>
  <c r="E1534" i="1"/>
  <c r="G1534" i="1"/>
  <c r="E1535" i="1"/>
  <c r="G1535" i="1"/>
  <c r="E1536" i="1"/>
  <c r="G1536" i="1"/>
  <c r="E1537" i="1"/>
  <c r="G1537" i="1"/>
  <c r="E1538" i="1"/>
  <c r="G1538" i="1"/>
  <c r="E1539" i="1"/>
  <c r="G1539" i="1"/>
  <c r="E1540" i="1"/>
  <c r="G1540" i="1"/>
  <c r="E1541" i="1"/>
  <c r="G1541" i="1"/>
  <c r="E1542" i="1"/>
  <c r="G1542" i="1"/>
  <c r="E1543" i="1"/>
  <c r="G1543" i="1"/>
  <c r="E1544" i="1"/>
  <c r="G1544" i="1"/>
  <c r="E1545" i="1"/>
  <c r="G1545" i="1"/>
  <c r="E1546" i="1"/>
  <c r="G1546" i="1"/>
  <c r="E1547" i="1"/>
  <c r="G1547" i="1"/>
  <c r="E1548" i="1"/>
  <c r="G1548" i="1"/>
  <c r="E1549" i="1"/>
  <c r="G1549" i="1"/>
  <c r="E1550" i="1"/>
  <c r="G1550" i="1"/>
  <c r="E1551" i="1"/>
  <c r="G1551" i="1"/>
  <c r="E1552" i="1"/>
  <c r="G1552" i="1"/>
  <c r="E1553" i="1"/>
  <c r="G1553" i="1"/>
  <c r="E1554" i="1"/>
  <c r="G1554" i="1"/>
  <c r="E1555" i="1"/>
  <c r="G1555" i="1"/>
  <c r="E1556" i="1"/>
  <c r="G1556" i="1"/>
  <c r="E1557" i="1"/>
  <c r="G1557" i="1"/>
  <c r="E1558" i="1"/>
  <c r="G1558" i="1"/>
  <c r="E1559" i="1"/>
  <c r="G1559" i="1"/>
  <c r="E1560" i="1"/>
  <c r="G1560" i="1"/>
  <c r="E1561" i="1"/>
  <c r="G1561" i="1"/>
  <c r="E1562" i="1"/>
  <c r="G1562" i="1"/>
  <c r="E1563" i="1"/>
  <c r="G1563" i="1"/>
  <c r="E1564" i="1"/>
  <c r="G1564" i="1"/>
  <c r="E1565" i="1"/>
  <c r="G1565" i="1"/>
  <c r="E1566" i="1"/>
  <c r="G1566" i="1"/>
  <c r="E1567" i="1"/>
  <c r="G1567" i="1"/>
  <c r="E1568" i="1"/>
  <c r="G1568" i="1"/>
  <c r="E1569" i="1"/>
  <c r="G1569" i="1"/>
  <c r="E1570" i="1"/>
  <c r="G1570" i="1"/>
  <c r="E1571" i="1"/>
  <c r="G1571" i="1"/>
  <c r="E1572" i="1"/>
  <c r="G1572" i="1"/>
  <c r="E1573" i="1"/>
  <c r="G1573" i="1"/>
  <c r="E1574" i="1"/>
  <c r="G1574" i="1"/>
  <c r="E1575" i="1"/>
  <c r="G1575" i="1"/>
  <c r="E1576" i="1"/>
  <c r="G1576" i="1"/>
  <c r="E1577" i="1"/>
  <c r="G1577" i="1"/>
  <c r="E1578" i="1"/>
  <c r="G1578" i="1"/>
  <c r="E1579" i="1"/>
  <c r="G1579" i="1"/>
  <c r="E1580" i="1"/>
  <c r="G1580" i="1"/>
  <c r="E1581" i="1"/>
  <c r="G1581" i="1"/>
  <c r="E1582" i="1"/>
  <c r="G1582" i="1"/>
  <c r="E1583" i="1"/>
  <c r="G1583" i="1"/>
  <c r="E1584" i="1"/>
  <c r="G1584" i="1"/>
  <c r="E1585" i="1"/>
  <c r="G1585" i="1"/>
  <c r="E1586" i="1"/>
  <c r="G1586" i="1"/>
  <c r="E1587" i="1"/>
  <c r="G1587" i="1"/>
  <c r="E1588" i="1"/>
  <c r="G1588" i="1"/>
  <c r="E1589" i="1"/>
  <c r="G1589" i="1"/>
  <c r="E1590" i="1"/>
  <c r="G1590" i="1"/>
  <c r="E1591" i="1"/>
  <c r="G1591" i="1"/>
  <c r="E1592" i="1"/>
  <c r="G1592" i="1"/>
  <c r="E1593" i="1"/>
  <c r="G1593" i="1"/>
  <c r="E1594" i="1"/>
  <c r="G1594" i="1"/>
  <c r="E1595" i="1"/>
  <c r="G1595" i="1"/>
  <c r="E1596" i="1"/>
  <c r="G1596" i="1"/>
  <c r="E1597" i="1"/>
  <c r="G1597" i="1"/>
  <c r="E1598" i="1"/>
  <c r="G1598" i="1"/>
  <c r="E1599" i="1"/>
  <c r="G1599" i="1"/>
  <c r="E1600" i="1"/>
  <c r="G1600" i="1"/>
  <c r="E1601" i="1"/>
  <c r="G1601" i="1"/>
  <c r="F1602" i="1"/>
  <c r="G1602" i="1"/>
  <c r="H1602" i="1"/>
  <c r="E1603" i="1"/>
  <c r="G1603" i="1"/>
  <c r="E1604" i="1"/>
  <c r="G1604" i="1"/>
  <c r="E1605" i="1"/>
  <c r="G1605" i="1"/>
  <c r="E1606" i="1"/>
  <c r="G1606" i="1"/>
  <c r="E1607" i="1"/>
  <c r="G1607" i="1"/>
  <c r="E1608" i="1"/>
  <c r="G1608" i="1"/>
  <c r="E1609" i="1"/>
  <c r="G1609" i="1"/>
  <c r="E1610" i="1"/>
  <c r="G1610" i="1"/>
  <c r="E1611" i="1"/>
  <c r="G1611" i="1"/>
  <c r="E1612" i="1"/>
  <c r="G1612" i="1"/>
  <c r="E1613" i="1"/>
  <c r="G1613" i="1"/>
  <c r="E1614" i="1"/>
  <c r="G1614" i="1"/>
  <c r="E1615" i="1"/>
  <c r="G1615" i="1"/>
  <c r="E1616" i="1"/>
  <c r="G1616" i="1"/>
  <c r="E1617" i="1"/>
  <c r="G1617" i="1"/>
  <c r="E1618" i="1"/>
  <c r="G1618" i="1"/>
  <c r="E1619" i="1"/>
  <c r="G1619" i="1"/>
  <c r="E1620" i="1"/>
  <c r="G1620" i="1"/>
  <c r="E1621" i="1"/>
  <c r="G1621" i="1"/>
  <c r="E1622" i="1"/>
  <c r="G1622" i="1"/>
  <c r="E1623" i="1"/>
  <c r="G1623" i="1"/>
  <c r="E1624" i="1"/>
  <c r="G1624" i="1"/>
  <c r="E1625" i="1"/>
  <c r="G1625" i="1"/>
  <c r="E1626" i="1"/>
  <c r="G1626" i="1"/>
  <c r="E1627" i="1"/>
  <c r="G1627" i="1"/>
  <c r="E1628" i="1"/>
  <c r="G1628" i="1"/>
  <c r="E1629" i="1"/>
  <c r="G1629" i="1"/>
  <c r="E1630" i="1"/>
  <c r="G1630" i="1"/>
  <c r="E1631" i="1"/>
  <c r="G1631" i="1"/>
  <c r="E1632" i="1"/>
  <c r="G1632" i="1"/>
  <c r="E1633" i="1"/>
  <c r="G1633" i="1"/>
  <c r="E1634" i="1"/>
  <c r="G1634" i="1"/>
  <c r="E1635" i="1"/>
  <c r="G1635" i="1"/>
  <c r="E1636" i="1"/>
  <c r="G1636" i="1"/>
  <c r="E1637" i="1"/>
  <c r="G1637" i="1"/>
  <c r="E1638" i="1"/>
  <c r="G1638" i="1"/>
  <c r="E1639" i="1"/>
  <c r="G1639" i="1"/>
  <c r="E1640" i="1"/>
  <c r="G1640" i="1"/>
  <c r="E1641" i="1"/>
  <c r="G1641" i="1"/>
  <c r="E1642" i="1"/>
  <c r="G1642" i="1"/>
  <c r="E1643" i="1"/>
  <c r="G1643" i="1"/>
  <c r="E1644" i="1"/>
  <c r="G1644" i="1"/>
  <c r="E1645" i="1"/>
  <c r="G1645" i="1"/>
  <c r="E1646" i="1"/>
  <c r="G1646" i="1"/>
  <c r="E1647" i="1"/>
  <c r="G1647" i="1"/>
  <c r="E1648" i="1"/>
  <c r="G1648" i="1"/>
  <c r="E1649" i="1"/>
  <c r="G1649" i="1"/>
  <c r="E1650" i="1"/>
  <c r="G1650" i="1"/>
  <c r="E1651" i="1"/>
  <c r="G1651" i="1"/>
  <c r="E1652" i="1"/>
  <c r="G1652" i="1"/>
  <c r="E1653" i="1"/>
  <c r="G1653" i="1"/>
  <c r="E1654" i="1"/>
  <c r="G1654" i="1"/>
  <c r="E1655" i="1"/>
  <c r="G1655" i="1"/>
  <c r="E1656" i="1"/>
  <c r="G1656" i="1"/>
  <c r="E1657" i="1"/>
  <c r="G1657" i="1"/>
  <c r="E1658" i="1"/>
  <c r="G1658" i="1"/>
  <c r="E1659" i="1"/>
  <c r="G1659" i="1"/>
  <c r="E1660" i="1"/>
  <c r="G1660" i="1"/>
  <c r="E1661" i="1"/>
  <c r="G1661" i="1"/>
  <c r="E1662" i="1"/>
  <c r="G1662" i="1"/>
  <c r="E1663" i="1"/>
  <c r="G1663" i="1"/>
  <c r="E1664" i="1"/>
  <c r="G1664" i="1"/>
  <c r="E1665" i="1"/>
  <c r="G1665" i="1"/>
  <c r="E1666" i="1"/>
  <c r="G1666" i="1"/>
  <c r="E1667" i="1"/>
  <c r="G1667" i="1"/>
  <c r="E1668" i="1"/>
  <c r="G1668" i="1"/>
  <c r="E1669" i="1"/>
  <c r="G1669" i="1"/>
  <c r="E1670" i="1"/>
  <c r="G1670" i="1"/>
  <c r="E1671" i="1"/>
  <c r="G1671" i="1"/>
  <c r="E1672" i="1"/>
  <c r="G1672" i="1"/>
  <c r="E1673" i="1"/>
  <c r="G1673" i="1"/>
  <c r="E1674" i="1"/>
  <c r="G1674" i="1"/>
  <c r="E1675" i="1"/>
  <c r="G1675" i="1"/>
  <c r="E1676" i="1"/>
  <c r="G1676" i="1"/>
  <c r="E1677" i="1"/>
  <c r="G1677" i="1"/>
  <c r="E1678" i="1"/>
  <c r="G1678" i="1"/>
  <c r="E1679" i="1"/>
  <c r="G1679" i="1"/>
  <c r="E1680" i="1"/>
  <c r="G1680" i="1"/>
  <c r="E1681" i="1"/>
  <c r="G1681" i="1"/>
  <c r="E1682" i="1"/>
  <c r="G1682" i="1"/>
  <c r="E1683" i="1"/>
  <c r="G1683" i="1"/>
  <c r="E1684" i="1"/>
  <c r="G1684" i="1"/>
  <c r="E1685" i="1"/>
  <c r="G1685" i="1"/>
  <c r="E1686" i="1"/>
  <c r="G1686" i="1"/>
  <c r="E1687" i="1"/>
  <c r="G1687" i="1"/>
  <c r="E1688" i="1"/>
  <c r="G1688" i="1"/>
  <c r="E1689" i="1"/>
  <c r="G1689" i="1"/>
  <c r="E1690" i="1"/>
  <c r="G1690" i="1"/>
  <c r="E1691" i="1"/>
  <c r="G1691" i="1"/>
  <c r="E1692" i="1"/>
  <c r="G1692" i="1"/>
  <c r="E1693" i="1"/>
  <c r="G1693" i="1"/>
  <c r="E1694" i="1"/>
  <c r="G1694" i="1"/>
  <c r="F1695" i="1"/>
  <c r="G1695" i="1"/>
  <c r="H1695" i="1"/>
  <c r="E1696" i="1"/>
  <c r="G1696" i="1"/>
  <c r="E1697" i="1"/>
  <c r="G1697" i="1"/>
  <c r="E1698" i="1"/>
  <c r="G1698" i="1"/>
  <c r="E1699" i="1"/>
  <c r="G1699" i="1"/>
  <c r="E1700" i="1"/>
  <c r="G1700" i="1"/>
  <c r="E1701" i="1"/>
  <c r="G1701" i="1"/>
  <c r="E1702" i="1"/>
  <c r="G1702" i="1"/>
  <c r="E1703" i="1"/>
  <c r="G1703" i="1"/>
  <c r="E1704" i="1"/>
  <c r="G1704" i="1"/>
  <c r="E1705" i="1"/>
  <c r="G1705" i="1"/>
  <c r="E1706" i="1"/>
  <c r="G1706" i="1"/>
  <c r="E1707" i="1"/>
  <c r="G1707" i="1"/>
  <c r="E1708" i="1"/>
  <c r="G1708" i="1"/>
  <c r="E1709" i="1"/>
  <c r="G1709" i="1"/>
  <c r="E1710" i="1"/>
  <c r="G1710" i="1"/>
  <c r="E1711" i="1"/>
  <c r="G1711" i="1"/>
  <c r="F1712" i="1"/>
  <c r="G1712" i="1"/>
  <c r="H1712" i="1"/>
  <c r="F1713" i="1"/>
  <c r="G1713" i="1"/>
  <c r="H1713" i="1"/>
  <c r="F1714" i="1"/>
  <c r="G1714" i="1"/>
  <c r="H1714" i="1"/>
  <c r="F1715" i="1"/>
  <c r="G1715" i="1"/>
  <c r="H1715" i="1"/>
  <c r="F1716" i="1"/>
  <c r="G1716" i="1"/>
  <c r="H1716" i="1"/>
  <c r="E1717" i="1"/>
  <c r="G1717" i="1"/>
  <c r="E1718" i="1"/>
  <c r="G1718" i="1"/>
  <c r="E1719" i="1"/>
  <c r="G1719" i="1"/>
  <c r="E1720" i="1"/>
  <c r="G1720" i="1"/>
  <c r="E1721" i="1"/>
  <c r="G1721" i="1"/>
  <c r="E1722" i="1"/>
  <c r="G1722" i="1"/>
  <c r="E1723" i="1"/>
  <c r="G1723" i="1"/>
  <c r="E1724" i="1"/>
  <c r="G1724" i="1"/>
  <c r="E1725" i="1"/>
  <c r="G1725" i="1"/>
  <c r="E1726" i="1"/>
  <c r="G1726" i="1"/>
  <c r="E1727" i="1"/>
  <c r="G1727" i="1"/>
  <c r="E1728" i="1"/>
  <c r="G1728" i="1"/>
  <c r="E1729" i="1"/>
  <c r="E1730" i="1"/>
  <c r="E1731" i="1"/>
  <c r="G1731" i="1"/>
  <c r="E1732" i="1"/>
  <c r="G1732" i="1"/>
  <c r="E1733" i="1"/>
  <c r="G1733" i="1"/>
  <c r="E1734" i="1"/>
  <c r="G1734" i="1"/>
  <c r="E1735" i="1"/>
  <c r="G1735" i="1"/>
  <c r="E1736" i="1"/>
  <c r="G1736" i="1"/>
  <c r="E1737" i="1"/>
  <c r="G1737" i="1"/>
  <c r="E1738" i="1"/>
  <c r="G1738" i="1"/>
  <c r="E1739" i="1"/>
  <c r="G1739" i="1"/>
  <c r="E1740" i="1"/>
  <c r="G1740" i="1"/>
  <c r="E1741" i="1"/>
  <c r="G1741" i="1"/>
  <c r="E1742" i="1"/>
  <c r="G1742" i="1"/>
  <c r="E1743" i="1"/>
  <c r="G1743" i="1"/>
  <c r="E1744" i="1"/>
  <c r="G1744" i="1"/>
  <c r="E1745" i="1"/>
  <c r="G1745" i="1"/>
  <c r="E1746" i="1"/>
  <c r="G1746" i="1"/>
  <c r="E1747" i="1"/>
  <c r="G1747" i="1"/>
  <c r="E1748" i="1"/>
  <c r="G1748" i="1"/>
  <c r="E1749" i="1"/>
  <c r="G1749" i="1"/>
  <c r="E1750" i="1"/>
  <c r="G1750" i="1"/>
  <c r="E1751" i="1"/>
  <c r="G1751" i="1"/>
  <c r="E1752" i="1"/>
  <c r="G1752" i="1"/>
  <c r="E1753" i="1"/>
  <c r="G1753" i="1"/>
  <c r="E1754" i="1"/>
  <c r="G1754" i="1"/>
  <c r="E1755" i="1"/>
  <c r="G1755" i="1"/>
  <c r="E1756" i="1"/>
  <c r="G1756" i="1"/>
  <c r="E1757" i="1"/>
  <c r="G1757" i="1"/>
  <c r="E1758" i="1"/>
  <c r="G1758" i="1"/>
  <c r="E1759" i="1"/>
  <c r="G1759" i="1"/>
  <c r="E1760" i="1"/>
  <c r="G1760" i="1"/>
  <c r="E1761" i="1"/>
  <c r="G1761" i="1"/>
  <c r="E1762" i="1"/>
  <c r="G1762" i="1"/>
  <c r="E1763" i="1"/>
  <c r="G1763" i="1"/>
  <c r="E1764" i="1"/>
  <c r="G1764" i="1"/>
  <c r="E1765" i="1"/>
  <c r="G1765" i="1"/>
  <c r="E1766" i="1"/>
  <c r="G1766" i="1"/>
  <c r="E1767" i="1"/>
  <c r="G1767" i="1"/>
  <c r="E1768" i="1"/>
  <c r="G1768" i="1"/>
  <c r="E1769" i="1"/>
  <c r="G1769" i="1"/>
  <c r="E1770" i="1"/>
  <c r="G1770" i="1"/>
  <c r="E1771" i="1"/>
  <c r="G1771" i="1"/>
  <c r="E1772" i="1"/>
  <c r="G1772" i="1"/>
  <c r="E1773" i="1"/>
  <c r="G1773" i="1"/>
  <c r="E1774" i="1"/>
  <c r="G1774" i="1"/>
  <c r="E1775" i="1"/>
  <c r="G1775" i="1"/>
  <c r="E1776" i="1"/>
  <c r="G1776" i="1"/>
  <c r="E1777" i="1"/>
  <c r="G1777" i="1"/>
  <c r="E1778" i="1"/>
  <c r="G1778" i="1"/>
  <c r="E1779" i="1"/>
  <c r="G1779" i="1"/>
  <c r="E1780" i="1"/>
  <c r="G1780" i="1"/>
  <c r="E1781" i="1"/>
  <c r="G1781" i="1"/>
  <c r="E1782" i="1"/>
  <c r="G1782" i="1"/>
  <c r="E1783" i="1"/>
  <c r="G1783" i="1"/>
  <c r="E1784" i="1"/>
  <c r="G1784" i="1"/>
  <c r="E1785" i="1"/>
  <c r="G1785" i="1"/>
  <c r="E1786" i="1"/>
  <c r="G1786" i="1"/>
  <c r="E1787" i="1"/>
  <c r="G1787" i="1"/>
  <c r="E1788" i="1"/>
  <c r="G1788" i="1"/>
  <c r="E1789" i="1"/>
  <c r="G1789" i="1"/>
  <c r="E1790" i="1"/>
  <c r="G1790" i="1"/>
  <c r="E1791" i="1"/>
  <c r="G1791" i="1"/>
  <c r="E1792" i="1"/>
  <c r="G1792" i="1"/>
  <c r="E1793" i="1"/>
  <c r="G1793" i="1"/>
  <c r="E1794" i="1"/>
  <c r="G1794" i="1"/>
  <c r="E1795" i="1"/>
  <c r="G1795" i="1"/>
  <c r="E1796" i="1"/>
  <c r="G1796" i="1"/>
  <c r="E1797" i="1"/>
  <c r="G1797" i="1"/>
  <c r="E1798" i="1"/>
  <c r="G1798" i="1"/>
  <c r="E1799" i="1"/>
  <c r="G1799" i="1"/>
  <c r="E1800" i="1"/>
  <c r="G1800" i="1"/>
  <c r="E1801" i="1"/>
  <c r="G1801" i="1"/>
  <c r="E1802" i="1"/>
  <c r="G1802" i="1"/>
  <c r="E1803" i="1"/>
  <c r="G1803" i="1"/>
  <c r="E1804" i="1"/>
  <c r="G1804" i="1"/>
  <c r="E1805" i="1"/>
  <c r="G1805" i="1"/>
  <c r="E1806" i="1"/>
  <c r="G1806" i="1"/>
  <c r="E1807" i="1"/>
  <c r="G1807" i="1"/>
  <c r="E1808" i="1"/>
  <c r="G1808" i="1"/>
  <c r="E1809" i="1"/>
  <c r="G1809" i="1"/>
  <c r="E1810" i="1"/>
  <c r="G1810" i="1"/>
  <c r="E1811" i="1"/>
  <c r="G1811" i="1"/>
  <c r="E1812" i="1"/>
  <c r="G1812" i="1"/>
  <c r="E1813" i="1"/>
  <c r="G1813" i="1"/>
  <c r="E1814" i="1"/>
  <c r="G1814" i="1"/>
  <c r="E1815" i="1"/>
  <c r="G1815" i="1"/>
  <c r="E1816" i="1"/>
  <c r="G1816" i="1"/>
  <c r="E1817" i="1"/>
  <c r="G1817" i="1"/>
  <c r="E1818" i="1"/>
  <c r="G1818" i="1"/>
  <c r="E1819" i="1"/>
  <c r="G1819" i="1"/>
  <c r="E1820" i="1"/>
  <c r="G1820" i="1"/>
  <c r="E1821" i="1"/>
  <c r="G1821" i="1"/>
  <c r="E1822" i="1"/>
  <c r="G1822" i="1"/>
  <c r="E1823" i="1"/>
  <c r="G1823" i="1"/>
  <c r="E1824" i="1"/>
  <c r="G1824" i="1"/>
  <c r="E1825" i="1"/>
  <c r="G1825" i="1"/>
  <c r="E1826" i="1"/>
  <c r="G1826" i="1"/>
  <c r="E1827" i="1"/>
  <c r="G1827" i="1"/>
  <c r="E1828" i="1"/>
  <c r="G1828" i="1"/>
  <c r="E1829" i="1"/>
  <c r="G1829" i="1"/>
  <c r="E1830" i="1"/>
  <c r="G1830" i="1"/>
  <c r="E1831" i="1"/>
  <c r="G1831" i="1"/>
  <c r="E1832" i="1"/>
  <c r="G1832" i="1"/>
  <c r="E1833" i="1"/>
  <c r="G1833" i="1"/>
  <c r="E1834" i="1"/>
  <c r="G1834" i="1"/>
  <c r="E1835" i="1"/>
  <c r="G1835" i="1"/>
  <c r="E1836" i="1"/>
  <c r="G1836" i="1"/>
  <c r="E1837" i="1"/>
  <c r="G1837" i="1"/>
  <c r="E1838" i="1"/>
  <c r="G1838" i="1"/>
  <c r="E1839" i="1"/>
  <c r="G1839" i="1"/>
  <c r="E1840" i="1"/>
  <c r="G1840" i="1"/>
  <c r="E1841" i="1"/>
  <c r="G1841" i="1"/>
  <c r="E1842" i="1"/>
  <c r="G1842" i="1"/>
  <c r="E1843" i="1"/>
  <c r="G1843" i="1"/>
  <c r="E1844" i="1"/>
  <c r="G1844" i="1"/>
  <c r="E1845" i="1"/>
  <c r="G1845" i="1"/>
  <c r="E1846" i="1"/>
  <c r="G1846" i="1"/>
  <c r="E1847" i="1"/>
  <c r="G1847" i="1"/>
  <c r="E1848" i="1"/>
  <c r="G1848" i="1"/>
  <c r="E1849" i="1"/>
  <c r="G1849" i="1"/>
  <c r="E1850" i="1"/>
  <c r="G1850" i="1"/>
  <c r="E1851" i="1"/>
  <c r="G1851" i="1"/>
  <c r="E1852" i="1"/>
  <c r="G1852" i="1"/>
  <c r="E1853" i="1"/>
  <c r="G1853" i="1"/>
  <c r="E1854" i="1"/>
  <c r="G1854" i="1"/>
  <c r="E1855" i="1"/>
  <c r="G1855" i="1"/>
  <c r="E1856" i="1"/>
  <c r="G1856" i="1"/>
  <c r="E1857" i="1"/>
  <c r="G1857" i="1"/>
  <c r="E1858" i="1"/>
  <c r="G1858" i="1"/>
  <c r="E1859" i="1"/>
  <c r="G1859" i="1"/>
  <c r="E1860" i="1"/>
  <c r="G1860" i="1"/>
  <c r="E1861" i="1"/>
  <c r="G1861" i="1"/>
  <c r="E1862" i="1"/>
  <c r="G1862" i="1"/>
  <c r="E1863" i="1"/>
  <c r="G1863" i="1"/>
  <c r="E1864" i="1"/>
  <c r="G1864" i="1"/>
  <c r="E1865" i="1"/>
  <c r="G1865" i="1"/>
  <c r="E1866" i="1"/>
  <c r="G1866" i="1"/>
  <c r="E1867" i="1"/>
  <c r="G1867" i="1"/>
  <c r="E1868" i="1"/>
  <c r="G1868" i="1"/>
  <c r="E1869" i="1"/>
  <c r="G1869" i="1"/>
  <c r="E1870" i="1"/>
  <c r="G1870" i="1"/>
  <c r="E1871" i="1"/>
  <c r="G1871" i="1"/>
  <c r="E1872" i="1"/>
  <c r="G1872" i="1"/>
  <c r="E1873" i="1"/>
  <c r="G1873" i="1"/>
  <c r="E1874" i="1"/>
  <c r="G1874" i="1"/>
  <c r="E1875" i="1"/>
  <c r="G1875" i="1"/>
  <c r="E1876" i="1"/>
  <c r="G1876" i="1"/>
  <c r="E1877" i="1"/>
  <c r="G1877" i="1"/>
  <c r="E1878" i="1"/>
  <c r="G1878" i="1"/>
  <c r="E1879" i="1"/>
  <c r="G1879" i="1"/>
  <c r="E1880" i="1"/>
  <c r="G1880" i="1"/>
  <c r="E1881" i="1"/>
  <c r="G1881" i="1"/>
  <c r="E1882" i="1"/>
  <c r="G1882" i="1"/>
  <c r="E1883" i="1"/>
  <c r="G1883" i="1"/>
  <c r="E1884" i="1"/>
  <c r="G1884" i="1"/>
  <c r="E1885" i="1"/>
  <c r="G1885" i="1"/>
  <c r="E1886" i="1"/>
  <c r="G1886" i="1"/>
  <c r="E1887" i="1"/>
  <c r="G1887" i="1"/>
  <c r="E1888" i="1"/>
  <c r="G1888" i="1"/>
  <c r="E1889" i="1"/>
  <c r="G1889" i="1"/>
  <c r="E1890" i="1"/>
  <c r="G1890" i="1"/>
  <c r="E1891" i="1"/>
  <c r="G1891" i="1"/>
  <c r="E1892" i="1"/>
  <c r="G1892" i="1"/>
  <c r="E1893" i="1"/>
  <c r="G1893" i="1"/>
  <c r="E1894" i="1"/>
  <c r="G1894" i="1"/>
  <c r="E1895" i="1"/>
  <c r="G1895" i="1"/>
  <c r="E1896" i="1"/>
  <c r="G1896" i="1"/>
  <c r="E1897" i="1"/>
  <c r="G1897" i="1"/>
  <c r="E1898" i="1"/>
  <c r="G1898" i="1"/>
  <c r="E1899" i="1"/>
  <c r="G1899" i="1"/>
  <c r="E1900" i="1"/>
  <c r="G1900" i="1"/>
  <c r="E1901" i="1"/>
  <c r="G1901" i="1"/>
  <c r="E1902" i="1"/>
  <c r="G1902" i="1"/>
  <c r="E1903" i="1"/>
  <c r="G1903" i="1"/>
  <c r="E1904" i="1"/>
  <c r="G1904" i="1"/>
  <c r="E1905" i="1"/>
  <c r="G1905" i="1"/>
  <c r="E1906" i="1"/>
  <c r="G1906" i="1"/>
  <c r="E1907" i="1"/>
  <c r="G1907" i="1"/>
  <c r="E1908" i="1"/>
  <c r="G1908" i="1"/>
  <c r="E1909" i="1"/>
  <c r="G1909" i="1"/>
  <c r="E1910" i="1"/>
  <c r="G1910" i="1"/>
  <c r="E1911" i="1"/>
  <c r="G1911" i="1"/>
  <c r="E1912" i="1"/>
  <c r="G1912" i="1"/>
  <c r="E1913" i="1"/>
  <c r="G1913" i="1"/>
  <c r="E1914" i="1"/>
  <c r="G1914" i="1"/>
  <c r="E1915" i="1"/>
  <c r="G1915" i="1"/>
  <c r="E1916" i="1"/>
  <c r="G1916" i="1"/>
  <c r="E1917" i="1"/>
  <c r="G1917" i="1"/>
  <c r="E1918" i="1"/>
  <c r="G1918" i="1"/>
  <c r="E1919" i="1"/>
  <c r="G1919" i="1"/>
  <c r="E1920" i="1"/>
  <c r="G1920" i="1"/>
  <c r="E1921" i="1"/>
  <c r="G1921" i="1"/>
  <c r="E1922" i="1"/>
  <c r="G1922" i="1"/>
  <c r="E1923" i="1"/>
  <c r="G1923" i="1"/>
  <c r="E1924" i="1"/>
  <c r="G1924" i="1"/>
  <c r="E1925" i="1"/>
  <c r="G1925" i="1"/>
  <c r="E1926" i="1"/>
  <c r="G1926" i="1"/>
  <c r="E1927" i="1"/>
  <c r="G1927" i="1"/>
  <c r="E1928" i="1"/>
  <c r="G1928" i="1"/>
  <c r="E1929" i="1"/>
  <c r="G1929" i="1"/>
  <c r="E1930" i="1"/>
  <c r="G1930" i="1"/>
  <c r="E1931" i="1"/>
  <c r="G1931" i="1"/>
  <c r="E1932" i="1"/>
  <c r="G1932" i="1"/>
  <c r="E1933" i="1"/>
  <c r="G1933" i="1"/>
  <c r="E1934" i="1"/>
  <c r="G1934" i="1"/>
  <c r="E1935" i="1"/>
  <c r="G1935" i="1"/>
  <c r="E1936" i="1"/>
  <c r="G1936" i="1"/>
  <c r="E1937" i="1"/>
  <c r="G1937" i="1"/>
  <c r="E1938" i="1"/>
  <c r="G1938" i="1"/>
  <c r="E1939" i="1"/>
  <c r="G1939" i="1"/>
  <c r="E1940" i="1"/>
  <c r="G1940" i="1"/>
  <c r="E1941" i="1"/>
  <c r="G1941" i="1"/>
  <c r="E1942" i="1"/>
  <c r="G1942" i="1"/>
  <c r="E1943" i="1"/>
  <c r="G1943" i="1"/>
  <c r="E1944" i="1"/>
  <c r="G1944" i="1"/>
  <c r="E1945" i="1"/>
  <c r="G1945" i="1"/>
  <c r="E1946" i="1"/>
  <c r="G1946" i="1"/>
  <c r="E1947" i="1"/>
  <c r="G1947" i="1"/>
  <c r="E1948" i="1"/>
  <c r="G1948" i="1"/>
  <c r="E1949" i="1"/>
  <c r="G1949" i="1"/>
  <c r="E1950" i="1"/>
  <c r="G1950" i="1"/>
  <c r="E1951" i="1"/>
  <c r="G1951" i="1"/>
  <c r="E1952" i="1"/>
  <c r="G1952" i="1"/>
  <c r="E1953" i="1"/>
  <c r="G1953" i="1"/>
  <c r="E1954" i="1"/>
  <c r="G1954" i="1"/>
  <c r="E1955" i="1"/>
  <c r="G1955" i="1"/>
  <c r="E1956" i="1"/>
  <c r="G1956" i="1"/>
  <c r="E1957" i="1"/>
  <c r="G1957" i="1"/>
  <c r="E1958" i="1"/>
  <c r="G1958" i="1"/>
  <c r="E1959" i="1"/>
  <c r="G1959" i="1"/>
  <c r="E1960" i="1"/>
  <c r="G1960" i="1"/>
  <c r="E1961" i="1"/>
  <c r="G1961" i="1"/>
  <c r="E1962" i="1"/>
  <c r="G1962" i="1"/>
  <c r="E1963" i="1"/>
  <c r="G1963" i="1"/>
  <c r="E1964" i="1"/>
  <c r="G1964" i="1"/>
  <c r="E1965" i="1"/>
  <c r="G1965" i="1"/>
  <c r="E1966" i="1"/>
  <c r="G1966" i="1"/>
  <c r="E1967" i="1"/>
  <c r="G1967" i="1"/>
  <c r="E1968" i="1"/>
  <c r="G1968" i="1"/>
  <c r="E1969" i="1"/>
  <c r="G1969" i="1"/>
  <c r="E1970" i="1"/>
  <c r="G1970" i="1"/>
  <c r="E1971" i="1"/>
  <c r="G1971" i="1"/>
  <c r="E1972" i="1"/>
  <c r="G1972" i="1"/>
  <c r="E1973" i="1"/>
  <c r="G1973" i="1"/>
  <c r="E1974" i="1"/>
  <c r="G1974" i="1"/>
  <c r="E1975" i="1"/>
  <c r="G1975" i="1"/>
  <c r="E1976" i="1"/>
  <c r="G1976" i="1"/>
  <c r="E1977" i="1"/>
  <c r="G1977" i="1"/>
  <c r="E1978" i="1"/>
  <c r="G1978" i="1"/>
  <c r="E1979" i="1"/>
  <c r="G1979" i="1"/>
  <c r="E1980" i="1"/>
  <c r="G1980" i="1"/>
  <c r="E1981" i="1"/>
  <c r="G1981" i="1"/>
  <c r="E1982" i="1"/>
  <c r="G1982" i="1"/>
  <c r="E1983" i="1"/>
  <c r="G1983" i="1"/>
  <c r="E1984" i="1"/>
  <c r="G1984" i="1"/>
  <c r="E1985" i="1"/>
  <c r="G1985" i="1"/>
  <c r="E1986" i="1"/>
  <c r="G1986" i="1"/>
  <c r="E1987" i="1"/>
  <c r="G1987" i="1"/>
  <c r="E1988" i="1"/>
  <c r="G1988" i="1"/>
  <c r="E1989" i="1"/>
  <c r="G1989" i="1"/>
  <c r="E1990" i="1"/>
  <c r="G1990" i="1"/>
  <c r="E1991" i="1"/>
  <c r="G1991" i="1"/>
  <c r="E1992" i="1"/>
  <c r="G1992" i="1"/>
  <c r="E1993" i="1"/>
  <c r="G1993" i="1"/>
  <c r="E1994" i="1"/>
  <c r="G1994" i="1"/>
  <c r="E1995" i="1"/>
  <c r="G1995" i="1"/>
  <c r="E1996" i="1"/>
  <c r="G1996" i="1"/>
  <c r="E1997" i="1"/>
  <c r="G1997" i="1"/>
  <c r="E1998" i="1"/>
  <c r="G1998" i="1"/>
  <c r="E1999" i="1"/>
  <c r="G1999" i="1"/>
  <c r="E2000" i="1"/>
  <c r="G2000" i="1"/>
  <c r="E2001" i="1"/>
  <c r="G2001" i="1"/>
  <c r="E2002" i="1"/>
  <c r="G2002" i="1"/>
  <c r="E2003" i="1"/>
  <c r="G2003" i="1"/>
  <c r="E2004" i="1"/>
  <c r="G2004" i="1"/>
  <c r="E2005" i="1"/>
  <c r="G2005" i="1"/>
  <c r="E2006" i="1"/>
  <c r="G2006" i="1"/>
  <c r="E2007" i="1"/>
  <c r="G2007" i="1"/>
  <c r="E2008" i="1"/>
  <c r="G2008" i="1"/>
  <c r="E2009" i="1"/>
  <c r="G2009" i="1"/>
  <c r="E2010" i="1"/>
  <c r="G2010" i="1"/>
  <c r="E2011" i="1"/>
  <c r="G2011" i="1"/>
  <c r="E2012" i="1"/>
  <c r="G2012" i="1"/>
  <c r="E2013" i="1"/>
  <c r="G2013" i="1"/>
  <c r="E2014" i="1"/>
  <c r="G2014" i="1"/>
  <c r="E2015" i="1"/>
  <c r="G2015" i="1"/>
  <c r="E2016" i="1"/>
  <c r="G2016" i="1"/>
  <c r="E2017" i="1"/>
  <c r="G2017" i="1"/>
  <c r="E2018" i="1"/>
  <c r="G2018" i="1"/>
  <c r="E2019" i="1"/>
  <c r="G2019" i="1"/>
  <c r="E2020" i="1"/>
  <c r="G2020" i="1"/>
  <c r="E2021" i="1"/>
  <c r="G2021" i="1"/>
  <c r="E2022" i="1"/>
  <c r="G2022" i="1"/>
  <c r="E2023" i="1"/>
  <c r="G2023" i="1"/>
  <c r="E2024" i="1"/>
  <c r="G2024" i="1"/>
  <c r="E2025" i="1"/>
  <c r="G2025" i="1"/>
  <c r="E2026" i="1"/>
  <c r="G2026" i="1"/>
  <c r="E2027" i="1"/>
  <c r="G2027" i="1"/>
  <c r="E2028" i="1"/>
  <c r="G2028" i="1"/>
  <c r="E2029" i="1"/>
  <c r="G2029" i="1"/>
  <c r="E2030" i="1"/>
  <c r="G2030" i="1"/>
  <c r="E2031" i="1"/>
  <c r="G2031" i="1"/>
  <c r="E2032" i="1"/>
  <c r="G2032" i="1"/>
  <c r="E2033" i="1"/>
  <c r="G2033" i="1"/>
  <c r="E2034" i="1"/>
  <c r="G2034" i="1"/>
  <c r="E2035" i="1"/>
  <c r="G2035" i="1"/>
  <c r="E2036" i="1"/>
  <c r="G2036" i="1"/>
  <c r="E2037" i="1"/>
  <c r="G2037" i="1"/>
  <c r="E2038" i="1"/>
  <c r="G2038" i="1"/>
  <c r="E2039" i="1"/>
  <c r="G2039" i="1"/>
  <c r="E2040" i="1"/>
  <c r="G2040" i="1"/>
  <c r="E2041" i="1"/>
  <c r="G2041" i="1"/>
  <c r="E2042" i="1"/>
  <c r="G2042" i="1"/>
  <c r="E2043" i="1"/>
  <c r="G2043" i="1"/>
  <c r="E2044" i="1"/>
  <c r="G2044" i="1"/>
  <c r="E2045" i="1"/>
  <c r="G2045" i="1"/>
  <c r="E2046" i="1"/>
  <c r="G2046" i="1"/>
  <c r="E2047" i="1"/>
  <c r="G2047" i="1"/>
  <c r="E2048" i="1"/>
  <c r="G2048" i="1"/>
  <c r="E2049" i="1"/>
  <c r="G2049" i="1"/>
  <c r="E2050" i="1"/>
  <c r="G2050" i="1"/>
  <c r="E2051" i="1"/>
  <c r="G2051" i="1"/>
  <c r="E2052" i="1"/>
  <c r="G2052" i="1"/>
  <c r="E2053" i="1"/>
  <c r="G2053" i="1"/>
  <c r="E2054" i="1"/>
  <c r="G2054" i="1"/>
  <c r="E2055" i="1"/>
  <c r="G2055" i="1"/>
  <c r="E2056" i="1"/>
  <c r="G2056" i="1"/>
  <c r="E2057" i="1"/>
  <c r="G2057" i="1"/>
  <c r="E2058" i="1"/>
  <c r="G2058" i="1"/>
  <c r="E2059" i="1"/>
  <c r="G2059" i="1"/>
  <c r="E2060" i="1"/>
  <c r="G2060" i="1"/>
  <c r="E2061" i="1"/>
  <c r="G2061" i="1"/>
  <c r="E2062" i="1"/>
  <c r="G2062" i="1"/>
  <c r="E2063" i="1"/>
  <c r="G2063" i="1"/>
  <c r="E2064" i="1"/>
  <c r="G2064" i="1"/>
  <c r="E2065" i="1"/>
  <c r="G2065" i="1"/>
  <c r="E2066" i="1"/>
  <c r="G2066" i="1"/>
  <c r="E2067" i="1"/>
  <c r="G2067" i="1"/>
  <c r="E2068" i="1"/>
  <c r="G2068" i="1"/>
  <c r="E2069" i="1"/>
  <c r="G2069" i="1"/>
  <c r="E2070" i="1"/>
  <c r="G2070" i="1"/>
  <c r="E2071" i="1"/>
  <c r="G2071" i="1"/>
  <c r="E2072" i="1"/>
  <c r="G2072" i="1"/>
  <c r="E2073" i="1"/>
  <c r="G2073" i="1"/>
  <c r="E2074" i="1"/>
  <c r="G2074" i="1"/>
  <c r="E2075" i="1"/>
  <c r="G2075" i="1"/>
  <c r="E2076" i="1"/>
  <c r="G2076" i="1"/>
  <c r="E2077" i="1"/>
  <c r="G2077" i="1"/>
  <c r="E2078" i="1"/>
  <c r="G2078" i="1"/>
  <c r="E2079" i="1"/>
  <c r="G2079" i="1"/>
  <c r="E2080" i="1"/>
  <c r="G2080" i="1"/>
  <c r="E2081" i="1"/>
  <c r="G2081" i="1"/>
  <c r="E2082" i="1"/>
  <c r="G2082" i="1"/>
  <c r="E2083" i="1"/>
  <c r="G2083" i="1"/>
  <c r="E2084" i="1"/>
  <c r="G2084" i="1"/>
  <c r="E2085" i="1"/>
  <c r="G2085" i="1"/>
  <c r="E2086" i="1"/>
  <c r="G2086" i="1"/>
  <c r="E2087" i="1"/>
  <c r="G2087" i="1"/>
  <c r="E2088" i="1"/>
  <c r="G2088" i="1"/>
  <c r="E2089" i="1"/>
  <c r="G2089" i="1"/>
  <c r="E2090" i="1"/>
  <c r="G2090" i="1"/>
  <c r="E2091" i="1"/>
  <c r="G2091" i="1"/>
  <c r="E2092" i="1"/>
  <c r="G2092" i="1"/>
  <c r="E2093" i="1"/>
  <c r="G2093" i="1"/>
  <c r="E2094" i="1"/>
  <c r="G2094" i="1"/>
  <c r="E2095" i="1"/>
  <c r="G2095" i="1"/>
  <c r="E2096" i="1"/>
  <c r="G2096" i="1"/>
  <c r="E2097" i="1"/>
  <c r="G2097" i="1"/>
  <c r="E2098" i="1"/>
  <c r="G2098" i="1"/>
  <c r="E2099" i="1"/>
  <c r="G2099" i="1"/>
  <c r="E2100" i="1"/>
  <c r="G2100" i="1"/>
  <c r="E2101" i="1"/>
  <c r="G2101" i="1"/>
  <c r="E2102" i="1"/>
  <c r="G2102" i="1"/>
  <c r="E2103" i="1"/>
  <c r="G2103" i="1"/>
  <c r="E2104" i="1"/>
  <c r="G2104" i="1"/>
  <c r="E2105" i="1"/>
  <c r="G2105" i="1"/>
  <c r="E2106" i="1"/>
  <c r="G2106" i="1"/>
  <c r="E2107" i="1"/>
  <c r="G2107" i="1"/>
  <c r="E2108" i="1"/>
  <c r="G2108" i="1"/>
  <c r="E2109" i="1"/>
  <c r="G2109" i="1"/>
  <c r="E2110" i="1"/>
  <c r="G2110" i="1"/>
  <c r="E2111" i="1"/>
  <c r="G2111" i="1"/>
  <c r="E2112" i="1"/>
  <c r="G2112" i="1"/>
  <c r="E2113" i="1"/>
  <c r="G2113" i="1"/>
  <c r="E2114" i="1"/>
  <c r="G2114" i="1"/>
  <c r="E2115" i="1"/>
  <c r="G2115" i="1"/>
  <c r="E2116" i="1"/>
  <c r="G2116" i="1"/>
  <c r="E2117" i="1"/>
  <c r="G2117" i="1"/>
  <c r="E2118" i="1"/>
  <c r="G2118" i="1"/>
  <c r="E2119" i="1"/>
  <c r="G2119" i="1"/>
  <c r="E2120" i="1"/>
  <c r="G2120" i="1"/>
  <c r="E2121" i="1"/>
  <c r="G2121" i="1"/>
  <c r="E2122" i="1"/>
  <c r="G2122" i="1"/>
  <c r="E2123" i="1"/>
  <c r="G2123" i="1"/>
  <c r="E2124" i="1"/>
  <c r="G2124" i="1"/>
  <c r="E2125" i="1"/>
  <c r="G2125" i="1"/>
  <c r="E2126" i="1"/>
  <c r="G2126" i="1"/>
  <c r="E2127" i="1"/>
  <c r="G2127" i="1"/>
  <c r="E2128" i="1"/>
  <c r="G2128" i="1"/>
  <c r="E2129" i="1"/>
  <c r="G2129" i="1"/>
  <c r="E2130" i="1"/>
  <c r="G2130" i="1"/>
  <c r="E2131" i="1"/>
  <c r="G2131" i="1"/>
  <c r="E2132" i="1"/>
  <c r="G2132" i="1"/>
  <c r="E2133" i="1"/>
  <c r="G2133" i="1"/>
  <c r="E2134" i="1"/>
  <c r="G2134" i="1"/>
  <c r="E2135" i="1"/>
  <c r="G2135" i="1"/>
  <c r="E2136" i="1"/>
  <c r="G2136" i="1"/>
  <c r="E2137" i="1"/>
  <c r="G2137" i="1"/>
  <c r="E2138" i="1"/>
  <c r="G2138" i="1"/>
  <c r="E2139" i="1"/>
  <c r="G2139" i="1"/>
  <c r="E2140" i="1"/>
  <c r="G2140" i="1"/>
  <c r="E2141" i="1"/>
  <c r="G2141" i="1"/>
  <c r="E2142" i="1"/>
  <c r="G2142" i="1"/>
  <c r="E2143" i="1"/>
  <c r="G2143" i="1"/>
  <c r="E2144" i="1"/>
  <c r="G2144" i="1"/>
  <c r="E2145" i="1"/>
  <c r="G2145" i="1"/>
  <c r="E2146" i="1"/>
  <c r="G2146" i="1"/>
  <c r="E2147" i="1"/>
  <c r="G2147" i="1"/>
  <c r="E2148" i="1"/>
  <c r="G2148" i="1"/>
  <c r="E2149" i="1"/>
  <c r="G2149" i="1"/>
  <c r="E2150" i="1"/>
  <c r="G2150" i="1"/>
  <c r="E2151" i="1"/>
  <c r="G2151" i="1"/>
  <c r="E2152" i="1"/>
  <c r="G2152" i="1"/>
  <c r="E2153" i="1"/>
  <c r="G2153" i="1"/>
  <c r="E2154" i="1"/>
  <c r="G2154" i="1"/>
  <c r="E2155" i="1"/>
  <c r="G2155" i="1"/>
  <c r="E2156" i="1"/>
  <c r="G2156" i="1"/>
  <c r="E2157" i="1"/>
  <c r="G2157" i="1"/>
  <c r="E2158" i="1"/>
  <c r="G2158" i="1"/>
  <c r="E2159" i="1"/>
  <c r="G2159" i="1"/>
  <c r="E2160" i="1"/>
  <c r="G2160" i="1"/>
  <c r="E2161" i="1"/>
  <c r="G2161" i="1"/>
  <c r="E2162" i="1"/>
  <c r="G2162" i="1"/>
  <c r="E2163" i="1"/>
  <c r="G2163" i="1"/>
  <c r="E2164" i="1"/>
  <c r="G2164" i="1"/>
  <c r="E2165" i="1"/>
  <c r="G2165" i="1"/>
  <c r="E2166" i="1"/>
  <c r="G2166" i="1"/>
  <c r="E2167" i="1"/>
  <c r="G2167" i="1"/>
  <c r="E2168" i="1"/>
  <c r="G2168" i="1"/>
  <c r="E2169" i="1"/>
  <c r="G2169" i="1"/>
  <c r="E2170" i="1"/>
  <c r="G2170" i="1"/>
  <c r="E2171" i="1"/>
  <c r="G2171" i="1"/>
  <c r="E2172" i="1"/>
  <c r="G2172" i="1"/>
  <c r="E2173" i="1"/>
  <c r="G2173" i="1"/>
  <c r="E2174" i="1"/>
  <c r="G2174" i="1"/>
  <c r="E2175" i="1"/>
  <c r="G2175" i="1"/>
  <c r="E2176" i="1"/>
  <c r="G2176" i="1"/>
  <c r="E2177" i="1"/>
  <c r="G2177" i="1"/>
  <c r="E2178" i="1"/>
  <c r="G2178" i="1"/>
  <c r="E2179" i="1"/>
  <c r="G2179" i="1"/>
  <c r="E2180" i="1"/>
  <c r="G2180" i="1"/>
  <c r="E2181" i="1"/>
  <c r="G2181" i="1"/>
  <c r="E2182" i="1"/>
  <c r="G2182" i="1"/>
  <c r="E2183" i="1"/>
  <c r="G2183" i="1"/>
  <c r="E2184" i="1"/>
  <c r="G2184" i="1"/>
  <c r="E2185" i="1"/>
  <c r="G2185" i="1"/>
  <c r="E2186" i="1"/>
  <c r="G2186" i="1"/>
  <c r="E2187" i="1"/>
  <c r="G2187" i="1"/>
  <c r="E2188" i="1"/>
  <c r="G2188" i="1"/>
  <c r="E2189" i="1"/>
  <c r="G2189" i="1"/>
  <c r="E2190" i="1"/>
  <c r="G2190" i="1"/>
  <c r="E2191" i="1"/>
  <c r="G2191" i="1"/>
  <c r="E2192" i="1"/>
  <c r="G2192" i="1"/>
  <c r="E2193" i="1"/>
  <c r="G2193" i="1"/>
  <c r="E2194" i="1"/>
  <c r="G2194" i="1"/>
  <c r="E2195" i="1"/>
  <c r="G2195" i="1"/>
  <c r="E2196" i="1"/>
  <c r="G2196" i="1"/>
  <c r="E2197" i="1"/>
  <c r="G2197" i="1"/>
  <c r="E2198" i="1"/>
  <c r="G2198" i="1"/>
  <c r="E2199" i="1"/>
  <c r="G2199" i="1"/>
  <c r="E2200" i="1"/>
  <c r="G2200" i="1"/>
  <c r="E2201" i="1"/>
  <c r="G2201" i="1"/>
  <c r="E2202" i="1"/>
  <c r="G2202" i="1"/>
  <c r="E2203" i="1"/>
  <c r="G2203" i="1"/>
  <c r="E2204" i="1"/>
  <c r="G2204" i="1"/>
  <c r="E2205" i="1"/>
  <c r="G2205" i="1"/>
  <c r="E2206" i="1"/>
  <c r="G2206" i="1"/>
  <c r="E2207" i="1"/>
  <c r="G2207" i="1"/>
  <c r="E2208" i="1"/>
  <c r="G2208" i="1"/>
  <c r="E2209" i="1"/>
  <c r="G2209" i="1"/>
  <c r="E2210" i="1"/>
  <c r="G2210" i="1"/>
  <c r="E2211" i="1"/>
  <c r="G2211" i="1"/>
  <c r="E2212" i="1"/>
  <c r="G2212" i="1"/>
  <c r="E2213" i="1"/>
  <c r="G2213" i="1"/>
  <c r="E2214" i="1"/>
  <c r="G2214" i="1"/>
  <c r="E2215" i="1"/>
  <c r="G2215" i="1"/>
  <c r="E2216" i="1"/>
  <c r="G2216" i="1"/>
  <c r="E2217" i="1"/>
  <c r="G2217" i="1"/>
  <c r="E2218" i="1"/>
  <c r="G2218" i="1"/>
  <c r="E2219" i="1"/>
  <c r="G2219" i="1"/>
  <c r="E2220" i="1"/>
  <c r="G2220" i="1"/>
  <c r="E2221" i="1"/>
  <c r="G2221" i="1"/>
  <c r="E2222" i="1"/>
  <c r="G2222" i="1"/>
  <c r="E2223" i="1"/>
  <c r="G2223" i="1"/>
  <c r="E2224" i="1"/>
  <c r="G2224" i="1"/>
  <c r="E2225" i="1"/>
  <c r="G2225" i="1"/>
  <c r="E2226" i="1"/>
  <c r="G2226" i="1"/>
  <c r="E2227" i="1"/>
  <c r="G2227" i="1"/>
  <c r="E2228" i="1"/>
  <c r="G2228" i="1"/>
  <c r="E2229" i="1"/>
  <c r="G2229" i="1"/>
  <c r="E2230" i="1"/>
  <c r="G2230" i="1"/>
  <c r="E2231" i="1"/>
  <c r="G2231" i="1"/>
  <c r="E2232" i="1"/>
  <c r="G2232" i="1"/>
  <c r="E2233" i="1"/>
  <c r="G2233" i="1"/>
  <c r="E2234" i="1"/>
  <c r="G2234" i="1"/>
  <c r="E2235" i="1"/>
  <c r="G2235" i="1"/>
  <c r="E2236" i="1"/>
  <c r="G2236" i="1"/>
  <c r="E2237" i="1"/>
  <c r="G2237" i="1"/>
  <c r="E2238" i="1"/>
  <c r="G2238" i="1"/>
  <c r="E2239" i="1"/>
  <c r="G2239" i="1"/>
  <c r="E2240" i="1"/>
  <c r="G2240" i="1"/>
  <c r="E2241" i="1"/>
  <c r="G2241" i="1"/>
  <c r="E2242" i="1"/>
  <c r="G2242" i="1"/>
  <c r="E2243" i="1"/>
  <c r="G2243" i="1"/>
  <c r="E2244" i="1"/>
  <c r="G2244" i="1"/>
  <c r="E2245" i="1"/>
  <c r="G2245" i="1"/>
  <c r="E2246" i="1"/>
  <c r="G2246" i="1"/>
  <c r="E2247" i="1"/>
  <c r="G2247" i="1"/>
  <c r="E2248" i="1"/>
  <c r="G2248" i="1"/>
  <c r="E2249" i="1"/>
  <c r="G2249" i="1"/>
  <c r="E2250" i="1"/>
  <c r="G2250" i="1"/>
  <c r="E2251" i="1"/>
  <c r="G2251" i="1"/>
  <c r="E2252" i="1"/>
  <c r="G2252" i="1"/>
  <c r="E2253" i="1"/>
  <c r="G2253" i="1"/>
  <c r="E2254" i="1"/>
  <c r="G2254" i="1"/>
  <c r="E2255" i="1"/>
  <c r="G2255" i="1"/>
  <c r="E2256" i="1"/>
  <c r="G2256" i="1"/>
  <c r="E2257" i="1"/>
  <c r="G2257" i="1"/>
  <c r="E2258" i="1"/>
  <c r="G2258" i="1"/>
  <c r="E2259" i="1"/>
  <c r="G2259" i="1"/>
  <c r="E2260" i="1"/>
  <c r="G2260" i="1"/>
  <c r="E2261" i="1"/>
  <c r="G2261" i="1"/>
  <c r="E2262" i="1"/>
  <c r="G2262" i="1"/>
  <c r="E2263" i="1"/>
  <c r="G2263" i="1"/>
  <c r="E2264" i="1"/>
  <c r="G2264" i="1"/>
  <c r="E2265" i="1"/>
  <c r="G2265" i="1"/>
  <c r="E2266" i="1"/>
  <c r="G2266" i="1"/>
  <c r="E2267" i="1"/>
  <c r="G2267" i="1"/>
  <c r="E2268" i="1"/>
  <c r="G2268" i="1"/>
  <c r="E2269" i="1"/>
  <c r="G2269" i="1"/>
  <c r="E2270" i="1"/>
  <c r="G2270" i="1"/>
  <c r="E2271" i="1"/>
  <c r="G2271" i="1"/>
  <c r="E2272" i="1"/>
  <c r="G2272" i="1"/>
  <c r="E2273" i="1"/>
  <c r="G2273" i="1"/>
  <c r="E2274" i="1"/>
  <c r="G2274" i="1"/>
  <c r="E2275" i="1"/>
  <c r="G2275" i="1"/>
  <c r="E2276" i="1"/>
  <c r="G2276" i="1"/>
  <c r="E2277" i="1"/>
  <c r="G2277" i="1"/>
  <c r="E2278" i="1"/>
  <c r="G2278" i="1"/>
  <c r="E2279" i="1"/>
  <c r="G2279" i="1"/>
  <c r="E2280" i="1"/>
  <c r="G2280" i="1"/>
  <c r="E2281" i="1"/>
  <c r="G2281" i="1"/>
  <c r="E2282" i="1"/>
  <c r="G2282" i="1"/>
  <c r="E2283" i="1"/>
  <c r="G2283" i="1"/>
  <c r="E2284" i="1"/>
  <c r="G2284" i="1"/>
  <c r="E2285" i="1"/>
  <c r="G2285" i="1"/>
  <c r="E2286" i="1"/>
  <c r="G2286" i="1"/>
  <c r="E2287" i="1"/>
  <c r="G2287" i="1"/>
  <c r="E2288" i="1"/>
  <c r="G2288" i="1"/>
  <c r="E2289" i="1"/>
  <c r="G2289" i="1"/>
  <c r="E2290" i="1"/>
  <c r="G2290" i="1"/>
  <c r="E2291" i="1"/>
  <c r="G2291" i="1"/>
  <c r="E2292" i="1"/>
  <c r="G2292" i="1"/>
  <c r="E2293" i="1"/>
  <c r="G2293" i="1"/>
  <c r="E2294" i="1"/>
  <c r="G2294" i="1"/>
  <c r="E2295" i="1"/>
  <c r="G2295" i="1"/>
  <c r="E2296" i="1"/>
  <c r="G2296" i="1"/>
  <c r="E2297" i="1"/>
  <c r="G2297" i="1"/>
  <c r="E2298" i="1"/>
  <c r="G2298" i="1"/>
  <c r="E2299" i="1"/>
  <c r="G2299" i="1"/>
  <c r="E2300" i="1"/>
  <c r="G2300" i="1"/>
  <c r="E2301" i="1"/>
  <c r="G2301" i="1"/>
  <c r="E2302" i="1"/>
  <c r="G2302" i="1"/>
  <c r="E2303" i="1"/>
  <c r="G2303" i="1"/>
  <c r="E2304" i="1"/>
  <c r="G2304" i="1"/>
  <c r="E2305" i="1"/>
  <c r="G2305" i="1"/>
  <c r="E2306" i="1"/>
  <c r="G2306" i="1"/>
  <c r="E2307" i="1"/>
  <c r="G2307" i="1"/>
  <c r="E2308" i="1"/>
  <c r="G2308" i="1"/>
  <c r="E2309" i="1"/>
  <c r="G2309" i="1"/>
  <c r="E2310" i="1"/>
  <c r="G2310" i="1"/>
  <c r="E2311" i="1"/>
  <c r="G2311" i="1"/>
  <c r="E2312" i="1"/>
  <c r="G2312" i="1"/>
  <c r="E2313" i="1"/>
  <c r="G2313" i="1"/>
  <c r="E2314" i="1"/>
  <c r="G2314" i="1"/>
  <c r="E2315" i="1"/>
  <c r="G2315" i="1"/>
  <c r="E2316" i="1"/>
  <c r="G2316" i="1"/>
  <c r="E2317" i="1"/>
  <c r="G2317" i="1"/>
  <c r="E2318" i="1"/>
  <c r="G2318" i="1"/>
  <c r="E2319" i="1"/>
  <c r="G2319" i="1"/>
  <c r="E2320" i="1"/>
  <c r="G2320" i="1"/>
  <c r="E2321" i="1"/>
  <c r="G2321" i="1"/>
  <c r="E2322" i="1"/>
  <c r="G2322" i="1"/>
  <c r="E2323" i="1"/>
  <c r="G2323" i="1"/>
  <c r="E2324" i="1"/>
  <c r="G2324" i="1"/>
  <c r="E2325" i="1"/>
  <c r="G2325" i="1"/>
  <c r="E2326" i="1"/>
  <c r="G2326" i="1"/>
  <c r="E2327" i="1"/>
  <c r="G2327" i="1"/>
  <c r="E2328" i="1"/>
  <c r="G2328" i="1"/>
  <c r="E2329" i="1"/>
  <c r="G2329" i="1"/>
  <c r="E2330" i="1"/>
  <c r="G2330" i="1"/>
  <c r="E2331" i="1"/>
  <c r="G2331" i="1"/>
  <c r="E2332" i="1"/>
  <c r="G2332" i="1"/>
  <c r="E2333" i="1"/>
  <c r="G2333" i="1"/>
  <c r="E2334" i="1"/>
  <c r="G2334" i="1"/>
  <c r="E2335" i="1"/>
  <c r="G2335" i="1"/>
  <c r="E2336" i="1"/>
  <c r="G2336" i="1"/>
  <c r="E2337" i="1"/>
  <c r="G2337" i="1"/>
  <c r="E2338" i="1"/>
  <c r="G2338" i="1"/>
  <c r="E2339" i="1"/>
  <c r="G2339" i="1"/>
  <c r="E2340" i="1"/>
  <c r="G2340" i="1"/>
  <c r="E2341" i="1"/>
  <c r="G2341" i="1"/>
  <c r="E2342" i="1"/>
  <c r="G2342" i="1"/>
  <c r="E2343" i="1"/>
  <c r="G2343" i="1"/>
  <c r="E2344" i="1"/>
  <c r="G2344" i="1"/>
  <c r="E2345" i="1"/>
  <c r="G2345" i="1"/>
  <c r="E2346" i="1"/>
  <c r="G2346" i="1"/>
  <c r="E2347" i="1"/>
  <c r="G2347" i="1"/>
  <c r="E2348" i="1"/>
  <c r="G2348" i="1"/>
  <c r="E2349" i="1"/>
  <c r="G2349" i="1"/>
  <c r="E2350" i="1"/>
  <c r="G2350" i="1"/>
  <c r="E2351" i="1"/>
  <c r="G2351" i="1"/>
  <c r="E2352" i="1"/>
  <c r="G2352" i="1"/>
  <c r="E2353" i="1"/>
  <c r="G2353" i="1"/>
  <c r="E2354" i="1"/>
  <c r="G2354" i="1"/>
  <c r="E2355" i="1"/>
  <c r="G2355" i="1"/>
  <c r="E2356" i="1"/>
  <c r="G2356" i="1"/>
  <c r="E2357" i="1"/>
  <c r="G2357" i="1"/>
  <c r="E2358" i="1"/>
  <c r="G2358" i="1"/>
  <c r="E2359" i="1"/>
  <c r="G2359" i="1"/>
  <c r="E2360" i="1"/>
  <c r="G2360" i="1"/>
  <c r="E2361" i="1"/>
  <c r="G2361" i="1"/>
  <c r="E2362" i="1"/>
  <c r="G2362" i="1"/>
  <c r="E2363" i="1"/>
  <c r="G2363" i="1"/>
  <c r="E2364" i="1"/>
  <c r="G2364" i="1"/>
  <c r="E2365" i="1"/>
  <c r="G2365" i="1"/>
  <c r="E2366" i="1"/>
  <c r="G2366" i="1"/>
  <c r="E2367" i="1"/>
  <c r="G2367" i="1"/>
  <c r="E2368" i="1"/>
  <c r="G2368" i="1"/>
  <c r="E2369" i="1"/>
  <c r="G2369" i="1"/>
  <c r="E2370" i="1"/>
  <c r="G2370" i="1"/>
  <c r="E2371" i="1"/>
  <c r="G2371" i="1"/>
  <c r="E2372" i="1"/>
  <c r="G2372" i="1"/>
  <c r="E2373" i="1"/>
  <c r="G2373" i="1"/>
  <c r="E2374" i="1"/>
  <c r="G2374" i="1"/>
  <c r="E2375" i="1"/>
  <c r="G2375" i="1"/>
  <c r="E2376" i="1"/>
  <c r="G2376" i="1"/>
  <c r="E2377" i="1"/>
  <c r="G2377" i="1"/>
  <c r="E2378" i="1"/>
  <c r="G2378" i="1"/>
  <c r="E2379" i="1"/>
  <c r="G2379" i="1"/>
  <c r="E2380" i="1"/>
  <c r="G2380" i="1"/>
  <c r="E2381" i="1"/>
  <c r="G2381" i="1"/>
  <c r="E2382" i="1"/>
  <c r="G2382" i="1"/>
  <c r="E2383" i="1"/>
  <c r="G2383" i="1"/>
  <c r="E2384" i="1"/>
  <c r="G2384" i="1"/>
  <c r="E2385" i="1"/>
  <c r="G2385" i="1"/>
  <c r="E2386" i="1"/>
  <c r="G2386" i="1"/>
  <c r="E2387" i="1"/>
  <c r="G2387" i="1"/>
  <c r="E2388" i="1"/>
  <c r="G2388" i="1"/>
  <c r="E2389" i="1"/>
  <c r="G2389" i="1"/>
  <c r="E2390" i="1"/>
  <c r="G2390" i="1"/>
  <c r="E2391" i="1"/>
  <c r="G2391" i="1"/>
  <c r="E2392" i="1"/>
  <c r="G2392" i="1"/>
  <c r="E2393" i="1"/>
  <c r="G2393" i="1"/>
  <c r="E2394" i="1"/>
  <c r="G2394" i="1"/>
  <c r="E2395" i="1"/>
  <c r="G2395" i="1"/>
  <c r="E2396" i="1"/>
  <c r="G2396" i="1"/>
  <c r="E2397" i="1"/>
  <c r="G2397" i="1"/>
  <c r="E2398" i="1"/>
  <c r="G2398" i="1"/>
  <c r="E2399" i="1"/>
  <c r="G2399" i="1"/>
  <c r="E2400" i="1"/>
  <c r="G2400" i="1"/>
  <c r="E2401" i="1"/>
  <c r="G2401" i="1"/>
  <c r="E2402" i="1"/>
  <c r="G2402" i="1"/>
  <c r="E2403" i="1"/>
  <c r="G2403" i="1"/>
  <c r="E2404" i="1"/>
  <c r="G2404" i="1"/>
  <c r="E2405" i="1"/>
  <c r="G2405" i="1"/>
  <c r="E2406" i="1"/>
  <c r="G2406" i="1"/>
  <c r="E2407" i="1"/>
  <c r="G2407" i="1"/>
  <c r="E2408" i="1"/>
  <c r="G2408" i="1"/>
  <c r="E2409" i="1"/>
  <c r="G2409" i="1"/>
  <c r="E2410" i="1"/>
  <c r="G2410" i="1"/>
  <c r="E2411" i="1"/>
  <c r="G2411" i="1"/>
  <c r="E2412" i="1"/>
  <c r="G2412" i="1"/>
  <c r="E2413" i="1"/>
  <c r="G2413" i="1"/>
  <c r="E2414" i="1"/>
  <c r="G2414" i="1"/>
  <c r="E2415" i="1"/>
  <c r="G2415" i="1"/>
  <c r="E2416" i="1"/>
  <c r="G2416" i="1"/>
  <c r="E2417" i="1"/>
  <c r="G2417" i="1"/>
  <c r="E2418" i="1"/>
  <c r="G2418" i="1"/>
  <c r="E2419" i="1"/>
  <c r="G2419" i="1"/>
  <c r="E2420" i="1"/>
  <c r="G2420" i="1"/>
  <c r="E2421" i="1"/>
  <c r="G2421" i="1"/>
  <c r="E2422" i="1"/>
  <c r="G2422" i="1"/>
  <c r="E2423" i="1"/>
  <c r="G2423" i="1"/>
  <c r="E2424" i="1"/>
  <c r="G2424" i="1"/>
  <c r="E2425" i="1"/>
  <c r="G2425" i="1"/>
  <c r="E2426" i="1"/>
  <c r="G2426" i="1"/>
  <c r="E2427" i="1"/>
  <c r="G2427" i="1"/>
  <c r="E2428" i="1"/>
  <c r="G2428" i="1"/>
  <c r="E2429" i="1"/>
  <c r="G2429" i="1"/>
  <c r="E2430" i="1"/>
  <c r="G2430" i="1"/>
  <c r="E2431" i="1"/>
  <c r="G2431" i="1"/>
  <c r="E2432" i="1"/>
  <c r="G2432" i="1"/>
  <c r="E2433" i="1"/>
  <c r="G2433" i="1"/>
  <c r="E2434" i="1"/>
  <c r="G2434" i="1"/>
  <c r="E2435" i="1"/>
  <c r="G2435" i="1"/>
  <c r="E2436" i="1"/>
  <c r="G2436" i="1"/>
  <c r="E2437" i="1"/>
  <c r="G2437" i="1"/>
  <c r="E2438" i="1"/>
  <c r="G2438" i="1"/>
  <c r="E2439" i="1"/>
  <c r="G2439" i="1"/>
  <c r="E2440" i="1"/>
  <c r="G2440" i="1"/>
  <c r="E2441" i="1"/>
  <c r="G2441" i="1"/>
  <c r="E2442" i="1"/>
  <c r="G2442" i="1"/>
  <c r="E2443" i="1"/>
  <c r="G2443" i="1"/>
  <c r="E2444" i="1"/>
  <c r="G2444" i="1"/>
  <c r="E2445" i="1"/>
  <c r="G2445" i="1"/>
  <c r="E2446" i="1"/>
  <c r="G2446" i="1"/>
  <c r="E2447" i="1"/>
  <c r="G2447" i="1"/>
  <c r="E2448" i="1"/>
  <c r="G2448" i="1"/>
  <c r="E2449" i="1"/>
  <c r="G2449" i="1"/>
  <c r="E2450" i="1"/>
  <c r="G2450" i="1"/>
  <c r="E2451" i="1"/>
  <c r="G2451" i="1"/>
  <c r="E2452" i="1"/>
  <c r="G2452" i="1"/>
  <c r="E2453" i="1"/>
  <c r="G2453" i="1"/>
  <c r="E2454" i="1"/>
  <c r="G2454" i="1"/>
  <c r="E2455" i="1"/>
  <c r="G2455" i="1"/>
  <c r="E2456" i="1"/>
  <c r="G2456" i="1"/>
  <c r="E2457" i="1"/>
  <c r="G2457" i="1"/>
  <c r="E2458" i="1"/>
  <c r="G2458" i="1"/>
  <c r="E2459" i="1"/>
  <c r="G2459" i="1"/>
  <c r="E2460" i="1"/>
  <c r="G2460" i="1"/>
  <c r="E2461" i="1"/>
  <c r="G2461" i="1"/>
  <c r="E2462" i="1"/>
  <c r="G2462" i="1"/>
  <c r="E2463" i="1"/>
  <c r="G2463" i="1"/>
  <c r="E2464" i="1"/>
  <c r="G2464" i="1"/>
  <c r="E2465" i="1"/>
  <c r="G2465" i="1"/>
  <c r="E2466" i="1"/>
  <c r="G2466" i="1"/>
  <c r="E2467" i="1"/>
  <c r="G2467" i="1"/>
  <c r="E2468" i="1"/>
  <c r="G2468" i="1"/>
  <c r="E2469" i="1"/>
  <c r="G2469" i="1"/>
  <c r="E2470" i="1"/>
  <c r="G2470" i="1"/>
  <c r="E2471" i="1"/>
  <c r="G2471" i="1"/>
  <c r="E2472" i="1"/>
  <c r="G2472" i="1"/>
  <c r="E2473" i="1"/>
  <c r="G2473" i="1"/>
  <c r="E2474" i="1"/>
  <c r="G2474" i="1"/>
  <c r="E2475" i="1"/>
  <c r="G2475" i="1"/>
  <c r="E2476" i="1"/>
  <c r="G2476" i="1"/>
  <c r="E2477" i="1"/>
  <c r="G2477" i="1"/>
  <c r="E2478" i="1"/>
  <c r="G2478" i="1"/>
  <c r="E2479" i="1"/>
  <c r="G2479" i="1"/>
  <c r="E2480" i="1"/>
  <c r="G2480" i="1"/>
  <c r="E2481" i="1"/>
  <c r="G2481" i="1"/>
  <c r="E2482" i="1"/>
  <c r="G2482" i="1"/>
  <c r="E2483" i="1"/>
  <c r="G2483" i="1"/>
  <c r="E2484" i="1"/>
  <c r="G2484" i="1"/>
  <c r="E2485" i="1"/>
  <c r="G2485" i="1"/>
  <c r="E2486" i="1"/>
  <c r="G2486" i="1"/>
  <c r="E2487" i="1"/>
  <c r="G2487" i="1"/>
  <c r="E2488" i="1"/>
  <c r="G2488" i="1"/>
  <c r="E2489" i="1"/>
  <c r="G2489" i="1"/>
  <c r="E2490" i="1"/>
  <c r="G2490" i="1"/>
  <c r="E2491" i="1"/>
  <c r="G2491" i="1"/>
  <c r="E2492" i="1"/>
  <c r="G2492" i="1"/>
  <c r="E2493" i="1"/>
  <c r="G2493" i="1"/>
  <c r="E2494" i="1"/>
  <c r="G2494" i="1"/>
  <c r="E2495" i="1"/>
  <c r="G2495" i="1"/>
  <c r="E2496" i="1"/>
  <c r="G2496" i="1"/>
  <c r="E2497" i="1"/>
  <c r="G2497" i="1"/>
  <c r="E2498" i="1"/>
  <c r="G2498" i="1"/>
  <c r="E2499" i="1"/>
  <c r="G2499" i="1"/>
  <c r="E2500" i="1"/>
  <c r="G2500" i="1"/>
  <c r="E2501" i="1"/>
  <c r="G2501" i="1"/>
  <c r="E2502" i="1"/>
  <c r="G2502" i="1"/>
  <c r="E2503" i="1"/>
  <c r="G2503" i="1"/>
  <c r="E2504" i="1"/>
  <c r="G2504" i="1"/>
  <c r="E2505" i="1"/>
  <c r="G2505" i="1"/>
  <c r="E2506" i="1"/>
  <c r="G2506" i="1"/>
  <c r="E2507" i="1"/>
  <c r="G2507" i="1"/>
  <c r="E2508" i="1"/>
  <c r="G2508" i="1"/>
  <c r="E2509" i="1"/>
  <c r="G2509" i="1"/>
  <c r="E2510" i="1"/>
  <c r="G2510" i="1"/>
  <c r="E2511" i="1"/>
  <c r="G2511" i="1"/>
  <c r="E2512" i="1"/>
  <c r="G2512" i="1"/>
  <c r="E2513" i="1"/>
  <c r="G2513" i="1"/>
  <c r="E2514" i="1"/>
  <c r="G2514" i="1"/>
  <c r="E2515" i="1"/>
  <c r="G2515" i="1"/>
  <c r="E2516" i="1"/>
  <c r="G2516" i="1"/>
  <c r="E2517" i="1"/>
  <c r="G2517" i="1"/>
  <c r="E2518" i="1"/>
  <c r="G2518" i="1"/>
  <c r="E2519" i="1"/>
  <c r="G2519" i="1"/>
  <c r="E2520" i="1"/>
  <c r="G2520" i="1"/>
  <c r="E2521" i="1"/>
  <c r="G2521" i="1"/>
  <c r="E2522" i="1"/>
  <c r="G2522" i="1"/>
  <c r="E2523" i="1"/>
  <c r="G2523" i="1"/>
  <c r="E2524" i="1"/>
  <c r="G2524" i="1"/>
  <c r="E2525" i="1"/>
  <c r="G2525" i="1"/>
  <c r="E2526" i="1"/>
  <c r="G2526" i="1"/>
  <c r="E2527" i="1"/>
  <c r="G2527" i="1"/>
  <c r="E2528" i="1"/>
  <c r="G2528" i="1"/>
  <c r="E2529" i="1"/>
  <c r="G2529" i="1"/>
  <c r="E2530" i="1"/>
  <c r="G2530" i="1"/>
  <c r="E2531" i="1"/>
  <c r="G2531" i="1"/>
  <c r="E2532" i="1"/>
  <c r="G2532" i="1"/>
  <c r="E2533" i="1"/>
  <c r="G2533" i="1"/>
  <c r="E2534" i="1"/>
  <c r="G2534" i="1"/>
  <c r="E2535" i="1"/>
  <c r="G2535" i="1"/>
  <c r="E2536" i="1"/>
  <c r="G2536" i="1"/>
  <c r="E2537" i="1"/>
  <c r="G2537" i="1"/>
  <c r="E2538" i="1"/>
  <c r="G2538" i="1"/>
  <c r="E2539" i="1"/>
  <c r="G2539" i="1"/>
  <c r="E2540" i="1"/>
  <c r="G2540" i="1"/>
  <c r="E2541" i="1"/>
  <c r="G2541" i="1"/>
  <c r="E2542" i="1"/>
  <c r="G2542" i="1"/>
  <c r="E2543" i="1"/>
  <c r="G2543" i="1"/>
  <c r="E2544" i="1"/>
  <c r="G2544" i="1"/>
  <c r="E2545" i="1"/>
  <c r="G2545" i="1"/>
  <c r="E2546" i="1"/>
  <c r="G2546" i="1"/>
  <c r="E2547" i="1"/>
  <c r="G2547" i="1"/>
  <c r="E2548" i="1"/>
  <c r="G2548" i="1"/>
  <c r="E2549" i="1"/>
  <c r="G2549" i="1"/>
  <c r="E2550" i="1"/>
  <c r="G2550" i="1"/>
  <c r="E2551" i="1"/>
  <c r="G2551" i="1"/>
  <c r="E2552" i="1"/>
  <c r="G2552" i="1"/>
  <c r="E2553" i="1"/>
  <c r="G2553" i="1"/>
  <c r="E2554" i="1"/>
  <c r="G2554" i="1"/>
  <c r="E2555" i="1"/>
  <c r="G2555" i="1"/>
  <c r="E2556" i="1"/>
  <c r="G2556" i="1"/>
  <c r="E2557" i="1"/>
  <c r="G2557" i="1"/>
  <c r="E2558" i="1"/>
  <c r="G2558" i="1"/>
  <c r="E2559" i="1"/>
  <c r="G2559" i="1"/>
  <c r="E2560" i="1"/>
  <c r="G2560" i="1"/>
  <c r="E2561" i="1"/>
  <c r="G2561" i="1"/>
  <c r="E2562" i="1"/>
  <c r="G2562" i="1"/>
  <c r="E2563" i="1"/>
  <c r="G2563" i="1"/>
  <c r="E2564" i="1"/>
  <c r="G2564" i="1"/>
  <c r="E2565" i="1"/>
  <c r="G2565" i="1"/>
  <c r="E2566" i="1"/>
  <c r="G2566" i="1"/>
  <c r="E2567" i="1"/>
  <c r="G2567" i="1"/>
  <c r="E2568" i="1"/>
  <c r="G2568" i="1"/>
  <c r="E2569" i="1"/>
  <c r="G2569" i="1"/>
  <c r="E2570" i="1"/>
  <c r="G2570" i="1"/>
  <c r="E2571" i="1"/>
  <c r="G2571" i="1"/>
  <c r="E2572" i="1"/>
  <c r="G2572" i="1"/>
  <c r="E2573" i="1"/>
  <c r="G2573" i="1"/>
  <c r="E2574" i="1"/>
  <c r="G2574" i="1"/>
  <c r="E2575" i="1"/>
  <c r="G2575" i="1"/>
  <c r="E2576" i="1"/>
  <c r="G2576" i="1"/>
  <c r="E2577" i="1"/>
  <c r="G2577" i="1"/>
  <c r="E2578" i="1"/>
  <c r="G2578" i="1"/>
  <c r="E2579" i="1"/>
  <c r="G2579" i="1"/>
  <c r="E2580" i="1"/>
  <c r="G2580" i="1"/>
  <c r="E2581" i="1"/>
  <c r="G2581" i="1"/>
  <c r="E2582" i="1"/>
  <c r="G2582" i="1"/>
  <c r="E2583" i="1"/>
  <c r="G2583" i="1"/>
  <c r="E2584" i="1"/>
  <c r="G2584" i="1"/>
  <c r="E2585" i="1"/>
  <c r="G2585" i="1"/>
  <c r="E2586" i="1"/>
  <c r="G2586" i="1"/>
  <c r="E2587" i="1"/>
  <c r="G2587" i="1"/>
  <c r="E2588" i="1"/>
  <c r="G2588" i="1"/>
  <c r="E2589" i="1"/>
  <c r="G2589" i="1"/>
  <c r="E2590" i="1"/>
  <c r="G2590" i="1"/>
  <c r="E2591" i="1"/>
  <c r="G2591" i="1"/>
  <c r="E2592" i="1"/>
  <c r="G2592" i="1"/>
  <c r="E2593" i="1"/>
  <c r="G2593" i="1"/>
  <c r="E2594" i="1"/>
  <c r="G2594" i="1"/>
  <c r="E2595" i="1"/>
  <c r="G2595" i="1"/>
  <c r="E2596" i="1"/>
  <c r="G2596" i="1"/>
  <c r="E2597" i="1"/>
  <c r="G2597" i="1"/>
  <c r="E2598" i="1"/>
  <c r="G2598" i="1"/>
  <c r="E2599" i="1"/>
  <c r="G2599" i="1"/>
  <c r="E2600" i="1"/>
  <c r="G2600" i="1"/>
  <c r="E2601" i="1"/>
  <c r="G2601" i="1"/>
  <c r="E2602" i="1"/>
  <c r="G2602" i="1"/>
  <c r="E2603" i="1"/>
  <c r="G2603" i="1"/>
  <c r="E2604" i="1"/>
  <c r="G2604" i="1"/>
  <c r="E2605" i="1"/>
  <c r="G2605" i="1"/>
  <c r="E2606" i="1"/>
  <c r="G2606" i="1"/>
  <c r="E2607" i="1"/>
  <c r="G2607" i="1"/>
  <c r="E2608" i="1"/>
  <c r="G2608" i="1"/>
  <c r="E2609" i="1"/>
  <c r="G2609" i="1"/>
  <c r="E2610" i="1"/>
  <c r="G2610" i="1"/>
  <c r="E2611" i="1"/>
  <c r="G2611" i="1"/>
  <c r="E2612" i="1"/>
  <c r="G2612" i="1"/>
  <c r="E2613" i="1"/>
  <c r="G2613" i="1"/>
  <c r="E2614" i="1"/>
  <c r="G2614" i="1"/>
  <c r="E2615" i="1"/>
  <c r="G2615" i="1"/>
  <c r="E2616" i="1"/>
  <c r="G2616" i="1"/>
  <c r="E2617" i="1"/>
  <c r="G2617" i="1"/>
  <c r="E2618" i="1"/>
  <c r="G2618" i="1"/>
  <c r="E2619" i="1"/>
  <c r="G2619" i="1"/>
  <c r="E2620" i="1"/>
  <c r="G2620" i="1"/>
  <c r="E2621" i="1"/>
  <c r="G2621" i="1"/>
  <c r="E2622" i="1"/>
  <c r="G2622" i="1"/>
  <c r="E2623" i="1"/>
  <c r="G2623" i="1"/>
  <c r="E2624" i="1"/>
  <c r="G2624" i="1"/>
  <c r="E2625" i="1"/>
  <c r="G2625" i="1"/>
  <c r="E2626" i="1"/>
  <c r="G2626" i="1"/>
  <c r="E2627" i="1"/>
  <c r="G2627" i="1"/>
  <c r="E2628" i="1"/>
  <c r="G2628" i="1"/>
  <c r="E2629" i="1"/>
  <c r="G2629" i="1"/>
  <c r="E2630" i="1"/>
  <c r="G2630" i="1"/>
  <c r="E2631" i="1"/>
  <c r="G2631" i="1"/>
  <c r="E2632" i="1"/>
  <c r="G2632" i="1"/>
  <c r="E2633" i="1"/>
  <c r="G2633" i="1"/>
  <c r="E2634" i="1"/>
  <c r="G2634" i="1"/>
  <c r="E2635" i="1"/>
  <c r="G2635" i="1"/>
  <c r="E2636" i="1"/>
  <c r="G2636" i="1"/>
  <c r="E2637" i="1"/>
  <c r="G2637" i="1"/>
  <c r="E2638" i="1"/>
  <c r="G2638" i="1"/>
  <c r="E2639" i="1"/>
  <c r="G2639" i="1"/>
  <c r="E2640" i="1"/>
  <c r="G2640" i="1"/>
  <c r="E2641" i="1"/>
  <c r="G2641" i="1"/>
  <c r="E2642" i="1"/>
  <c r="G2642" i="1"/>
  <c r="E2643" i="1"/>
  <c r="G2643" i="1"/>
  <c r="E2644" i="1"/>
  <c r="G2644" i="1"/>
  <c r="E2645" i="1"/>
  <c r="G2645" i="1"/>
  <c r="E2646" i="1"/>
  <c r="G2646" i="1"/>
  <c r="E2647" i="1"/>
  <c r="G2647" i="1"/>
  <c r="E2648" i="1"/>
  <c r="G2648" i="1"/>
  <c r="E2649" i="1"/>
  <c r="G2649" i="1"/>
  <c r="E2650" i="1"/>
  <c r="G2650" i="1"/>
  <c r="E2651" i="1"/>
  <c r="G2651" i="1"/>
  <c r="E2652" i="1"/>
  <c r="G2652" i="1"/>
  <c r="E2653" i="1"/>
  <c r="G2653" i="1"/>
  <c r="E2654" i="1"/>
  <c r="G2654" i="1"/>
  <c r="E2655" i="1"/>
  <c r="G2655" i="1"/>
  <c r="E2656" i="1"/>
  <c r="G2656" i="1"/>
  <c r="E2657" i="1"/>
  <c r="G2657" i="1"/>
  <c r="E2658" i="1"/>
  <c r="G2658" i="1"/>
  <c r="E2659" i="1"/>
  <c r="G2659" i="1"/>
  <c r="E2660" i="1"/>
  <c r="G2660" i="1"/>
  <c r="E2661" i="1"/>
  <c r="G2661" i="1"/>
  <c r="E2662" i="1"/>
  <c r="G2662" i="1"/>
  <c r="E2663" i="1"/>
  <c r="G2663" i="1"/>
  <c r="E2664" i="1"/>
  <c r="G2664" i="1"/>
  <c r="E2665" i="1"/>
  <c r="G2665" i="1"/>
  <c r="E2666" i="1"/>
  <c r="G2666" i="1"/>
  <c r="E2667" i="1"/>
  <c r="G2667" i="1"/>
  <c r="E2668" i="1"/>
  <c r="G2668" i="1"/>
  <c r="E2669" i="1"/>
  <c r="G2669" i="1"/>
  <c r="E2670" i="1"/>
  <c r="G2670" i="1"/>
  <c r="E2671" i="1"/>
  <c r="G2671" i="1"/>
  <c r="E2672" i="1"/>
  <c r="G2672" i="1"/>
  <c r="E2673" i="1"/>
  <c r="G2673" i="1"/>
  <c r="E2674" i="1"/>
  <c r="G2674" i="1"/>
  <c r="E2675" i="1"/>
  <c r="G2675" i="1"/>
  <c r="E2676" i="1"/>
  <c r="G2676" i="1"/>
  <c r="E2677" i="1"/>
  <c r="G2677" i="1"/>
  <c r="E2678" i="1"/>
  <c r="G2678" i="1"/>
  <c r="E2679" i="1"/>
  <c r="G2679" i="1"/>
  <c r="E2680" i="1"/>
  <c r="G2680" i="1"/>
  <c r="E2681" i="1"/>
  <c r="G2681" i="1"/>
  <c r="E2682" i="1"/>
  <c r="G2682" i="1"/>
  <c r="E2683" i="1"/>
  <c r="G2683" i="1"/>
  <c r="E2684" i="1"/>
  <c r="G2684" i="1"/>
  <c r="E2685" i="1"/>
  <c r="G2685" i="1"/>
  <c r="E2686" i="1"/>
  <c r="G2686" i="1"/>
  <c r="E2687" i="1"/>
  <c r="G2687" i="1"/>
  <c r="E2688" i="1"/>
  <c r="G2688" i="1"/>
  <c r="E2689" i="1"/>
  <c r="G2689" i="1"/>
  <c r="E2690" i="1"/>
  <c r="G2690" i="1"/>
  <c r="E2691" i="1"/>
  <c r="G2691" i="1"/>
  <c r="E2692" i="1"/>
  <c r="G2692" i="1"/>
  <c r="E2693" i="1"/>
  <c r="G2693" i="1"/>
  <c r="E2694" i="1"/>
  <c r="G2694" i="1"/>
  <c r="E2695" i="1"/>
  <c r="G2695" i="1"/>
  <c r="E2696" i="1"/>
  <c r="G2696" i="1"/>
  <c r="E2697" i="1"/>
  <c r="G2697" i="1"/>
  <c r="E2698" i="1"/>
  <c r="G2698" i="1"/>
  <c r="E2699" i="1"/>
  <c r="G2699" i="1"/>
  <c r="E2700" i="1"/>
  <c r="G2700" i="1"/>
  <c r="E2701" i="1"/>
  <c r="G2701" i="1"/>
  <c r="E2702" i="1"/>
  <c r="G2702" i="1"/>
  <c r="E2703" i="1"/>
  <c r="G2703" i="1"/>
  <c r="E2704" i="1"/>
  <c r="G2704" i="1"/>
  <c r="E2705" i="1"/>
  <c r="G2705" i="1"/>
  <c r="E2706" i="1"/>
  <c r="G2706" i="1"/>
  <c r="E2707" i="1"/>
  <c r="G2707" i="1"/>
  <c r="E2708" i="1"/>
  <c r="G2708" i="1"/>
  <c r="E2709" i="1"/>
  <c r="G2709" i="1"/>
  <c r="E2710" i="1"/>
  <c r="G2710" i="1"/>
  <c r="E2711" i="1"/>
  <c r="G2711" i="1"/>
  <c r="E2712" i="1"/>
  <c r="G2712" i="1"/>
  <c r="E2713" i="1"/>
  <c r="G2713" i="1"/>
  <c r="E2714" i="1"/>
  <c r="G2714" i="1"/>
  <c r="E2715" i="1"/>
  <c r="G2715" i="1"/>
  <c r="E2716" i="1"/>
  <c r="G2716" i="1"/>
  <c r="E2717" i="1"/>
  <c r="G2717" i="1"/>
  <c r="E2718" i="1"/>
  <c r="G2718" i="1"/>
  <c r="E2719" i="1"/>
  <c r="G2719" i="1"/>
  <c r="E2720" i="1"/>
  <c r="G2720" i="1"/>
  <c r="E2721" i="1"/>
  <c r="G2721" i="1"/>
  <c r="E2722" i="1"/>
  <c r="G2722" i="1"/>
  <c r="E2723" i="1"/>
  <c r="G2723" i="1"/>
  <c r="E2724" i="1"/>
  <c r="G2724" i="1"/>
  <c r="E2725" i="1"/>
  <c r="G2725" i="1"/>
  <c r="E2726" i="1"/>
  <c r="G2726" i="1"/>
  <c r="E2727" i="1"/>
  <c r="G2727" i="1"/>
  <c r="E2728" i="1"/>
  <c r="G2728" i="1"/>
  <c r="E2729" i="1"/>
  <c r="G2729" i="1"/>
  <c r="E2730" i="1"/>
  <c r="G2730" i="1"/>
  <c r="E2731" i="1"/>
  <c r="G2731" i="1"/>
  <c r="E2732" i="1"/>
  <c r="G2732" i="1"/>
  <c r="E2733" i="1"/>
  <c r="G2733" i="1"/>
  <c r="E2734" i="1"/>
  <c r="G2734" i="1"/>
  <c r="E2735" i="1"/>
  <c r="G2735" i="1"/>
  <c r="E2736" i="1"/>
  <c r="G2736" i="1"/>
  <c r="E2737" i="1"/>
  <c r="G2737" i="1"/>
  <c r="E2738" i="1"/>
  <c r="G2738" i="1"/>
  <c r="E2739" i="1"/>
  <c r="G2739" i="1"/>
  <c r="E2740" i="1"/>
  <c r="G2740" i="1"/>
  <c r="E2741" i="1"/>
  <c r="G2741" i="1"/>
  <c r="E2742" i="1"/>
  <c r="G2742" i="1"/>
  <c r="E2743" i="1"/>
  <c r="G2743" i="1"/>
  <c r="E2744" i="1"/>
  <c r="G2744" i="1"/>
  <c r="E2745" i="1"/>
  <c r="G2745" i="1"/>
  <c r="E2746" i="1"/>
  <c r="G2746" i="1"/>
  <c r="E2747" i="1"/>
  <c r="G2747" i="1"/>
  <c r="E2748" i="1"/>
  <c r="G2748" i="1"/>
  <c r="E2749" i="1"/>
  <c r="G2749" i="1"/>
  <c r="E2750" i="1"/>
  <c r="G2750" i="1"/>
  <c r="E2751" i="1"/>
  <c r="G2751" i="1"/>
  <c r="E2752" i="1"/>
  <c r="G2752" i="1"/>
  <c r="E2753" i="1"/>
  <c r="G2753" i="1"/>
  <c r="E2754" i="1"/>
  <c r="G2754" i="1"/>
  <c r="E2755" i="1"/>
  <c r="G2755" i="1"/>
  <c r="E2756" i="1"/>
  <c r="G2756" i="1"/>
  <c r="E2757" i="1"/>
  <c r="G2757" i="1"/>
  <c r="E2758" i="1"/>
  <c r="G2758" i="1"/>
  <c r="E2759" i="1"/>
  <c r="G2759" i="1"/>
  <c r="E2760" i="1"/>
  <c r="G2760" i="1"/>
  <c r="E2761" i="1"/>
  <c r="G2761" i="1"/>
  <c r="E2762" i="1"/>
  <c r="G2762" i="1"/>
  <c r="E2763" i="1"/>
  <c r="G2763" i="1"/>
  <c r="E2764" i="1"/>
  <c r="G2764" i="1"/>
  <c r="E2765" i="1"/>
  <c r="G2765" i="1"/>
  <c r="E2766" i="1"/>
  <c r="G2766" i="1"/>
  <c r="E2767" i="1"/>
  <c r="G2767" i="1"/>
  <c r="E2768" i="1"/>
  <c r="G2768" i="1"/>
  <c r="E2769" i="1"/>
  <c r="G2769" i="1"/>
  <c r="E2770" i="1"/>
  <c r="G2770" i="1"/>
  <c r="E2771" i="1"/>
  <c r="G2771" i="1"/>
  <c r="E2772" i="1"/>
  <c r="G2772" i="1"/>
  <c r="E2773" i="1"/>
  <c r="G2773" i="1"/>
  <c r="E2774" i="1"/>
  <c r="G2774" i="1"/>
  <c r="E2775" i="1"/>
  <c r="G2775" i="1"/>
  <c r="E2776" i="1"/>
  <c r="G2776" i="1"/>
  <c r="E2777" i="1"/>
  <c r="G2777" i="1"/>
  <c r="E2778" i="1"/>
  <c r="G2778" i="1"/>
  <c r="E2779" i="1"/>
  <c r="G2779" i="1"/>
  <c r="E2780" i="1"/>
  <c r="G2780" i="1"/>
  <c r="E2781" i="1"/>
  <c r="G2781" i="1"/>
  <c r="E2782" i="1"/>
  <c r="G2782" i="1"/>
  <c r="E2783" i="1"/>
  <c r="G2783" i="1"/>
  <c r="E2784" i="1"/>
  <c r="G2784" i="1"/>
  <c r="E2785" i="1"/>
  <c r="G2785" i="1"/>
  <c r="E2786" i="1"/>
  <c r="G2786" i="1"/>
  <c r="E2787" i="1"/>
  <c r="G2787" i="1"/>
  <c r="E2788" i="1"/>
  <c r="G2788" i="1"/>
  <c r="E2789" i="1"/>
  <c r="G2789" i="1"/>
  <c r="E2790" i="1"/>
  <c r="G2790" i="1"/>
  <c r="E2791" i="1"/>
  <c r="G2791" i="1"/>
  <c r="E2792" i="1"/>
  <c r="G2792" i="1"/>
  <c r="E2793" i="1"/>
  <c r="G2793" i="1"/>
  <c r="E2794" i="1"/>
  <c r="G2794" i="1"/>
  <c r="E2795" i="1"/>
  <c r="G2795" i="1"/>
  <c r="E2796" i="1"/>
  <c r="G2796" i="1"/>
  <c r="E2797" i="1"/>
  <c r="G2797" i="1"/>
  <c r="E2798" i="1"/>
  <c r="G2798" i="1"/>
  <c r="E2799" i="1"/>
  <c r="G2799" i="1"/>
  <c r="E2800" i="1"/>
  <c r="G2800" i="1"/>
  <c r="E2801" i="1"/>
  <c r="G2801" i="1"/>
  <c r="E2802" i="1"/>
  <c r="G2802" i="1"/>
  <c r="E2803" i="1"/>
  <c r="G2803" i="1"/>
  <c r="E2804" i="1"/>
  <c r="G2804" i="1"/>
  <c r="E2805" i="1"/>
  <c r="G2805" i="1"/>
  <c r="E2806" i="1"/>
  <c r="G2806" i="1"/>
  <c r="E2807" i="1"/>
  <c r="G2807" i="1"/>
  <c r="E2808" i="1"/>
  <c r="G2808" i="1"/>
  <c r="E2809" i="1"/>
  <c r="G2809" i="1"/>
  <c r="E2810" i="1"/>
  <c r="G2810" i="1"/>
  <c r="E2811" i="1"/>
  <c r="G2811" i="1"/>
  <c r="E2812" i="1"/>
  <c r="G2812" i="1"/>
  <c r="E2813" i="1"/>
  <c r="G2813" i="1"/>
  <c r="E2814" i="1"/>
  <c r="G2814" i="1"/>
  <c r="E2815" i="1"/>
  <c r="G2815" i="1"/>
  <c r="E2816" i="1"/>
  <c r="G2816" i="1"/>
  <c r="E2817" i="1"/>
  <c r="G2817" i="1"/>
  <c r="E2818" i="1"/>
  <c r="G2818" i="1"/>
  <c r="E2819" i="1"/>
  <c r="G2819" i="1"/>
  <c r="E2820" i="1"/>
  <c r="G2820" i="1"/>
  <c r="E2821" i="1"/>
  <c r="G2821" i="1"/>
  <c r="E2822" i="1"/>
  <c r="G2822" i="1"/>
  <c r="E2823" i="1"/>
  <c r="G2823" i="1"/>
  <c r="E2824" i="1"/>
  <c r="G2824" i="1"/>
  <c r="E2825" i="1"/>
  <c r="G2825" i="1"/>
  <c r="E2826" i="1"/>
  <c r="G2826" i="1"/>
  <c r="E2827" i="1"/>
  <c r="G2827" i="1"/>
  <c r="E2828" i="1"/>
  <c r="G2828" i="1"/>
  <c r="E2829" i="1"/>
  <c r="G2829" i="1"/>
  <c r="E2830" i="1"/>
  <c r="G2830" i="1"/>
  <c r="E2831" i="1"/>
  <c r="G2831" i="1"/>
  <c r="E2832" i="1"/>
  <c r="G2832" i="1"/>
  <c r="E2833" i="1"/>
  <c r="G2833" i="1"/>
  <c r="E2834" i="1"/>
  <c r="G2834" i="1"/>
  <c r="E2835" i="1"/>
  <c r="G2835" i="1"/>
  <c r="E2836" i="1"/>
  <c r="G2836" i="1"/>
  <c r="E2837" i="1"/>
  <c r="G2837" i="1"/>
  <c r="E2838" i="1"/>
  <c r="G2838" i="1"/>
  <c r="E2839" i="1"/>
  <c r="G2839" i="1"/>
  <c r="E2840" i="1"/>
  <c r="G2840" i="1"/>
  <c r="E2841" i="1"/>
  <c r="G2841" i="1"/>
  <c r="E2842" i="1"/>
  <c r="G2842" i="1"/>
  <c r="E2843" i="1"/>
  <c r="G2843" i="1"/>
  <c r="E2844" i="1"/>
  <c r="G2844" i="1"/>
  <c r="E2845" i="1"/>
  <c r="G2845" i="1"/>
  <c r="E2846" i="1"/>
  <c r="G2846" i="1"/>
  <c r="E2847" i="1"/>
  <c r="G2847" i="1"/>
  <c r="E2848" i="1"/>
  <c r="G2848" i="1"/>
  <c r="E2849" i="1"/>
  <c r="G2849" i="1"/>
  <c r="E2850" i="1"/>
  <c r="G2850" i="1"/>
  <c r="E2851" i="1"/>
  <c r="G2851" i="1"/>
  <c r="E2852" i="1"/>
  <c r="G2852" i="1"/>
  <c r="E2853" i="1"/>
  <c r="G2853" i="1"/>
  <c r="E2854" i="1"/>
  <c r="G2854" i="1"/>
  <c r="E2855" i="1"/>
  <c r="G2855" i="1"/>
  <c r="E2856" i="1"/>
  <c r="G2856" i="1"/>
  <c r="E2857" i="1"/>
  <c r="G2857" i="1"/>
  <c r="E2858" i="1"/>
  <c r="G2858" i="1"/>
  <c r="E2859" i="1"/>
  <c r="G2859" i="1"/>
  <c r="E2860" i="1"/>
  <c r="G2860" i="1"/>
  <c r="E2861" i="1"/>
  <c r="G2861" i="1"/>
  <c r="E2862" i="1"/>
  <c r="G2862" i="1"/>
  <c r="E2863" i="1"/>
  <c r="G2863" i="1"/>
  <c r="E2864" i="1"/>
  <c r="G2864" i="1"/>
  <c r="E2865" i="1"/>
  <c r="G2865" i="1"/>
  <c r="E2866" i="1"/>
  <c r="G2866" i="1"/>
  <c r="E2867" i="1"/>
  <c r="G2867" i="1"/>
  <c r="E2868" i="1"/>
  <c r="G2868" i="1"/>
  <c r="E2869" i="1"/>
  <c r="G2869" i="1"/>
  <c r="E2870" i="1"/>
  <c r="G2870" i="1"/>
  <c r="E2871" i="1"/>
  <c r="G2871" i="1"/>
  <c r="E2872" i="1"/>
  <c r="G2872" i="1"/>
  <c r="E2873" i="1"/>
  <c r="G2873" i="1"/>
  <c r="E2874" i="1"/>
  <c r="G2874" i="1"/>
  <c r="E2875" i="1"/>
  <c r="G2875" i="1"/>
  <c r="E2876" i="1"/>
  <c r="G2876" i="1"/>
  <c r="E2877" i="1"/>
  <c r="G2877" i="1"/>
  <c r="E2878" i="1"/>
  <c r="G2878" i="1"/>
  <c r="E2879" i="1"/>
  <c r="G2879" i="1"/>
  <c r="E2880" i="1"/>
  <c r="G2880" i="1"/>
  <c r="E2881" i="1"/>
  <c r="G2881" i="1"/>
  <c r="E2882" i="1"/>
  <c r="G2882" i="1"/>
  <c r="E2883" i="1"/>
  <c r="G2883" i="1"/>
  <c r="E2884" i="1"/>
  <c r="G2884" i="1"/>
  <c r="E2885" i="1"/>
  <c r="G2885" i="1"/>
  <c r="E2886" i="1"/>
  <c r="G2886" i="1"/>
  <c r="E2887" i="1"/>
  <c r="G2887" i="1"/>
  <c r="E2888" i="1"/>
  <c r="G2888" i="1"/>
  <c r="E2889" i="1"/>
  <c r="G2889" i="1"/>
  <c r="E2890" i="1"/>
  <c r="G2890" i="1"/>
  <c r="E2891" i="1"/>
  <c r="G2891" i="1"/>
  <c r="E2892" i="1"/>
  <c r="G2892" i="1"/>
  <c r="E2893" i="1"/>
  <c r="G2893" i="1"/>
  <c r="E2894" i="1"/>
  <c r="G2894" i="1"/>
  <c r="E2895" i="1"/>
  <c r="G2895" i="1"/>
  <c r="E2896" i="1"/>
  <c r="G2896" i="1"/>
  <c r="E2897" i="1"/>
  <c r="G2897" i="1"/>
  <c r="E2898" i="1"/>
  <c r="G2898" i="1"/>
  <c r="E2899" i="1"/>
  <c r="G2899" i="1"/>
  <c r="E2900" i="1"/>
  <c r="G2900" i="1"/>
  <c r="E2901" i="1"/>
  <c r="G2901" i="1"/>
  <c r="E2902" i="1"/>
  <c r="G2902" i="1"/>
  <c r="E2903" i="1"/>
  <c r="G2903" i="1"/>
  <c r="E2904" i="1"/>
  <c r="G2904" i="1"/>
  <c r="E2905" i="1"/>
  <c r="G2905" i="1"/>
  <c r="E2906" i="1"/>
  <c r="G2906" i="1"/>
  <c r="E2907" i="1"/>
  <c r="G2907" i="1"/>
  <c r="E2908" i="1"/>
  <c r="G2908" i="1"/>
  <c r="E2909" i="1"/>
  <c r="G2909" i="1"/>
  <c r="E2910" i="1"/>
  <c r="G2910" i="1"/>
  <c r="E2911" i="1"/>
  <c r="G2911" i="1"/>
  <c r="E2912" i="1"/>
  <c r="G2912" i="1"/>
  <c r="E2913" i="1"/>
  <c r="G2913" i="1"/>
  <c r="E2914" i="1"/>
  <c r="G2914" i="1"/>
  <c r="E2915" i="1"/>
  <c r="G2915" i="1"/>
  <c r="E2916" i="1"/>
  <c r="G2916" i="1"/>
  <c r="E2917" i="1"/>
  <c r="G2917" i="1"/>
  <c r="E2918" i="1"/>
  <c r="G2918" i="1"/>
  <c r="E2919" i="1"/>
  <c r="G2919" i="1"/>
  <c r="E2920" i="1"/>
  <c r="G2920" i="1"/>
  <c r="E2921" i="1"/>
  <c r="G2921" i="1"/>
  <c r="E2922" i="1"/>
  <c r="G2922" i="1"/>
  <c r="E2923" i="1"/>
  <c r="G2923" i="1"/>
  <c r="E2924" i="1"/>
  <c r="G2924" i="1"/>
  <c r="E2925" i="1"/>
  <c r="G2925" i="1"/>
  <c r="E2926" i="1"/>
  <c r="G2926" i="1"/>
  <c r="E2927" i="1"/>
  <c r="G2927" i="1"/>
  <c r="E2928" i="1"/>
  <c r="G2928" i="1"/>
  <c r="E2929" i="1"/>
  <c r="G2929" i="1"/>
  <c r="E2930" i="1"/>
  <c r="G2930" i="1"/>
  <c r="E2931" i="1"/>
  <c r="G2931" i="1"/>
  <c r="E2932" i="1"/>
  <c r="G2932" i="1"/>
  <c r="E2933" i="1"/>
  <c r="G2933" i="1"/>
  <c r="E2934" i="1"/>
  <c r="G2934" i="1"/>
  <c r="E2935" i="1"/>
  <c r="G2935" i="1"/>
  <c r="E2936" i="1"/>
  <c r="G2936" i="1"/>
  <c r="E2937" i="1"/>
  <c r="G2937" i="1"/>
  <c r="E2938" i="1"/>
  <c r="G2938" i="1"/>
  <c r="E2939" i="1"/>
  <c r="G2939" i="1"/>
  <c r="E2940" i="1"/>
  <c r="G2940" i="1"/>
  <c r="E2941" i="1"/>
  <c r="G2941" i="1"/>
  <c r="E2942" i="1"/>
  <c r="G2942" i="1"/>
  <c r="E2943" i="1"/>
  <c r="G2943" i="1"/>
  <c r="E2944" i="1"/>
  <c r="G2944" i="1"/>
  <c r="E2945" i="1"/>
  <c r="G2945" i="1"/>
  <c r="E2946" i="1"/>
  <c r="G2946" i="1"/>
  <c r="E2947" i="1"/>
  <c r="G2947" i="1"/>
  <c r="E2948" i="1"/>
  <c r="G2948" i="1"/>
  <c r="E2949" i="1"/>
  <c r="G2949" i="1"/>
  <c r="E2950" i="1"/>
  <c r="G2950" i="1"/>
  <c r="E2951" i="1"/>
  <c r="G2951" i="1"/>
  <c r="E2952" i="1"/>
  <c r="G2952" i="1"/>
  <c r="E2953" i="1"/>
  <c r="G2953" i="1"/>
  <c r="E2954" i="1"/>
  <c r="G2954" i="1"/>
  <c r="E2955" i="1"/>
  <c r="G2955" i="1"/>
  <c r="E2956" i="1"/>
  <c r="G2956" i="1"/>
  <c r="E2957" i="1"/>
  <c r="G2957" i="1"/>
  <c r="E2958" i="1"/>
  <c r="G2958" i="1"/>
  <c r="E2959" i="1"/>
  <c r="G2959" i="1"/>
  <c r="E2960" i="1"/>
  <c r="G2960" i="1"/>
  <c r="E2961" i="1"/>
  <c r="G2961" i="1"/>
  <c r="E2962" i="1"/>
  <c r="G2962" i="1"/>
  <c r="E2963" i="1"/>
  <c r="G2963" i="1"/>
  <c r="E2964" i="1"/>
  <c r="G2964" i="1"/>
  <c r="E2965" i="1"/>
  <c r="G2965" i="1"/>
  <c r="E2966" i="1"/>
  <c r="G2966" i="1"/>
  <c r="E2967" i="1"/>
  <c r="G2967" i="1"/>
  <c r="E2968" i="1"/>
  <c r="G2968" i="1"/>
  <c r="E2969" i="1"/>
  <c r="G2969" i="1"/>
  <c r="E2970" i="1"/>
  <c r="G2970" i="1"/>
  <c r="E2971" i="1"/>
  <c r="G2971" i="1"/>
  <c r="E2972" i="1"/>
  <c r="G2972" i="1"/>
  <c r="E2973" i="1"/>
  <c r="G2973" i="1"/>
  <c r="E2974" i="1"/>
  <c r="G2974" i="1"/>
  <c r="E2975" i="1"/>
  <c r="G2975" i="1"/>
  <c r="E2976" i="1"/>
  <c r="G2976" i="1"/>
  <c r="E2977" i="1"/>
  <c r="G2977" i="1"/>
  <c r="E2978" i="1"/>
  <c r="G2978" i="1"/>
  <c r="E2979" i="1"/>
  <c r="G2979" i="1"/>
  <c r="E2980" i="1"/>
  <c r="G2980" i="1"/>
  <c r="E2981" i="1"/>
  <c r="G2981" i="1"/>
  <c r="E2982" i="1"/>
  <c r="G2982" i="1"/>
  <c r="E2983" i="1"/>
  <c r="G2983" i="1"/>
  <c r="E2984" i="1"/>
  <c r="G2984" i="1"/>
  <c r="E2985" i="1"/>
  <c r="G2985" i="1"/>
  <c r="E2986" i="1"/>
  <c r="G2986" i="1"/>
  <c r="E2987" i="1"/>
  <c r="G2987" i="1"/>
  <c r="E2988" i="1"/>
  <c r="G2988" i="1"/>
  <c r="E2989" i="1"/>
  <c r="G2989" i="1"/>
  <c r="E2990" i="1"/>
  <c r="G2990" i="1"/>
  <c r="E2991" i="1"/>
  <c r="G2991" i="1"/>
  <c r="E2992" i="1"/>
  <c r="G2992" i="1"/>
  <c r="E2993" i="1"/>
  <c r="G2993" i="1"/>
  <c r="E2994" i="1"/>
  <c r="G2994" i="1"/>
  <c r="E2995" i="1"/>
  <c r="G2995" i="1"/>
  <c r="E2996" i="1"/>
  <c r="G2996" i="1"/>
  <c r="E2997" i="1"/>
  <c r="G2997" i="1"/>
  <c r="E2998" i="1"/>
  <c r="G2998" i="1"/>
  <c r="E2999" i="1"/>
  <c r="G2999" i="1"/>
  <c r="E3000" i="1"/>
  <c r="G3000" i="1"/>
  <c r="E3001" i="1"/>
  <c r="G3001" i="1"/>
  <c r="E3002" i="1"/>
  <c r="G3002" i="1"/>
  <c r="E3003" i="1"/>
  <c r="G3003" i="1"/>
  <c r="E3004" i="1"/>
  <c r="G3004" i="1"/>
  <c r="E3005" i="1"/>
  <c r="G3005" i="1"/>
  <c r="E3006" i="1"/>
  <c r="G3006" i="1"/>
  <c r="E3007" i="1"/>
  <c r="G3007" i="1"/>
  <c r="E3008" i="1"/>
  <c r="G3008" i="1"/>
  <c r="E3009" i="1"/>
  <c r="G3009" i="1"/>
  <c r="E3010" i="1"/>
  <c r="G3010" i="1"/>
  <c r="E3011" i="1"/>
  <c r="G3011" i="1"/>
  <c r="E3012" i="1"/>
  <c r="G3012" i="1"/>
  <c r="E3013" i="1"/>
  <c r="G3013" i="1"/>
  <c r="E3014" i="1"/>
  <c r="G3014" i="1"/>
  <c r="E3015" i="1"/>
  <c r="G3015" i="1"/>
  <c r="E3016" i="1"/>
  <c r="G3016" i="1"/>
  <c r="E3017" i="1"/>
  <c r="G3017" i="1"/>
  <c r="E3018" i="1"/>
  <c r="G3018" i="1"/>
  <c r="E3019" i="1"/>
  <c r="G3019" i="1"/>
  <c r="E3020" i="1"/>
  <c r="G3020" i="1"/>
  <c r="E3021" i="1"/>
  <c r="G3021" i="1"/>
  <c r="E3022" i="1"/>
  <c r="G3022" i="1"/>
  <c r="E3023" i="1"/>
  <c r="G3023" i="1"/>
  <c r="E3024" i="1"/>
  <c r="G3024" i="1"/>
  <c r="E3025" i="1"/>
  <c r="G3025" i="1"/>
  <c r="E3026" i="1"/>
  <c r="G3026" i="1"/>
  <c r="E3027" i="1"/>
  <c r="G3027" i="1"/>
  <c r="E3028" i="1"/>
  <c r="G3028" i="1"/>
  <c r="E3029" i="1"/>
  <c r="G3029" i="1"/>
  <c r="E3030" i="1"/>
  <c r="G3030" i="1"/>
  <c r="E3031" i="1"/>
  <c r="G3031" i="1"/>
  <c r="E3032" i="1"/>
  <c r="G3032" i="1"/>
  <c r="E3033" i="1"/>
  <c r="G3033" i="1"/>
  <c r="E3034" i="1"/>
  <c r="G3034" i="1"/>
  <c r="E3035" i="1"/>
  <c r="G3035" i="1"/>
  <c r="E3036" i="1"/>
  <c r="G3036" i="1"/>
  <c r="E3037" i="1"/>
  <c r="G3037" i="1"/>
  <c r="E3038" i="1"/>
  <c r="G3038" i="1"/>
  <c r="E3039" i="1"/>
  <c r="G3039" i="1"/>
  <c r="E3040" i="1"/>
  <c r="G3040" i="1"/>
  <c r="E3041" i="1"/>
  <c r="G3041" i="1"/>
  <c r="E3042" i="1"/>
  <c r="G3042" i="1"/>
  <c r="E3043" i="1"/>
  <c r="G3043" i="1"/>
  <c r="E3044" i="1"/>
  <c r="G3044" i="1"/>
  <c r="E3045" i="1"/>
  <c r="G3045" i="1"/>
  <c r="E3046" i="1"/>
  <c r="G3046" i="1"/>
  <c r="E3047" i="1"/>
  <c r="G3047" i="1"/>
  <c r="E3048" i="1"/>
  <c r="G3048" i="1"/>
  <c r="E3049" i="1"/>
  <c r="G3049" i="1"/>
  <c r="E3050" i="1"/>
  <c r="G3050" i="1"/>
  <c r="E3051" i="1"/>
  <c r="G3051" i="1"/>
  <c r="E3052" i="1"/>
  <c r="G3052" i="1"/>
  <c r="E3053" i="1"/>
  <c r="G3053" i="1"/>
  <c r="E3054" i="1"/>
  <c r="G3054" i="1"/>
  <c r="E3055" i="1"/>
  <c r="G3055" i="1"/>
  <c r="E3056" i="1"/>
  <c r="G3056" i="1"/>
  <c r="E3057" i="1"/>
  <c r="G3057" i="1"/>
  <c r="E3058" i="1"/>
  <c r="G3058" i="1"/>
  <c r="E3059" i="1"/>
  <c r="G3059" i="1"/>
  <c r="E3060" i="1"/>
  <c r="G3060" i="1"/>
  <c r="E3061" i="1"/>
  <c r="G3061" i="1"/>
  <c r="E3062" i="1"/>
  <c r="G3062" i="1"/>
  <c r="E3063" i="1"/>
  <c r="G3063" i="1"/>
  <c r="E3064" i="1"/>
  <c r="G3064" i="1"/>
  <c r="E3065" i="1"/>
  <c r="G3065" i="1"/>
  <c r="E3066" i="1"/>
  <c r="G3066" i="1"/>
  <c r="E3067" i="1"/>
  <c r="G3067" i="1"/>
  <c r="E3068" i="1"/>
  <c r="G3068" i="1"/>
  <c r="E3069" i="1"/>
  <c r="G3069" i="1"/>
  <c r="E3070" i="1"/>
  <c r="G3070" i="1"/>
  <c r="E3071" i="1"/>
  <c r="G3071" i="1"/>
  <c r="E3072" i="1"/>
  <c r="G3072" i="1"/>
  <c r="E3073" i="1"/>
  <c r="G3073" i="1"/>
  <c r="E3074" i="1"/>
  <c r="G3074" i="1"/>
</calcChain>
</file>

<file path=xl/sharedStrings.xml><?xml version="1.0" encoding="utf-8"?>
<sst xmlns="http://schemas.openxmlformats.org/spreadsheetml/2006/main" count="722" uniqueCount="574">
  <si>
    <t>Name</t>
  </si>
  <si>
    <t>Check #</t>
  </si>
  <si>
    <t>Check Amount</t>
  </si>
  <si>
    <t>Check Date</t>
  </si>
  <si>
    <t>Invoice Desc</t>
  </si>
  <si>
    <t>Invoice Payment</t>
  </si>
  <si>
    <t>GL Description</t>
  </si>
  <si>
    <t>973 MATERIALS  LLC</t>
  </si>
  <si>
    <t>A PLUS BAIL BONDS</t>
  </si>
  <si>
    <t>A RIFKIN CO</t>
  </si>
  <si>
    <t>ARNOLD OIL COMPANY OF AUSTIN LP</t>
  </si>
  <si>
    <t>TIMOTHY HALL</t>
  </si>
  <si>
    <t>ABREO &amp; CARTER</t>
  </si>
  <si>
    <t>ACCESS TRUCK PARTS  LLC</t>
  </si>
  <si>
    <t>ADAM DAKOTA ROWINS</t>
  </si>
  <si>
    <t>ADENA LEWIS</t>
  </si>
  <si>
    <t>ADVANCED GRAPHIX INC</t>
  </si>
  <si>
    <t>ADVOCACY OUTREACH</t>
  </si>
  <si>
    <t>ALBERT NEAL PFEIFFER</t>
  </si>
  <si>
    <t>ALEJANDRO RODRIGUEZ</t>
  </si>
  <si>
    <t>ALL FAITHS FUNERAL</t>
  </si>
  <si>
    <t>THE JOURNEY GROUP  LLC</t>
  </si>
  <si>
    <t>ALLEN YOAST</t>
  </si>
  <si>
    <t>322  08/19/19"</t>
  </si>
  <si>
    <t>ALLIED INSURANCE</t>
  </si>
  <si>
    <t>835  07/22/19"</t>
  </si>
  <si>
    <t>ALPHA CARD SYSTEM LLC</t>
  </si>
  <si>
    <t>AMANDA BRUCE</t>
  </si>
  <si>
    <t>AMAZON CAPITAL SERVICES INC</t>
  </si>
  <si>
    <t>AMERICAN ASSN OF NOTARIES</t>
  </si>
  <si>
    <t>AMERICAN TIRE DISTRIBUTORS INC</t>
  </si>
  <si>
    <t>AMG PRINTING &amp; MAILING  LLC</t>
  </si>
  <si>
    <t>ANDERSON &amp; ANDERSON LAW FIRM PC</t>
  </si>
  <si>
    <t>C APPLEMAN ENT INC</t>
  </si>
  <si>
    <t>AQUA BEVERAGE COMPANY/OZARKA</t>
  </si>
  <si>
    <t>AQUA WATER SUPPLY CORPORATION</t>
  </si>
  <si>
    <t>ARCHITEXAS - ARCHITECTURE  PLANNING &amp; HISTORIC PRE</t>
  </si>
  <si>
    <t>EXACTBYTE INC</t>
  </si>
  <si>
    <t>ARMANDO AGUIRRE</t>
  </si>
  <si>
    <t>462"</t>
  </si>
  <si>
    <t>ARNOLD OIL COMPANY OF AUSTIN  LP</t>
  </si>
  <si>
    <t>ARSENAL ADVERTISING LLC</t>
  </si>
  <si>
    <t>ASHLEY EADES</t>
  </si>
  <si>
    <t>ASHLEY GROOM</t>
  </si>
  <si>
    <t>558"</t>
  </si>
  <si>
    <t>AT&amp;T</t>
  </si>
  <si>
    <t>AT&amp;T MOBILITY</t>
  </si>
  <si>
    <t>AT&amp;T MOBILITY-W&amp;M</t>
  </si>
  <si>
    <t>GATEHOUSE MEDIA TEXAS HOLDINGS II  INC.</t>
  </si>
  <si>
    <t>RALPH E BONNELL CIH</t>
  </si>
  <si>
    <t>AUSTIN GASTROENTERLOGY</t>
  </si>
  <si>
    <t>PTL LAWN &amp; CLEANING SERVICE  INC</t>
  </si>
  <si>
    <t>AUSTIN RADIOLOGICAL ASSOC</t>
  </si>
  <si>
    <t>AUTUMN J SMITH</t>
  </si>
  <si>
    <t>BARBARA GOMEZ</t>
  </si>
  <si>
    <t>MICHAEL OLDHAM TIRE INC</t>
  </si>
  <si>
    <t>EDUARDO BARRIENTOS</t>
  </si>
  <si>
    <t>BASTROP COUNTY LONG TERM RECOVERY TEAM</t>
  </si>
  <si>
    <t>BASTROP COUNTY SHERIFF'S DEPT</t>
  </si>
  <si>
    <t>803"</t>
  </si>
  <si>
    <t>DANIEL L HEPKER</t>
  </si>
  <si>
    <t>BASTROP COUNTY CARES</t>
  </si>
  <si>
    <t>BASTROP COUNTY CHILD PROTECTIVE SERVICES</t>
  </si>
  <si>
    <t>BASTROP COUNTY SOIL &amp; WATER CONSERVATION DISTRICT</t>
  </si>
  <si>
    <t>BASTROP MEDICAL CLINIC</t>
  </si>
  <si>
    <t>BASTROP POLICE DEPT</t>
  </si>
  <si>
    <t>BASTROP PROVIDENCE  LLC</t>
  </si>
  <si>
    <t>BAYER CORPORATION</t>
  </si>
  <si>
    <t>DAVID H OUTON</t>
  </si>
  <si>
    <t>BEN E KEITH CO.</t>
  </si>
  <si>
    <t>BENJAMIN FOODS  LLC</t>
  </si>
  <si>
    <t>MULTI SERVICE TECHNOLOGY SOLUTIONS  INC.</t>
  </si>
  <si>
    <t>B C FOOD GROUP  LLC</t>
  </si>
  <si>
    <t>BIDDLE CONSULTING GROUP  INC.</t>
  </si>
  <si>
    <t>MAURINE MC LEAN</t>
  </si>
  <si>
    <t>BIMBO FOODS INC</t>
  </si>
  <si>
    <t>BLAS J. COY  JR.</t>
  </si>
  <si>
    <t>BLUEBONNET AREA CRIME STOPPERS PROGRAM</t>
  </si>
  <si>
    <t>BLUEBONNET ELECTRIC</t>
  </si>
  <si>
    <t>BLUEBONNET ELECTRIC COOPERATIVE  INC.</t>
  </si>
  <si>
    <t>BLUEBONNET TRAILS MHMR</t>
  </si>
  <si>
    <t>BOB BARKER COMPANY  INC.</t>
  </si>
  <si>
    <t>BOYS &amp; GIRLS CLUBS OF THE AUSTIN AREA</t>
  </si>
  <si>
    <t>BRAUNTEX MATERIALS INC</t>
  </si>
  <si>
    <t>LAW OFFICE OF BRYAN W. MCDANIEL  P.C.</t>
  </si>
  <si>
    <t>BULLDOG BAIL BONDS</t>
  </si>
  <si>
    <t>BUREAU OF VITAL STATISTICS</t>
  </si>
  <si>
    <t>BURGH SEPTIC &amp; WASTEWATER SERVICES  LLC</t>
  </si>
  <si>
    <t>CALDWELL COUNTY SHERIFF</t>
  </si>
  <si>
    <t>CAPITAL AREA COUNCIL OF GOVERNMENTS</t>
  </si>
  <si>
    <t>CAPITOL BEARING SERVICE OF AUSTIN  INC.</t>
  </si>
  <si>
    <t>CARDIOTHORACIC &amp; VASCULAR SURGEONS</t>
  </si>
  <si>
    <t>CAPITAL AREA RURAL TRANSPORATION SYSTEM</t>
  </si>
  <si>
    <t>CASA OF BASTROP COUNTY</t>
  </si>
  <si>
    <t>CECIL R REYNOLDS PHD</t>
  </si>
  <si>
    <t>CENTEX MECHANICAL INC</t>
  </si>
  <si>
    <t>CENTRAL TEXAS BARRICADES INC</t>
  </si>
  <si>
    <t>CHESTER McCANN</t>
  </si>
  <si>
    <t>810  07/12/19"</t>
  </si>
  <si>
    <t>CHESTER SECURITY GROUP</t>
  </si>
  <si>
    <t>CHILDREN'S ADVOCACY CENTER</t>
  </si>
  <si>
    <t>CHRIS MATT DILLON</t>
  </si>
  <si>
    <t>CHRISTOPHER EDDINGS</t>
  </si>
  <si>
    <t>736"</t>
  </si>
  <si>
    <t>CHRISTOPHER WOLF</t>
  </si>
  <si>
    <t>CINTAS</t>
  </si>
  <si>
    <t>CINTAS CORPORATION</t>
  </si>
  <si>
    <t>CINTAS CORPORATION #86</t>
  </si>
  <si>
    <t>CISTERA NETWORKS  INC.</t>
  </si>
  <si>
    <t>CITY OF BASTROP</t>
  </si>
  <si>
    <t>CITY OF SMITHVILLE</t>
  </si>
  <si>
    <t>CLARA BECKETT</t>
  </si>
  <si>
    <t>CLAUDIA PALMA RUBIN DE CELIS</t>
  </si>
  <si>
    <t>CLIFFORD POWER SYSTEMS INC</t>
  </si>
  <si>
    <t>CLINICAL PATHOLOGY LABORATORIES INC</t>
  </si>
  <si>
    <t>CLINICAL PATHOLOGY ASSOC. OF AUSTIN</t>
  </si>
  <si>
    <t>CMI  INC.</t>
  </si>
  <si>
    <t>COLORADO MATERIALS CO.</t>
  </si>
  <si>
    <t>HANCOCK  JAHN  LEE &amp; PUCKETT LLC</t>
  </si>
  <si>
    <t>COMMUNITY COFFEE COMPANY LLC</t>
  </si>
  <si>
    <t>CONNIE SCHROEDER</t>
  </si>
  <si>
    <t>651  07/26/19"</t>
  </si>
  <si>
    <t>CONOR BROWN</t>
  </si>
  <si>
    <t>CONTECH ENGINEERED SOLUTIONS INC</t>
  </si>
  <si>
    <t>CONVERGENCE CABLING  INC.</t>
  </si>
  <si>
    <t>COOPER EQUIPMENT CO.</t>
  </si>
  <si>
    <t>COUNTY OF BEXAR - SHERIFF</t>
  </si>
  <si>
    <t>COVERT CHEVROLET-OLDS</t>
  </si>
  <si>
    <t>BUTLER ANIMAL HEALTH HOLDING COMPANY  LLC</t>
  </si>
  <si>
    <t>CUSTOM PRODUCTS CORPORATION</t>
  </si>
  <si>
    <t>DALE HEMINGER</t>
  </si>
  <si>
    <t>DALLAS COUNTY CONSTABLE PCT 1</t>
  </si>
  <si>
    <t>DATASPEC INC</t>
  </si>
  <si>
    <t>DAVID B BROOKS</t>
  </si>
  <si>
    <t>DAVID M COLLINS</t>
  </si>
  <si>
    <t>DEBBIE'S BAIL BOND SERVICE</t>
  </si>
  <si>
    <t>DEBORAH BAKER</t>
  </si>
  <si>
    <t>DELL</t>
  </si>
  <si>
    <t>DEREK KEY</t>
  </si>
  <si>
    <t>RELENTLESS LLC</t>
  </si>
  <si>
    <t>DESIREE CAMACHO</t>
  </si>
  <si>
    <t>600"</t>
  </si>
  <si>
    <t>DICKENS LOCKSMITH INC</t>
  </si>
  <si>
    <t>DEPARTMENT OF INFORMATION RESOURCES</t>
  </si>
  <si>
    <t>DISCOUNT DOOR &amp; METAL  LLC</t>
  </si>
  <si>
    <t>DISCOUNT FEEDS &amp; SUPPLIES</t>
  </si>
  <si>
    <t>DONNIE STARK</t>
  </si>
  <si>
    <t>DOUBLE D INTERNATIONAL FOOD CO.  INC.</t>
  </si>
  <si>
    <t>DOUBLE TUFF TRUCK TARPS INC</t>
  </si>
  <si>
    <t>DOUGLAS ADAMS</t>
  </si>
  <si>
    <t>DUNNE &amp; JUAREZ L.L.C.</t>
  </si>
  <si>
    <t>EASYVOTE SOLUTIONS LLC</t>
  </si>
  <si>
    <t>ECOLAB INC</t>
  </si>
  <si>
    <t>EDEN K9 CONSULTING &amp; TRAINING CORP</t>
  </si>
  <si>
    <t>ELECTION SYSTEMS &amp; SOFTWARE INC</t>
  </si>
  <si>
    <t>ELENA CADENA</t>
  </si>
  <si>
    <t>ELGIN AIR COND. &amp; HEATING CO</t>
  </si>
  <si>
    <t>COMMUNITY CUPBOARD</t>
  </si>
  <si>
    <t>BLACKLANDS PUBLICATIONS INC</t>
  </si>
  <si>
    <t>ELGIN FUNERAL HOME</t>
  </si>
  <si>
    <t>RALPH DAVID GLASS</t>
  </si>
  <si>
    <t>ELGIN POLICE DEPARTMENT</t>
  </si>
  <si>
    <t>CITY OF ELGIN UTILITIES</t>
  </si>
  <si>
    <t>ELLIOTT ELECTRIC SUPPLY INC</t>
  </si>
  <si>
    <t>ZH AIRPORT  LLC</t>
  </si>
  <si>
    <t>ERGON ASPHALT &amp; EMULSIONS INC</t>
  </si>
  <si>
    <t>ERIN NICKEL</t>
  </si>
  <si>
    <t>ETTA WILEY</t>
  </si>
  <si>
    <t>EWEAC</t>
  </si>
  <si>
    <t>EXCELL ENVIRONMENTAL INC</t>
  </si>
  <si>
    <t>EZTASK.COM INC.</t>
  </si>
  <si>
    <t>BASTROP COUNTY WOMEN'S SHELTER</t>
  </si>
  <si>
    <t>FAMILY HEALTH CENTER OF BASTROP PLLC</t>
  </si>
  <si>
    <t>FARONICS TECHNOLOGIES USA INC</t>
  </si>
  <si>
    <t>FBI-LEEDA INC</t>
  </si>
  <si>
    <t>FEDERAL EXPRESS</t>
  </si>
  <si>
    <t>FERGUSON ENTERPRISES  INC.</t>
  </si>
  <si>
    <t>FLEETPRIDE</t>
  </si>
  <si>
    <t>FLORENCE BEHAVIN</t>
  </si>
  <si>
    <t>FOREMOST COUNTY MUTUAL INS CO</t>
  </si>
  <si>
    <t>347  07/30/19"</t>
  </si>
  <si>
    <t>347  09/30/19"</t>
  </si>
  <si>
    <t>FORREST L. SANDERSON</t>
  </si>
  <si>
    <t>FRANCES HUNTER</t>
  </si>
  <si>
    <t>CREA PARSON</t>
  </si>
  <si>
    <t>AUSTIN TRUCK AND EQUIPMENT  LTD</t>
  </si>
  <si>
    <t>EUGENE W BRIGGS JR</t>
  </si>
  <si>
    <t>GALLS PARENT HOLDINGS LLC</t>
  </si>
  <si>
    <t>GARMENTS TO GO  INC</t>
  </si>
  <si>
    <t>GERALD L. BYINGTON</t>
  </si>
  <si>
    <t>GIPSON PENDERGRASS PEOPLE'S MORTUARY LLC</t>
  </si>
  <si>
    <t>GRAINGER INC</t>
  </si>
  <si>
    <t>GRETCHEN SIMS SWEEN</t>
  </si>
  <si>
    <t>GABRIEL  ROEDER  SMITH &amp; COMPANY</t>
  </si>
  <si>
    <t>GT DISTRIBUTORS  INC.</t>
  </si>
  <si>
    <t>GULF COAST PAPER CO. INC.</t>
  </si>
  <si>
    <t>HALFF ASSOCIATES</t>
  </si>
  <si>
    <t>HAMILTON ELECTRIC WORKS  INC.</t>
  </si>
  <si>
    <t>BUCKSTAFF PUBLIC SAFETY  INC.</t>
  </si>
  <si>
    <t>HARRIS COUNTY CONSTABLE PCT 1</t>
  </si>
  <si>
    <t>HAYLEY STITELER</t>
  </si>
  <si>
    <t>HEADSETS DIRECT INC.</t>
  </si>
  <si>
    <t>HENNA CHEVROLET</t>
  </si>
  <si>
    <t>HERSHCAP BACKHOE &amp; DITCHING  INC.</t>
  </si>
  <si>
    <t>658  07/15/19"</t>
  </si>
  <si>
    <t>658  08/12/19"</t>
  </si>
  <si>
    <t>658  09/10/19"</t>
  </si>
  <si>
    <t>HERTZ CORPORATION</t>
  </si>
  <si>
    <t>HI-LINE</t>
  </si>
  <si>
    <t>FERTITTA HOSPITALITY LLC</t>
  </si>
  <si>
    <t>BASCOM L HODGES JR</t>
  </si>
  <si>
    <t>HODGSON G ECKEL</t>
  </si>
  <si>
    <t>BD HOLT CO</t>
  </si>
  <si>
    <t>CITIBANK (SOUTH DAKOTA)N.A./THE HOME DEPOT</t>
  </si>
  <si>
    <t>KRISHNA NEW BRAUNFELS LLC</t>
  </si>
  <si>
    <t>NORTHWEST CASCADE INC</t>
  </si>
  <si>
    <t>AMERICAS EQUINE WAREHOUSE  INC.</t>
  </si>
  <si>
    <t>GREGORY LUCAS</t>
  </si>
  <si>
    <t>HYDRAULIC HOUSE INC</t>
  </si>
  <si>
    <t>INDIGENT HEALTHCARE SOLUTIONS</t>
  </si>
  <si>
    <t>INSTITUTE FOR ECOLOGICAL HEALTH</t>
  </si>
  <si>
    <t>INTERNATIONAL ASSOC OF UNDERCOVER OFFICERS</t>
  </si>
  <si>
    <t>INTERVET INC</t>
  </si>
  <si>
    <t>IRON MOUNTAIN RECORDS MGMT INC</t>
  </si>
  <si>
    <t>ISHMAEL &amp; LESLIE ENRIQUEZ</t>
  </si>
  <si>
    <t>J D LANGLEY</t>
  </si>
  <si>
    <t>JAMES DONNELLY</t>
  </si>
  <si>
    <t>070  07/22/19"</t>
  </si>
  <si>
    <t>070  09/09/19"</t>
  </si>
  <si>
    <t>JAMES O. BURKE</t>
  </si>
  <si>
    <t>JAN LANGER  DVM</t>
  </si>
  <si>
    <t>JANET L. LYNN</t>
  </si>
  <si>
    <t>JAY'S TIRE &amp; AUTOMOTIVE REPAIR INC</t>
  </si>
  <si>
    <t>JEFFREY A. HULTGREN</t>
  </si>
  <si>
    <t>JEFFERY GREGORY</t>
  </si>
  <si>
    <t>JENKINS &amp; JENKINS LLP</t>
  </si>
  <si>
    <t>JAMES MORGAN</t>
  </si>
  <si>
    <t>JO DAWN BOMAR</t>
  </si>
  <si>
    <t>JOEY DZIENOWSKI</t>
  </si>
  <si>
    <t>DEERE CREDIT SERVICES INC</t>
  </si>
  <si>
    <t>JOHN DEERE FINANCIAL f.s.b.</t>
  </si>
  <si>
    <t>JOHNNA GRIFFITH</t>
  </si>
  <si>
    <t>JONES COUNTY SHERIFF</t>
  </si>
  <si>
    <t>JORDAN BATTERSBY  MCDONALD</t>
  </si>
  <si>
    <t>JULIE SOMMERFELD</t>
  </si>
  <si>
    <t>JUSTIN MATTHEW FOHN</t>
  </si>
  <si>
    <t>KIP &amp; CECI CHEMICAL SOLUTIONS</t>
  </si>
  <si>
    <t>KAREN STARKS</t>
  </si>
  <si>
    <t>898  08/23/19"</t>
  </si>
  <si>
    <t>KATHERINE BILOF</t>
  </si>
  <si>
    <t>KAYCI SCHULTZ WATSON</t>
  </si>
  <si>
    <t>KELLI BRIZENDINE</t>
  </si>
  <si>
    <t>KENDALL COUNTY SHERIFF</t>
  </si>
  <si>
    <t>KENNETH E. LIMUEL JR</t>
  </si>
  <si>
    <t>KENNETH GONSOULIN</t>
  </si>
  <si>
    <t>181  08/21/19"</t>
  </si>
  <si>
    <t>KENT BROUSSARD TOWER RENTAL INC</t>
  </si>
  <si>
    <t>KEVIN BERRY</t>
  </si>
  <si>
    <t>KING'S PORTABLE THRONES</t>
  </si>
  <si>
    <t>KLEIBER FORD TRACTOR  INC.</t>
  </si>
  <si>
    <t>KNIGHT SECURITY SYSTEMS LLC</t>
  </si>
  <si>
    <t>KRISTI POWELL</t>
  </si>
  <si>
    <t>LONGHORN INTERNATIONAL TRUCKS LTD</t>
  </si>
  <si>
    <t>THE LA GRANGE PARTS HOUSE INC</t>
  </si>
  <si>
    <t>LABATT INSTITUTIONAL SUPPLY CO</t>
  </si>
  <si>
    <t>LAURA ROBERTSON</t>
  </si>
  <si>
    <t>LAW ENFORCEMENT RISK MANAGEMENT GROUP  INC.</t>
  </si>
  <si>
    <t>J. MARQUE MOORE</t>
  </si>
  <si>
    <t>LUCIO LEAL</t>
  </si>
  <si>
    <t>LEE COUNTY WATER SUPPLY CORP</t>
  </si>
  <si>
    <t>LENNOX INDUSTRIES INC</t>
  </si>
  <si>
    <t>LEXISNEXIS RISK DATA MGMT INC</t>
  </si>
  <si>
    <t>LIBERTY TIRE RECYCLING</t>
  </si>
  <si>
    <t>LINDA HARMON-TAX ASSESSOR</t>
  </si>
  <si>
    <t>LINDSEY SIMMONS</t>
  </si>
  <si>
    <t>LIQUID ENVIRONMENTAL SOLUTIONS</t>
  </si>
  <si>
    <t>LISA K JACKSON</t>
  </si>
  <si>
    <t>LISA M. MIMS</t>
  </si>
  <si>
    <t>LISA MILLER</t>
  </si>
  <si>
    <t>UNITED KWB COLLABORATIONS LLC</t>
  </si>
  <si>
    <t>LONGHORN MOBILE GLASS SERVICE INC</t>
  </si>
  <si>
    <t>LONNIE LAWRENCE DAVIS JR</t>
  </si>
  <si>
    <t>SCOTT BRYANT</t>
  </si>
  <si>
    <t>TRUBAR  LLC</t>
  </si>
  <si>
    <t>LOWE'S</t>
  </si>
  <si>
    <t>LOWER COLORADO RIVER BASIN COALITION</t>
  </si>
  <si>
    <t>MAGIC TOUCH CLEANING SYSTEMS LLC</t>
  </si>
  <si>
    <t>MARIA ANFOSSO</t>
  </si>
  <si>
    <t>MARIDEL BORREGO</t>
  </si>
  <si>
    <t>MARIO GINTELLA</t>
  </si>
  <si>
    <t>MARK DAUBE</t>
  </si>
  <si>
    <t>MARK MEUTH</t>
  </si>
  <si>
    <t>MARK T. MALONE  M.D. P.A</t>
  </si>
  <si>
    <t>MARK WHITE</t>
  </si>
  <si>
    <t>MARY BETH SCOTT</t>
  </si>
  <si>
    <t>MATHESON TRI-GAS INC</t>
  </si>
  <si>
    <t>McCOY'S BUILDING SUPPLY CENTER</t>
  </si>
  <si>
    <t>McCREARY  VESELKA  BRAGG &amp; ALLEN P</t>
  </si>
  <si>
    <t>ANTOINETTE McGARRAHAN</t>
  </si>
  <si>
    <t>McKESSON MEDICAL-SURGIVAL GOVERNMENT SOLUTIONS LLC</t>
  </si>
  <si>
    <t>MEDIMPACT HEALTHCARE SYSTEMS INC</t>
  </si>
  <si>
    <t>MINORITIES FOR EQUALITY IN EMPLOYMENT</t>
  </si>
  <si>
    <t>MEGAN FAITH ANDERSON</t>
  </si>
  <si>
    <t>MICHELE FRITSCHE C.S.R.</t>
  </si>
  <si>
    <t>Family Crisis Center</t>
  </si>
  <si>
    <t>Children's Advocacy Center</t>
  </si>
  <si>
    <t>COURT APPOINTED SPECIAL ADVOCA</t>
  </si>
  <si>
    <t>Child Protective Services</t>
  </si>
  <si>
    <t>RHIANNON JOIWIND BESSON</t>
  </si>
  <si>
    <t>SCOTT CARVEL FERGUSON</t>
  </si>
  <si>
    <t>PATRICK RYAN SAUNDERS</t>
  </si>
  <si>
    <t>DEYANITA LETICIA ROCHA</t>
  </si>
  <si>
    <t>HAROLD JUNIOR WELCH</t>
  </si>
  <si>
    <t>MATTHEW JAMES DWORACZYK</t>
  </si>
  <si>
    <t>RAISTLIN STORM HENNINGER</t>
  </si>
  <si>
    <t>NEREIDA HERNANDEZ</t>
  </si>
  <si>
    <t>KAREN BETH SALVO</t>
  </si>
  <si>
    <t>ANDREW JOESEPH WNEK</t>
  </si>
  <si>
    <t>AMANDA RAE CRAIG</t>
  </si>
  <si>
    <t>ARTHUR LEE SEBERT</t>
  </si>
  <si>
    <t>RANDAL ERWIN OERTLI</t>
  </si>
  <si>
    <t>JEFFREY SCOTT REESE</t>
  </si>
  <si>
    <t>LOREY INGRAM HELFORD</t>
  </si>
  <si>
    <t>DEANNA STORY DOERR</t>
  </si>
  <si>
    <t>DARRELL RAY WILLIAMSON</t>
  </si>
  <si>
    <t>KENNETH WAYNE ANDERSON SR</t>
  </si>
  <si>
    <t>VIRGIL KENNETH CULP</t>
  </si>
  <si>
    <t>SHASTINA ELIZABETH SMITH</t>
  </si>
  <si>
    <t>RYAN SCOTT WARREN</t>
  </si>
  <si>
    <t>ALYSSA LYN WAYLAND</t>
  </si>
  <si>
    <t>THRESSA PUGH SKIDMORE</t>
  </si>
  <si>
    <t>JOSE GERARDO REYES</t>
  </si>
  <si>
    <t>STANLEY JONES</t>
  </si>
  <si>
    <t>RANDY COY MEADOR</t>
  </si>
  <si>
    <t>BRITTANY NICOLE SHELLY</t>
  </si>
  <si>
    <t>RONNIE CLARANCE HERZOG</t>
  </si>
  <si>
    <t>MEREDITH A MITCHELL-WILLIAMS</t>
  </si>
  <si>
    <t>AIME ELISE PITTMAN</t>
  </si>
  <si>
    <t>GERARD PETE CANALES</t>
  </si>
  <si>
    <t>ANDREA LOUISE BROOKS-CLOER</t>
  </si>
  <si>
    <t>MARK WARREN ROGERS</t>
  </si>
  <si>
    <t>ANGELA DENISE COLE</t>
  </si>
  <si>
    <t>DORIS WILHELM FORADORY</t>
  </si>
  <si>
    <t>REBECCA LUCINDA HOHN</t>
  </si>
  <si>
    <t>MARTHA DIANE GRAY</t>
  </si>
  <si>
    <t>RUSSELL DILLON MOERS</t>
  </si>
  <si>
    <t>JACOB ALLEN NUTT</t>
  </si>
  <si>
    <t>RONALD GLEN DUTY</t>
  </si>
  <si>
    <t>VIOLA ROCHELLE GUYTON-MITCHELL</t>
  </si>
  <si>
    <t>MEGAN LEE ROBERTSON</t>
  </si>
  <si>
    <t>PEARL THOMPSON RUSSO</t>
  </si>
  <si>
    <t>MELISSA ASHA MEYER</t>
  </si>
  <si>
    <t>AARON DAVID MOORHEAD</t>
  </si>
  <si>
    <t>TAYLOR WILSON DUTY</t>
  </si>
  <si>
    <t>BERND GRAVENSTEIN</t>
  </si>
  <si>
    <t>ARLEEN ESTRADA DARNELL</t>
  </si>
  <si>
    <t>TODD LEE HUME</t>
  </si>
  <si>
    <t>LAWRENCE THOMAS POWELL</t>
  </si>
  <si>
    <t>CASSANDRA K WILHELM</t>
  </si>
  <si>
    <t>ANTHONY JAQUAY REED</t>
  </si>
  <si>
    <t>NANCY ELAINE LOCKETT</t>
  </si>
  <si>
    <t>TRAVIS LEE ROBERTSON</t>
  </si>
  <si>
    <t>DOROTHY HAYWOOD</t>
  </si>
  <si>
    <t>GARY WALLACE HARRIS</t>
  </si>
  <si>
    <t>LONNY RAY BOSTIC</t>
  </si>
  <si>
    <t>JAMIE DEE FORD</t>
  </si>
  <si>
    <t>GERALDINE ANN MCCOY</t>
  </si>
  <si>
    <t>SHERILYN KAATZ KISAMORE</t>
  </si>
  <si>
    <t>RUSSELL JAY ASH</t>
  </si>
  <si>
    <t>STACY ROY CARPENTER JR</t>
  </si>
  <si>
    <t>SCOTT JAY QUINTANILLA</t>
  </si>
  <si>
    <t>JON HAROLD KEENER</t>
  </si>
  <si>
    <t>DONNA JAYE MEZERA</t>
  </si>
  <si>
    <t>JEFFERY LEE TUFFENTSAMER</t>
  </si>
  <si>
    <t>SCOTT TYLER TUCKER</t>
  </si>
  <si>
    <t>MONARCH COIN &amp; SECURITY INC</t>
  </si>
  <si>
    <t>MONARCH DISPOSAL  LLC</t>
  </si>
  <si>
    <t>MONICA DEPAOLI</t>
  </si>
  <si>
    <t>MONSIDO  INC.</t>
  </si>
  <si>
    <t>MONTGOMERY COUNTY CONSTABLE PCT 1</t>
  </si>
  <si>
    <t>HAJOCA CORPORATION</t>
  </si>
  <si>
    <t>MOTOROLA SOLUTIONS  IN.C</t>
  </si>
  <si>
    <t>MOUNTAIN WEST DERM-AUSTIN PLLC</t>
  </si>
  <si>
    <t>NALCO COMPANY LLC</t>
  </si>
  <si>
    <t>NALLEY HVAC MECHANICAL LLC</t>
  </si>
  <si>
    <t>NAOMI GONZALES</t>
  </si>
  <si>
    <t>NATIONAL FOOD GROUP INC</t>
  </si>
  <si>
    <t>O'REILLY AUTOMOTIVE  INC.</t>
  </si>
  <si>
    <t>SOUTHERN FOODS GROUP LP</t>
  </si>
  <si>
    <t>OFFICE DEPOT</t>
  </si>
  <si>
    <t>OMNIBASE SERVICES OF TEXAS LP</t>
  </si>
  <si>
    <t>ROGER C. OSBORN</t>
  </si>
  <si>
    <t>OSBURN ASSOCIATES INC.</t>
  </si>
  <si>
    <t>OUTLAW TRUCK OUTFITTERS</t>
  </si>
  <si>
    <t>P SQUARED EMULSION PLANTS  LLC</t>
  </si>
  <si>
    <t>PAIGE TRACTORS INC</t>
  </si>
  <si>
    <t>SL PARKER PARTNERSHIP LLC</t>
  </si>
  <si>
    <t>PATRICIA TREVINO</t>
  </si>
  <si>
    <t>PATRICK ELECTRIC SERVICE</t>
  </si>
  <si>
    <t>PATTERSON  VETERINARY SUPPLY INC</t>
  </si>
  <si>
    <t>PERDUE  BRANDON  FIELDER  COLLINS &amp; MOTT LLP</t>
  </si>
  <si>
    <t>PHILIP L HALL</t>
  </si>
  <si>
    <t>PHILIP R DUCLOUX</t>
  </si>
  <si>
    <t>CLYDE HAYWOOD SR</t>
  </si>
  <si>
    <t>PB PROFESSIONAL SERVICES INC</t>
  </si>
  <si>
    <t>PITNEY BOWES GLOBAL FINANCIAL SERVICES</t>
  </si>
  <si>
    <t>PM WILSON &amp; ASSOCIATES PLLC</t>
  </si>
  <si>
    <t>POST OAK HARDWARE  INC.</t>
  </si>
  <si>
    <t>MC KIM ULLRICH YOUNG LLP</t>
  </si>
  <si>
    <t>PROGRESSIVE - RESTITUTION ACCT</t>
  </si>
  <si>
    <t>PROSPERITY BANK</t>
  </si>
  <si>
    <t>122  07/22/19"</t>
  </si>
  <si>
    <t>PTS OF AMERICA  LLC</t>
  </si>
  <si>
    <t>RACHEL A BAUER</t>
  </si>
  <si>
    <t>RAY ALLEN MFG.CO.INC.</t>
  </si>
  <si>
    <t>RAYMOND BACA</t>
  </si>
  <si>
    <t>552  07/10/19"</t>
  </si>
  <si>
    <t>RC HEALTH SERVICES  INC.</t>
  </si>
  <si>
    <t>NESTLE WATERS N AMERICA INC</t>
  </si>
  <si>
    <t>REPUBLIC TRUCK SALES   PARTS  &amp; REPAIRS LLC</t>
  </si>
  <si>
    <t>RESERVE ACCOUNT</t>
  </si>
  <si>
    <t>REYNOLDS &amp; KEINARTH</t>
  </si>
  <si>
    <t>RIATA FORD</t>
  </si>
  <si>
    <t>RICOH USA INC</t>
  </si>
  <si>
    <t>CIT TECHNOLOGY FINANCE</t>
  </si>
  <si>
    <t>MIKE DAVIS</t>
  </si>
  <si>
    <t>RUNKLE ENTERPRISES</t>
  </si>
  <si>
    <t>ROADRUNNER RADIOLOGY EQUIP LLC</t>
  </si>
  <si>
    <t>ROBERT MADDEN INDUSTRIES LTD</t>
  </si>
  <si>
    <t>ROCKY ROAD PRINTING</t>
  </si>
  <si>
    <t>ROSE PIETSCH COUNTY CLERK</t>
  </si>
  <si>
    <t>RUSH TRUCK CENTERS OF TEXAS  LP</t>
  </si>
  <si>
    <t>RUTH A. CARROLL</t>
  </si>
  <si>
    <t>SAFELITE FULFILLMENT INC</t>
  </si>
  <si>
    <t>SAM HOUSTON STATE UNIVERSITY</t>
  </si>
  <si>
    <t>SAMMY LERMA III MD</t>
  </si>
  <si>
    <t>SECRETARY OF STATE</t>
  </si>
  <si>
    <t>SERENITYSTAR INC</t>
  </si>
  <si>
    <t>SETON FAMILY OF HOSPITALS</t>
  </si>
  <si>
    <t>SETON HEALTHCARE SPONSORED PROJECTS</t>
  </si>
  <si>
    <t>SHARON HANCOCK</t>
  </si>
  <si>
    <t>962  07/15/19"</t>
  </si>
  <si>
    <t>962  08/06/19"</t>
  </si>
  <si>
    <t>962  09/13/19"</t>
  </si>
  <si>
    <t>FERRELLGAS  LP</t>
  </si>
  <si>
    <t>SHEA MAYBERRY</t>
  </si>
  <si>
    <t>SHI GOVERNMENT SOLUTIONS INC.</t>
  </si>
  <si>
    <t>SHOPPA'S FARM SUPPLY</t>
  </si>
  <si>
    <t>SHRED-IT US HOLDCO  INC</t>
  </si>
  <si>
    <t>RONALD JOHN CALDWELL JR</t>
  </si>
  <si>
    <t>SMITH STORES  INC.</t>
  </si>
  <si>
    <t>SMITHVILLE AUTO PARTS  INC</t>
  </si>
  <si>
    <t>SMITHVILLE FOOD PANTRY</t>
  </si>
  <si>
    <t>SMITHVILLE POLICE DEPT.</t>
  </si>
  <si>
    <t>SNEED  VINE &amp; PERRY  P.C.</t>
  </si>
  <si>
    <t>SOLARWINDS</t>
  </si>
  <si>
    <t>SOUTHERN TIRE MART LLC</t>
  </si>
  <si>
    <t>DS WATERS OF AMERICA INC</t>
  </si>
  <si>
    <t>SPARKLETTS &amp; SIERRA SPRINGS</t>
  </si>
  <si>
    <t>SPECIALTY VETERINARY PHARMACY INC</t>
  </si>
  <si>
    <t>SPILLAR CUSTOM HITCHES INC</t>
  </si>
  <si>
    <t>ST DAVID'S HEALTHCARE PARTNERSHIP</t>
  </si>
  <si>
    <t>ST. DAVIDS HEART &amp; VASCULAR  PLLC</t>
  </si>
  <si>
    <t>ST. MARK'S MEDICAL CENTER</t>
  </si>
  <si>
    <t>STAPLES ADVANTAGE</t>
  </si>
  <si>
    <t>TX COMPTROLLER OF PUBLIC ACCOUNTS</t>
  </si>
  <si>
    <t>STATE OF TEXAS</t>
  </si>
  <si>
    <t>STERICYCLE  INC.</t>
  </si>
  <si>
    <t>STEVE GRANADO</t>
  </si>
  <si>
    <t>STEVEN A LOGSDON</t>
  </si>
  <si>
    <t>MATTHEW LEE SULLINS</t>
  </si>
  <si>
    <t>SUN COAST RESOURCES</t>
  </si>
  <si>
    <t>SUNSHIELD WINDOW TINTING</t>
  </si>
  <si>
    <t>SUPERCIRCUITS INC.</t>
  </si>
  <si>
    <t>T-MOBILE USA</t>
  </si>
  <si>
    <t>T4 DISTRIBUTION  LLC</t>
  </si>
  <si>
    <t>TAB PRODUCTS CO LLC</t>
  </si>
  <si>
    <t>TEXAS ASSN OF CONVENTION &amp; VISITORS BUREAU</t>
  </si>
  <si>
    <t>TEXAS ASSOCIATION OF GOVERNMENTAL IT MANAGERS</t>
  </si>
  <si>
    <t>TARRANT COUNTY CONSTABLE PCT 2</t>
  </si>
  <si>
    <t>TARRANT COUNTY CONSTABLE PCT 7</t>
  </si>
  <si>
    <t>TAVCO SERVICES INC</t>
  </si>
  <si>
    <t>TAYLOR SECURITY SYSTEMS  LLC</t>
  </si>
  <si>
    <t>TEXAS COMMISSION ON LAW ENFORCEMENT</t>
  </si>
  <si>
    <t>TEXAS DISTRICT &amp; COUNTY ATTORNEYS ASSOCIATION</t>
  </si>
  <si>
    <t>TEAM VIEWER GMBH</t>
  </si>
  <si>
    <t>TEJAS ELEVATOR COMPANY</t>
  </si>
  <si>
    <t>TERRILL L FLENNIKEN</t>
  </si>
  <si>
    <t>AIR RELIEF TECHNOLOGIES  INC</t>
  </si>
  <si>
    <t>JOHN J FIETSAM INC</t>
  </si>
  <si>
    <t>TEX-CON OIL CO</t>
  </si>
  <si>
    <t>TEXAN EYE  P.A.</t>
  </si>
  <si>
    <t>TEXAS AGGREGATES  LLC</t>
  </si>
  <si>
    <t>MC ADAMS GROUP LLC</t>
  </si>
  <si>
    <t>TEXAS ASSOCIATES INSURORS AGENCY</t>
  </si>
  <si>
    <t>TEXAS ASSOCIATION OF COUNTIES</t>
  </si>
  <si>
    <t>TEXAS COMMISSION ON ENVIRONMENTAL QUALITY</t>
  </si>
  <si>
    <t>TEXAS DECON LLC</t>
  </si>
  <si>
    <t>TEXAS DEPT OF PUBLIC SAFETY</t>
  </si>
  <si>
    <t>283"</t>
  </si>
  <si>
    <t>349"</t>
  </si>
  <si>
    <t>722"</t>
  </si>
  <si>
    <t>TEXAS JUSTICE COURT TRAINING CENTER</t>
  </si>
  <si>
    <t>TEXAS MATERIALS GROUP  INC.</t>
  </si>
  <si>
    <t>TEXAS PARKS &amp; WILDLIFE DEPARTMENT</t>
  </si>
  <si>
    <t>TEXAS VISION CLINIC  PLLC</t>
  </si>
  <si>
    <t>TEXAS WELDING SUPPLY</t>
  </si>
  <si>
    <t>BUG MASTER EXTERMINATING SERVICES  LTD</t>
  </si>
  <si>
    <t>JAMES ANDREW CASEY</t>
  </si>
  <si>
    <t>RICHARD NELSON MOORE</t>
  </si>
  <si>
    <t>THE NITSCHE GROUP</t>
  </si>
  <si>
    <t>THE PRODUCT CENTER</t>
  </si>
  <si>
    <t>WEST PUBLISHING CORPORATION</t>
  </si>
  <si>
    <t>TIM MAHONEY  ATTORNEY AT LAW  PC</t>
  </si>
  <si>
    <t>TWE-ADVANCE/NEWHOUSE PARTNERSHIP</t>
  </si>
  <si>
    <t>TRACTOR SUPPLY CREDIT PLAN</t>
  </si>
  <si>
    <t>TRAVIS COUNTY CONSTABLE PCT 5</t>
  </si>
  <si>
    <t>TRAVIS COUNTY MEDICAL EXAMINER</t>
  </si>
  <si>
    <t>KAUFFMAN TIRE</t>
  </si>
  <si>
    <t>TRP CONSTRUTION GROUP  LLC</t>
  </si>
  <si>
    <t>TULL FARLEY</t>
  </si>
  <si>
    <t>TYLER TECHNOLOGIES INC</t>
  </si>
  <si>
    <t>ULINE  INC.</t>
  </si>
  <si>
    <t>UNITED REFRIGERATION INC</t>
  </si>
  <si>
    <t>UNIVERSITY OF TEXAS</t>
  </si>
  <si>
    <t>UNITED PARCEL SERVICE</t>
  </si>
  <si>
    <t>VALERIE BULLOCK</t>
  </si>
  <si>
    <t>VETERINARY ANESTHESIA SYSTEMS INC</t>
  </si>
  <si>
    <t>TEXAS DEPARTMENT OF STATE HEALTH SERVICES</t>
  </si>
  <si>
    <t>VOTEC CORPORATION</t>
  </si>
  <si>
    <t>US BANK NA</t>
  </si>
  <si>
    <t>VULCAN  INC.</t>
  </si>
  <si>
    <t>WALLER COUNTY ASPHALT INC</t>
  </si>
  <si>
    <t>WASHINGTON COUNTY CONSTABLE PCT 2</t>
  </si>
  <si>
    <t>WASTE CONNECTIONS LONE STAR. INC.</t>
  </si>
  <si>
    <t>WASTE MANAGEMENT OF TEXAS INC</t>
  </si>
  <si>
    <t>WIND KNOT INCORPORATED</t>
  </si>
  <si>
    <t>WEI-ANN LIN (REIMBURSEMENTS ONLY)</t>
  </si>
  <si>
    <t>MAO PHARMACY INC</t>
  </si>
  <si>
    <t>WILLIAMSON COUNTY CONSTABLE PCT 1</t>
  </si>
  <si>
    <t>WJC CONSTRUCTORS SERVICES  LLC</t>
  </si>
  <si>
    <t>YOLANDA MORALES</t>
  </si>
  <si>
    <t>YOLANDA WHEATON</t>
  </si>
  <si>
    <t>YOUNGS PROFESSIONAL SERVICES  LLC</t>
  </si>
  <si>
    <t>ZACHARY CARTER</t>
  </si>
  <si>
    <t>ZOETIS US LLC</t>
  </si>
  <si>
    <t>ZURICH DIRECT UNDERWRITERS</t>
  </si>
  <si>
    <t>573  04/11/19"</t>
  </si>
  <si>
    <t>573  05/15/19"</t>
  </si>
  <si>
    <t>573  06/17/19"</t>
  </si>
  <si>
    <t>573  07/15/19"</t>
  </si>
  <si>
    <t>573  09/13/19"</t>
  </si>
  <si>
    <t>BASTROP COUNTY PROBATION DEPT</t>
  </si>
  <si>
    <t>BASTROP INDEPENDENT SCHOOL DISTRICT</t>
  </si>
  <si>
    <t>BIG TEX TRAILERWORLD INC.</t>
  </si>
  <si>
    <t>CURTIS OLTMANN</t>
  </si>
  <si>
    <t>MERGERS MARKETING INC.</t>
  </si>
  <si>
    <t>ALLSTATE-AMERICAN HERITAGE LIFE INS CO</t>
  </si>
  <si>
    <t>AmWINS Group Benefits  Inc.</t>
  </si>
  <si>
    <t>BASTROP COUNTY ADULT PROBATION</t>
  </si>
  <si>
    <t>COLONIAL LIFE &amp; ACCIDENT INS. CO.</t>
  </si>
  <si>
    <t>CPI QUALIFIED PLAN CONSULTANTS  INC.</t>
  </si>
  <si>
    <t>DEBORAH B LANGEHENNIG</t>
  </si>
  <si>
    <t>GUARDIAN</t>
  </si>
  <si>
    <t>IRS-PAYROLL TAXES</t>
  </si>
  <si>
    <t>GERALD FLORES OLIVO</t>
  </si>
  <si>
    <t>PHI AIR MEDICAL  LLC</t>
  </si>
  <si>
    <t>TAC HEALTH BENEFITS POOL</t>
  </si>
  <si>
    <t>TOTAL ADMINISTRATIVE SERVICES CORPORATION</t>
  </si>
  <si>
    <t>TEXAS ATTY.GENERAL'S OFFICE</t>
  </si>
  <si>
    <t>TEXAS CNTY &amp; DIST RETIREMENT SYS</t>
  </si>
  <si>
    <t>TEXAS LEGAL PROTECTION PLAN INC</t>
  </si>
  <si>
    <t>U.S. DEPT OF EDUCATION - FINANCIAL  ASST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</si>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</sst>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75"/>
  <sheetViews>
    <sheetView tabSelected="1" workbookViewId="0">
      <selection activeCell="C2" sqref="C2"/>
    </sheetView>
  </sheetViews>
  <sheetFormatPr defaultRowHeight="15" x14ac:dyDescent="0.25"/>
  <cols>
    <col min="1" max="1" width="56.7109375" bestFit="1" customWidth="1"/>
    <col min="2" max="2" width="7.7109375" bestFit="1" customWidth="1"/>
    <col min="3" max="3" width="14" style="2" bestFit="1" customWidth="1"/>
    <col min="4" max="4" width="10.85546875" bestFit="1" customWidth="1"/>
    <col min="5" max="5" width="37" bestFit="1" customWidth="1"/>
    <col min="6" max="6" width="29.85546875" style="2" bestFit="1" customWidth="1"/>
    <col min="7" max="7" width="37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s="2" t="s">
        <v>5</v>
      </c>
      <c r="G1" t="s">
        <v>6</v>
      </c>
    </row>
    <row r="2" spans="1:7" x14ac:dyDescent="0.25">
      <c r="A2" t="s">
        <v>7</v>
      </c>
      <c r="B2">
        <v>84162</v>
      </c>
      <c r="C2" s="2">
        <v>1639.86</v>
      </c>
      <c r="D2" s="1">
        <v>43753</v>
      </c>
      <c r="E2" t="str">
        <f>"ACCT#9725-004/REC BASE/PCT#1"</f>
        <v>ACCT#9725-004/REC BASE/PCT#1</v>
      </c>
      <c r="F2" s="2">
        <v>487.2</v>
      </c>
      <c r="G2" t="str">
        <f>"ACCT#9725-004/REC BASE/PCT#1"</f>
        <v>ACCT#9725-004/REC BASE/PCT#1</v>
      </c>
    </row>
    <row r="3" spans="1:7" x14ac:dyDescent="0.25">
      <c r="E3" t="str">
        <f>"ACCT#9725-007/REC BASE/PCT#4"</f>
        <v>ACCT#9725-007/REC BASE/PCT#4</v>
      </c>
      <c r="F3" s="2">
        <v>1152.6600000000001</v>
      </c>
      <c r="G3" t="str">
        <f>"ACCT#9725-007/REC BASE/PCT#4"</f>
        <v>ACCT#9725-007/REC BASE/PCT#4</v>
      </c>
    </row>
    <row r="4" spans="1:7" x14ac:dyDescent="0.25">
      <c r="A4" t="s">
        <v>7</v>
      </c>
      <c r="B4">
        <v>84476</v>
      </c>
      <c r="C4" s="2">
        <v>6274.85</v>
      </c>
      <c r="D4" s="1">
        <v>43766</v>
      </c>
      <c r="E4" t="str">
        <f>"ACCT#9725-004/REC BASE/PCT#1"</f>
        <v>ACCT#9725-004/REC BASE/PCT#1</v>
      </c>
      <c r="F4" s="2">
        <v>716.98</v>
      </c>
      <c r="G4" t="str">
        <f>"ACCT#9725-004/REC BASE/PCT#1"</f>
        <v>ACCT#9725-004/REC BASE/PCT#1</v>
      </c>
    </row>
    <row r="5" spans="1:7" x14ac:dyDescent="0.25">
      <c r="E5" t="str">
        <f>"ACCT#9725-004/REC BASE/PCT#1"</f>
        <v>ACCT#9725-004/REC BASE/PCT#1</v>
      </c>
      <c r="F5" s="2">
        <v>837.47</v>
      </c>
      <c r="G5" t="str">
        <f>"ACCT#9725-004/REC BASE/PCT#1"</f>
        <v>ACCT#9725-004/REC BASE/PCT#1</v>
      </c>
    </row>
    <row r="6" spans="1:7" x14ac:dyDescent="0.25">
      <c r="E6" t="str">
        <f>"ACCT#9725-004/REC BASE/PCT#1"</f>
        <v>ACCT#9725-004/REC BASE/PCT#1</v>
      </c>
      <c r="F6" s="2">
        <v>579.95000000000005</v>
      </c>
      <c r="G6" t="str">
        <f>"ACCT#9725-004/REC BASE/PCT#1"</f>
        <v>ACCT#9725-004/REC BASE/PCT#1</v>
      </c>
    </row>
    <row r="7" spans="1:7" x14ac:dyDescent="0.25">
      <c r="E7" t="str">
        <f>"ACCT#9725-004/REC BASE/PCT#1"</f>
        <v>ACCT#9725-004/REC BASE/PCT#1</v>
      </c>
      <c r="F7" s="2">
        <v>452.56</v>
      </c>
      <c r="G7" t="str">
        <f>"ACCT#9725-004/REC BASE/PCT#1"</f>
        <v>ACCT#9725-004/REC BASE/PCT#1</v>
      </c>
    </row>
    <row r="8" spans="1:7" x14ac:dyDescent="0.25">
      <c r="E8" t="str">
        <f>"ACCT#9725-007/REC BASE/PCT#4"</f>
        <v>ACCT#9725-007/REC BASE/PCT#4</v>
      </c>
      <c r="F8" s="2">
        <v>1290.1199999999999</v>
      </c>
      <c r="G8" t="str">
        <f>"ACCT#9725-007/REC BASE/PCT#4"</f>
        <v>ACCT#9725-007/REC BASE/PCT#4</v>
      </c>
    </row>
    <row r="9" spans="1:7" x14ac:dyDescent="0.25">
      <c r="E9" t="str">
        <f>"ACCT#9725-007/REC BASE/PCT#4"</f>
        <v>ACCT#9725-007/REC BASE/PCT#4</v>
      </c>
      <c r="F9" s="2">
        <v>1073.02</v>
      </c>
      <c r="G9" t="str">
        <f>"ACCT#9725-007/REC BASE/PCT#4"</f>
        <v>ACCT#9725-007/REC BASE/PCT#4</v>
      </c>
    </row>
    <row r="10" spans="1:7" x14ac:dyDescent="0.25">
      <c r="E10" t="str">
        <f>"ACCT#9725-007/REC BASE/PCT#4"</f>
        <v>ACCT#9725-007/REC BASE/PCT#4</v>
      </c>
      <c r="F10" s="2">
        <v>955.59</v>
      </c>
      <c r="G10" t="str">
        <f>"ACCT#9725-007/REC BASE/PCT#4"</f>
        <v>ACCT#9725-007/REC BASE/PCT#4</v>
      </c>
    </row>
    <row r="11" spans="1:7" x14ac:dyDescent="0.25">
      <c r="E11" t="str">
        <f>"ACCT#9725-007/REC BASE/PCT#4"</f>
        <v>ACCT#9725-007/REC BASE/PCT#4</v>
      </c>
      <c r="F11" s="2">
        <v>369.16</v>
      </c>
      <c r="G11" t="str">
        <f>"ACCT#9725-007/REC BASE/PCT#4"</f>
        <v>ACCT#9725-007/REC BASE/PCT#4</v>
      </c>
    </row>
    <row r="12" spans="1:7" x14ac:dyDescent="0.25">
      <c r="A12" t="s">
        <v>8</v>
      </c>
      <c r="B12">
        <v>84163</v>
      </c>
      <c r="C12" s="2">
        <v>225</v>
      </c>
      <c r="D12" s="1">
        <v>43753</v>
      </c>
      <c r="E12" t="str">
        <f>"REFUND COUPON CODES"</f>
        <v>REFUND COUPON CODES</v>
      </c>
      <c r="F12" s="2">
        <v>90</v>
      </c>
      <c r="G12" t="str">
        <f>"REFUND COUPON CODES"</f>
        <v>REFUND COUPON CODES</v>
      </c>
    </row>
    <row r="13" spans="1:7" x14ac:dyDescent="0.25">
      <c r="E13" t="str">
        <f>"BAIL BOND REFUNDS"</f>
        <v>BAIL BOND REFUNDS</v>
      </c>
      <c r="F13" s="2">
        <v>135</v>
      </c>
      <c r="G13" t="str">
        <f>"BAIL BOND REFUNDS"</f>
        <v>BAIL BOND REFUNDS</v>
      </c>
    </row>
    <row r="14" spans="1:7" x14ac:dyDescent="0.25">
      <c r="A14" t="s">
        <v>9</v>
      </c>
      <c r="B14">
        <v>84164</v>
      </c>
      <c r="C14" s="2">
        <v>1621.27</v>
      </c>
      <c r="D14" s="1">
        <v>43753</v>
      </c>
      <c r="E14" t="str">
        <f>"CUST#M22786/ORD#2178786"</f>
        <v>CUST#M22786/ORD#2178786</v>
      </c>
      <c r="F14" s="2">
        <v>1621.27</v>
      </c>
      <c r="G14" t="str">
        <f>"CUST#M22786/ORD#2178786"</f>
        <v>CUST#M22786/ORD#2178786</v>
      </c>
    </row>
    <row r="15" spans="1:7" x14ac:dyDescent="0.25">
      <c r="A15" t="s">
        <v>10</v>
      </c>
      <c r="B15">
        <v>84165</v>
      </c>
      <c r="C15" s="2">
        <v>283.24</v>
      </c>
      <c r="D15" s="1">
        <v>43753</v>
      </c>
      <c r="E15" t="str">
        <f>"CUST ID:16500/STATEMENT#363374"</f>
        <v>CUST ID:16500/STATEMENT#363374</v>
      </c>
      <c r="F15" s="2">
        <v>283.24</v>
      </c>
      <c r="G15" t="str">
        <f>"CUST ID:16500/STATEMENT#363374"</f>
        <v>CUST ID:16500/STATEMENT#363374</v>
      </c>
    </row>
    <row r="16" spans="1:7" x14ac:dyDescent="0.25">
      <c r="A16" t="s">
        <v>11</v>
      </c>
      <c r="B16">
        <v>1540</v>
      </c>
      <c r="C16" s="2">
        <v>42649.17</v>
      </c>
      <c r="D16" s="1">
        <v>43754</v>
      </c>
      <c r="E16" t="str">
        <f>"HAULING EXPS 09/16 - 09/30"</f>
        <v>HAULING EXPS 09/16 - 09/30</v>
      </c>
      <c r="F16" s="2">
        <v>9414.1</v>
      </c>
      <c r="G16" t="str">
        <f>"HAULING EXPS 09/16 - 09/30"</f>
        <v>HAULING EXPS 09/16 - 09/30</v>
      </c>
    </row>
    <row r="17" spans="1:7" x14ac:dyDescent="0.25">
      <c r="E17" t="str">
        <f>"HAULING EXPS 10/01 - 10/04"</f>
        <v>HAULING EXPS 10/01 - 10/04</v>
      </c>
      <c r="F17" s="2">
        <v>4502.08</v>
      </c>
      <c r="G17" t="str">
        <f>"HAULING EXPS 10/01 - 10/04"</f>
        <v>HAULING EXPS 10/01 - 10/04</v>
      </c>
    </row>
    <row r="18" spans="1:7" x14ac:dyDescent="0.25">
      <c r="E18" t="str">
        <f>"HAULING EXPS 09/16 - 09/30"</f>
        <v>HAULING EXPS 09/16 - 09/30</v>
      </c>
      <c r="F18" s="2">
        <v>22918.86</v>
      </c>
      <c r="G18" t="str">
        <f>"HAULING EXPS 09/16 - 09/30"</f>
        <v>HAULING EXPS 09/16 - 09/30</v>
      </c>
    </row>
    <row r="19" spans="1:7" x14ac:dyDescent="0.25">
      <c r="E19" t="str">
        <f>"HAULING EXPS 10/01 - 10/04"</f>
        <v>HAULING EXPS 10/01 - 10/04</v>
      </c>
      <c r="F19" s="2">
        <v>5814.13</v>
      </c>
      <c r="G19" t="str">
        <f>"HAULING EXPS 10/01 - 10/04"</f>
        <v>HAULING EXPS 10/01 - 10/04</v>
      </c>
    </row>
    <row r="20" spans="1:7" x14ac:dyDescent="0.25">
      <c r="A20" t="s">
        <v>11</v>
      </c>
      <c r="B20">
        <v>1632</v>
      </c>
      <c r="C20" s="2">
        <v>14628.21</v>
      </c>
      <c r="D20" s="1">
        <v>43767</v>
      </c>
      <c r="E20" t="str">
        <f>"HAULING EXPS 10/07-10/18/PCT#1"</f>
        <v>HAULING EXPS 10/07-10/18/PCT#1</v>
      </c>
      <c r="F20" s="2">
        <v>7012.32</v>
      </c>
      <c r="G20" t="str">
        <f>"HAULING EXPS 10/07-10/18/PCT#1"</f>
        <v>HAULING EXPS 10/07-10/18/PCT#1</v>
      </c>
    </row>
    <row r="21" spans="1:7" x14ac:dyDescent="0.25">
      <c r="E21" t="str">
        <f>"HAULING EXPS 10/07-10/18/PCT#4"</f>
        <v>HAULING EXPS 10/07-10/18/PCT#4</v>
      </c>
      <c r="F21" s="2">
        <v>7615.89</v>
      </c>
      <c r="G21" t="str">
        <f>"HAULING EXPS 10/07-10/18/PCT#4"</f>
        <v>HAULING EXPS 10/07-10/18/PCT#4</v>
      </c>
    </row>
    <row r="22" spans="1:7" x14ac:dyDescent="0.25">
      <c r="A22" t="s">
        <v>12</v>
      </c>
      <c r="B22">
        <v>84166</v>
      </c>
      <c r="C22" s="2">
        <v>9242.5</v>
      </c>
      <c r="D22" s="1">
        <v>43753</v>
      </c>
      <c r="E22" t="str">
        <f>"423-5282"</f>
        <v>423-5282</v>
      </c>
      <c r="F22" s="2">
        <v>820</v>
      </c>
      <c r="G22" t="str">
        <f>"423-5282"</f>
        <v>423-5282</v>
      </c>
    </row>
    <row r="23" spans="1:7" x14ac:dyDescent="0.25">
      <c r="E23" t="str">
        <f>"19-19734"</f>
        <v>19-19734</v>
      </c>
      <c r="F23" s="2">
        <v>295</v>
      </c>
      <c r="G23" t="str">
        <f>"19-19734"</f>
        <v>19-19734</v>
      </c>
    </row>
    <row r="24" spans="1:7" x14ac:dyDescent="0.25">
      <c r="E24" t="str">
        <f>"19-19849"</f>
        <v>19-19849</v>
      </c>
      <c r="F24" s="2">
        <v>295</v>
      </c>
      <c r="G24" t="str">
        <f>"19-19849"</f>
        <v>19-19849</v>
      </c>
    </row>
    <row r="25" spans="1:7" x14ac:dyDescent="0.25">
      <c r="E25" t="str">
        <f>"18-18876"</f>
        <v>18-18876</v>
      </c>
      <c r="F25" s="2">
        <v>135</v>
      </c>
      <c r="G25" t="str">
        <f>"18-18876"</f>
        <v>18-18876</v>
      </c>
    </row>
    <row r="26" spans="1:7" x14ac:dyDescent="0.25">
      <c r="E26" t="str">
        <f>"19-19521"</f>
        <v>19-19521</v>
      </c>
      <c r="F26" s="2">
        <v>232.5</v>
      </c>
      <c r="G26" t="str">
        <f>"19-19521"</f>
        <v>19-19521</v>
      </c>
    </row>
    <row r="27" spans="1:7" x14ac:dyDescent="0.25">
      <c r="E27" t="str">
        <f>"19-19463"</f>
        <v>19-19463</v>
      </c>
      <c r="F27" s="2">
        <v>362.5</v>
      </c>
      <c r="G27" t="str">
        <f>"19-19463"</f>
        <v>19-19463</v>
      </c>
    </row>
    <row r="28" spans="1:7" x14ac:dyDescent="0.25">
      <c r="E28" t="str">
        <f>"18-19023"</f>
        <v>18-19023</v>
      </c>
      <c r="F28" s="2">
        <v>127.5</v>
      </c>
      <c r="G28" t="str">
        <f>"18-19023"</f>
        <v>18-19023</v>
      </c>
    </row>
    <row r="29" spans="1:7" x14ac:dyDescent="0.25">
      <c r="E29" t="str">
        <f>"19-19768"</f>
        <v>19-19768</v>
      </c>
      <c r="F29" s="2">
        <v>100</v>
      </c>
      <c r="G29" t="str">
        <f>"19-19768"</f>
        <v>19-19768</v>
      </c>
    </row>
    <row r="30" spans="1:7" x14ac:dyDescent="0.25">
      <c r="E30" t="str">
        <f>"19-19687"</f>
        <v>19-19687</v>
      </c>
      <c r="F30" s="2">
        <v>100</v>
      </c>
      <c r="G30" t="str">
        <f>"19-19687"</f>
        <v>19-19687</v>
      </c>
    </row>
    <row r="31" spans="1:7" x14ac:dyDescent="0.25">
      <c r="E31" t="str">
        <f>"16-17626"</f>
        <v>16-17626</v>
      </c>
      <c r="F31" s="2">
        <v>445</v>
      </c>
      <c r="G31" t="str">
        <f>"16-17626"</f>
        <v>16-17626</v>
      </c>
    </row>
    <row r="32" spans="1:7" x14ac:dyDescent="0.25">
      <c r="E32" t="str">
        <f>"19-19740"</f>
        <v>19-19740</v>
      </c>
      <c r="F32" s="2">
        <v>642.5</v>
      </c>
      <c r="G32" t="str">
        <f>"19-19740"</f>
        <v>19-19740</v>
      </c>
    </row>
    <row r="33" spans="1:7" x14ac:dyDescent="0.25">
      <c r="E33" t="str">
        <f>"19-19456"</f>
        <v>19-19456</v>
      </c>
      <c r="F33" s="2">
        <v>595</v>
      </c>
      <c r="G33" t="str">
        <f>"19-19456"</f>
        <v>19-19456</v>
      </c>
    </row>
    <row r="34" spans="1:7" x14ac:dyDescent="0.25">
      <c r="E34" t="str">
        <f>"19-19680"</f>
        <v>19-19680</v>
      </c>
      <c r="F34" s="2">
        <v>852.5</v>
      </c>
      <c r="G34" t="str">
        <f>"19-19680"</f>
        <v>19-19680</v>
      </c>
    </row>
    <row r="35" spans="1:7" x14ac:dyDescent="0.25">
      <c r="E35" t="str">
        <f>"18-19279"</f>
        <v>18-19279</v>
      </c>
      <c r="F35" s="2">
        <v>1162.5</v>
      </c>
      <c r="G35" t="str">
        <f>"18-19279"</f>
        <v>18-19279</v>
      </c>
    </row>
    <row r="36" spans="1:7" x14ac:dyDescent="0.25">
      <c r="E36" t="str">
        <f>"18-19237"</f>
        <v>18-19237</v>
      </c>
      <c r="F36" s="2">
        <v>482.5</v>
      </c>
      <c r="G36" t="str">
        <f>"18-19237"</f>
        <v>18-19237</v>
      </c>
    </row>
    <row r="37" spans="1:7" x14ac:dyDescent="0.25">
      <c r="E37" t="str">
        <f>"18-19156"</f>
        <v>18-19156</v>
      </c>
      <c r="F37" s="2">
        <v>2595</v>
      </c>
      <c r="G37" t="str">
        <f>"18-19156"</f>
        <v>18-19156</v>
      </c>
    </row>
    <row r="38" spans="1:7" x14ac:dyDescent="0.25">
      <c r="A38" t="s">
        <v>13</v>
      </c>
      <c r="B38">
        <v>84167</v>
      </c>
      <c r="C38" s="2">
        <v>26.15</v>
      </c>
      <c r="D38" s="1">
        <v>43753</v>
      </c>
      <c r="E38" t="str">
        <f>"Shipping Cost"</f>
        <v>Shipping Cost</v>
      </c>
      <c r="F38" s="2">
        <v>26.15</v>
      </c>
      <c r="G38" t="str">
        <f>"Shipping Cost"</f>
        <v>Shipping Cost</v>
      </c>
    </row>
    <row r="39" spans="1:7" x14ac:dyDescent="0.25">
      <c r="A39" t="s">
        <v>14</v>
      </c>
      <c r="B39">
        <v>84168</v>
      </c>
      <c r="C39" s="2">
        <v>937.5</v>
      </c>
      <c r="D39" s="1">
        <v>43753</v>
      </c>
      <c r="E39" t="str">
        <f>"18-19182"</f>
        <v>18-19182</v>
      </c>
      <c r="F39" s="2">
        <v>30</v>
      </c>
      <c r="G39" t="str">
        <f>"18-19182"</f>
        <v>18-19182</v>
      </c>
    </row>
    <row r="40" spans="1:7" x14ac:dyDescent="0.25">
      <c r="E40" t="str">
        <f>"19-19811"</f>
        <v>19-19811</v>
      </c>
      <c r="F40" s="2">
        <v>195</v>
      </c>
      <c r="G40" t="str">
        <f>"19-19811"</f>
        <v>19-19811</v>
      </c>
    </row>
    <row r="41" spans="1:7" x14ac:dyDescent="0.25">
      <c r="E41" t="str">
        <f>"19-19558"</f>
        <v>19-19558</v>
      </c>
      <c r="F41" s="2">
        <v>190</v>
      </c>
      <c r="G41" t="str">
        <f>"19-19558"</f>
        <v>19-19558</v>
      </c>
    </row>
    <row r="42" spans="1:7" x14ac:dyDescent="0.25">
      <c r="E42" t="str">
        <f>"19-19864"</f>
        <v>19-19864</v>
      </c>
      <c r="F42" s="2">
        <v>280</v>
      </c>
      <c r="G42" t="str">
        <f>"19-19864"</f>
        <v>19-19864</v>
      </c>
    </row>
    <row r="43" spans="1:7" x14ac:dyDescent="0.25">
      <c r="E43" t="str">
        <f>"19-19768"</f>
        <v>19-19768</v>
      </c>
      <c r="F43" s="2">
        <v>242.5</v>
      </c>
      <c r="G43" t="str">
        <f>"19-19768"</f>
        <v>19-19768</v>
      </c>
    </row>
    <row r="44" spans="1:7" x14ac:dyDescent="0.25">
      <c r="A44" t="s">
        <v>15</v>
      </c>
      <c r="B44">
        <v>1440</v>
      </c>
      <c r="C44" s="2">
        <v>295</v>
      </c>
      <c r="D44" s="1">
        <v>43746</v>
      </c>
      <c r="E44" t="str">
        <f>"TRAVEL ADVANCE / TML &amp; TEDC"</f>
        <v>TRAVEL ADVANCE / TML &amp; TEDC</v>
      </c>
      <c r="F44" s="2">
        <v>100</v>
      </c>
      <c r="G44" t="str">
        <f>"TRAVEL ADVANCE / TML &amp; TEDC"</f>
        <v>TRAVEL ADVANCE / TML &amp; TEDC</v>
      </c>
    </row>
    <row r="45" spans="1:7" x14ac:dyDescent="0.25">
      <c r="E45" t="str">
        <f>"TRAVEL ADVANCE / STATE FAIR"</f>
        <v>TRAVEL ADVANCE / STATE FAIR</v>
      </c>
      <c r="F45" s="2">
        <v>195</v>
      </c>
      <c r="G45" t="str">
        <f>"TRAVEL ADVANCE / STATE FAIR"</f>
        <v>TRAVEL ADVANCE / STATE FAIR</v>
      </c>
    </row>
    <row r="46" spans="1:7" x14ac:dyDescent="0.25">
      <c r="A46" t="s">
        <v>15</v>
      </c>
      <c r="B46">
        <v>1638</v>
      </c>
      <c r="C46" s="2">
        <v>109.99</v>
      </c>
      <c r="D46" s="1">
        <v>43767</v>
      </c>
      <c r="E46" t="str">
        <f>"REIMBURSE MAIL/CHAMBER/PARKING"</f>
        <v>REIMBURSE MAIL/CHAMBER/PARKING</v>
      </c>
      <c r="F46" s="2">
        <v>109.99</v>
      </c>
      <c r="G46" t="str">
        <f>"REIMBURSE MAIL/CHAMBER/PARKING"</f>
        <v>REIMBURSE MAIL/CHAMBER/PARKING</v>
      </c>
    </row>
    <row r="47" spans="1:7" x14ac:dyDescent="0.25">
      <c r="A47" t="s">
        <v>16</v>
      </c>
      <c r="B47">
        <v>84477</v>
      </c>
      <c r="C47" s="2">
        <v>2109.25</v>
      </c>
      <c r="D47" s="1">
        <v>43766</v>
      </c>
      <c r="E47" t="str">
        <f>"INV 202851"</f>
        <v>INV 202851</v>
      </c>
      <c r="F47" s="2">
        <v>2109.25</v>
      </c>
      <c r="G47" t="str">
        <f>"INV 202851"</f>
        <v>INV 202851</v>
      </c>
    </row>
    <row r="48" spans="1:7" x14ac:dyDescent="0.25">
      <c r="A48" t="s">
        <v>17</v>
      </c>
      <c r="B48">
        <v>84478</v>
      </c>
      <c r="C48" s="2">
        <v>4000</v>
      </c>
      <c r="D48" s="1">
        <v>43766</v>
      </c>
      <c r="E48" t="str">
        <f>"FY2019-2020 FUNDS"</f>
        <v>FY2019-2020 FUNDS</v>
      </c>
      <c r="F48" s="2">
        <v>4000</v>
      </c>
      <c r="G48" t="str">
        <f>"FY2019-2020 FUNDS"</f>
        <v>FY2019-2020 FUNDS</v>
      </c>
    </row>
    <row r="49" spans="1:8" x14ac:dyDescent="0.25">
      <c r="A49" t="s">
        <v>18</v>
      </c>
      <c r="B49">
        <v>1600</v>
      </c>
      <c r="C49" s="2">
        <v>750</v>
      </c>
      <c r="D49" s="1">
        <v>43754</v>
      </c>
      <c r="E49" t="str">
        <f>"20180513"</f>
        <v>20180513</v>
      </c>
      <c r="F49" s="2">
        <v>400</v>
      </c>
      <c r="G49" t="str">
        <f>"20180513"</f>
        <v>20180513</v>
      </c>
    </row>
    <row r="50" spans="1:8" x14ac:dyDescent="0.25">
      <c r="E50" t="str">
        <f>"423-6797"</f>
        <v>423-6797</v>
      </c>
      <c r="F50" s="2">
        <v>100</v>
      </c>
      <c r="G50" t="str">
        <f>"423-6797"</f>
        <v>423-6797</v>
      </c>
    </row>
    <row r="51" spans="1:8" x14ac:dyDescent="0.25">
      <c r="E51" t="str">
        <f>"56 964"</f>
        <v>56 964</v>
      </c>
      <c r="F51" s="2">
        <v>250</v>
      </c>
      <c r="G51" t="str">
        <f>"56 964"</f>
        <v>56 964</v>
      </c>
    </row>
    <row r="52" spans="1:8" x14ac:dyDescent="0.25">
      <c r="A52" t="s">
        <v>19</v>
      </c>
      <c r="B52">
        <v>1555</v>
      </c>
      <c r="C52" s="2">
        <v>1553.12</v>
      </c>
      <c r="D52" s="1">
        <v>43754</v>
      </c>
      <c r="E52" t="str">
        <f>"57 003  55 790"</f>
        <v>57 003  55 790</v>
      </c>
      <c r="F52" s="2">
        <v>338.28</v>
      </c>
      <c r="G52" t="str">
        <f>"57 003  55 790"</f>
        <v>57 003  55 790</v>
      </c>
    </row>
    <row r="53" spans="1:8" x14ac:dyDescent="0.25">
      <c r="E53" t="str">
        <f>"J-3188  19-19445"</f>
        <v>J-3188  19-19445</v>
      </c>
      <c r="F53" s="2">
        <v>538.28</v>
      </c>
      <c r="G53" t="str">
        <f>"j-3188  19-19445"</f>
        <v>j-3188  19-19445</v>
      </c>
    </row>
    <row r="54" spans="1:8" x14ac:dyDescent="0.25">
      <c r="E54" t="str">
        <f>"09/23/19 CRIMINAL DOCKET"</f>
        <v>09/23/19 CRIMINAL DOCKET</v>
      </c>
      <c r="F54" s="2">
        <v>338.28</v>
      </c>
      <c r="G54" t="str">
        <f>"09/23/19 CRIMINAL DOCKET"</f>
        <v>09/23/19 CRIMINAL DOCKET</v>
      </c>
    </row>
    <row r="55" spans="1:8" x14ac:dyDescent="0.25">
      <c r="E55" t="str">
        <f>"09-26-19 CRIMINAL DOCKET"</f>
        <v>09-26-19 CRIMINAL DOCKET</v>
      </c>
      <c r="F55" s="2">
        <v>338.28</v>
      </c>
      <c r="G55" t="str">
        <f>"09-26-19 CRIMINAL DOCKET"</f>
        <v>09-26-19 CRIMINAL DOCKET</v>
      </c>
    </row>
    <row r="56" spans="1:8" x14ac:dyDescent="0.25">
      <c r="A56" t="s">
        <v>19</v>
      </c>
      <c r="B56">
        <v>1644</v>
      </c>
      <c r="C56" s="2">
        <v>876.56</v>
      </c>
      <c r="D56" s="1">
        <v>43767</v>
      </c>
      <c r="E56" t="str">
        <f>"423-5412  423-5874"</f>
        <v>423-5412  423-5874</v>
      </c>
      <c r="F56" s="2">
        <v>338.28</v>
      </c>
      <c r="G56" t="str">
        <f>"423-5412  423-5874"</f>
        <v>423-5412  423-5874</v>
      </c>
    </row>
    <row r="57" spans="1:8" x14ac:dyDescent="0.25">
      <c r="E57" t="str">
        <f>"10-3-19 CRIMINAL DOCKET"</f>
        <v>10-3-19 CRIMINAL DOCKET</v>
      </c>
      <c r="F57" s="2">
        <v>200</v>
      </c>
      <c r="G57" t="str">
        <f>"10-3-19 CRIMINAL DOCKET"</f>
        <v>10-3-19 CRIMINAL DOCKET</v>
      </c>
    </row>
    <row r="58" spans="1:8" x14ac:dyDescent="0.25">
      <c r="E58" t="str">
        <f>"56 681 55 998 57 158"</f>
        <v>56 681 55 998 57 158</v>
      </c>
      <c r="F58" s="2">
        <v>338.28</v>
      </c>
      <c r="G58" t="str">
        <f>"56 681 55 998 57 158"</f>
        <v>56 681 55 998 57 158</v>
      </c>
    </row>
    <row r="59" spans="1:8" x14ac:dyDescent="0.25">
      <c r="A59" t="s">
        <v>20</v>
      </c>
      <c r="B59">
        <v>84169</v>
      </c>
      <c r="C59" s="2">
        <v>495</v>
      </c>
      <c r="D59" s="1">
        <v>43753</v>
      </c>
      <c r="E59" t="str">
        <f>"TRANSPORTATION-K. MCGILLICUDY"</f>
        <v>TRANSPORTATION-K. MCGILLICUDY</v>
      </c>
      <c r="F59" s="2">
        <v>495</v>
      </c>
      <c r="G59" t="str">
        <f>"TRANSPORTATION-K. MCGILLICUDY"</f>
        <v>TRANSPORTATION-K. MCGILLICUDY</v>
      </c>
    </row>
    <row r="60" spans="1:8" x14ac:dyDescent="0.25">
      <c r="A60" t="s">
        <v>21</v>
      </c>
      <c r="B60">
        <v>84479</v>
      </c>
      <c r="C60" s="2">
        <v>1045</v>
      </c>
      <c r="D60" s="1">
        <v>43766</v>
      </c>
      <c r="E60" t="str">
        <f>"REF#2019040043AC/TRANSPORT"</f>
        <v>REF#2019040043AC/TRANSPORT</v>
      </c>
      <c r="F60" s="2">
        <v>1045</v>
      </c>
      <c r="G60" t="str">
        <f>"REF#2019040043AC/TRANSPORT"</f>
        <v>REF#2019040043AC/TRANSPORT</v>
      </c>
    </row>
    <row r="61" spans="1:8" x14ac:dyDescent="0.25">
      <c r="A61" t="s">
        <v>22</v>
      </c>
      <c r="B61">
        <v>84197</v>
      </c>
      <c r="C61" s="2">
        <v>25</v>
      </c>
      <c r="D61" s="1">
        <v>43753</v>
      </c>
      <c r="E61" t="s">
        <v>23</v>
      </c>
      <c r="F61" s="2" t="str">
        <f>"RESTITUTION - J. RICHARDSON"</f>
        <v>RESTITUTION - J. RICHARDSON</v>
      </c>
      <c r="G61" t="str">
        <f>"210-0000"</f>
        <v>210-0000</v>
      </c>
      <c r="H61" t="str">
        <f>""</f>
        <v/>
      </c>
    </row>
    <row r="62" spans="1:8" x14ac:dyDescent="0.25">
      <c r="A62" t="s">
        <v>24</v>
      </c>
      <c r="B62">
        <v>84170</v>
      </c>
      <c r="C62" s="2">
        <v>50</v>
      </c>
      <c r="D62" s="1">
        <v>43753</v>
      </c>
      <c r="E62" t="s">
        <v>25</v>
      </c>
      <c r="F62" s="2" t="str">
        <f>"RESTITUTION - T. CHURCH"</f>
        <v>RESTITUTION - T. CHURCH</v>
      </c>
      <c r="G62" t="str">
        <f>"210-0000"</f>
        <v>210-0000</v>
      </c>
      <c r="H62" t="str">
        <f>""</f>
        <v/>
      </c>
    </row>
    <row r="63" spans="1:8" x14ac:dyDescent="0.25">
      <c r="A63" t="s">
        <v>26</v>
      </c>
      <c r="B63">
        <v>1539</v>
      </c>
      <c r="C63" s="2">
        <v>58.29</v>
      </c>
      <c r="D63" s="1">
        <v>43754</v>
      </c>
      <c r="E63" t="str">
        <f>"INV 6316535"</f>
        <v>INV 6316535</v>
      </c>
      <c r="F63" s="2">
        <v>58.29</v>
      </c>
      <c r="G63" t="str">
        <f>"INV 6316535"</f>
        <v>INV 6316535</v>
      </c>
    </row>
    <row r="64" spans="1:8" x14ac:dyDescent="0.25">
      <c r="A64" t="s">
        <v>27</v>
      </c>
      <c r="B64">
        <v>84480</v>
      </c>
      <c r="C64" s="2">
        <v>500</v>
      </c>
      <c r="D64" s="1">
        <v>43766</v>
      </c>
      <c r="E64" t="str">
        <f>"VETERINARY SURGICAL SVCS 10/21"</f>
        <v>VETERINARY SURGICAL SVCS 10/21</v>
      </c>
      <c r="F64" s="2">
        <v>500</v>
      </c>
      <c r="G64" t="str">
        <f>"VETERINARY SURGICAL SVCS 10/21"</f>
        <v>VETERINARY SURGICAL SVCS 10/21</v>
      </c>
    </row>
    <row r="65" spans="1:7" x14ac:dyDescent="0.25">
      <c r="A65" t="s">
        <v>28</v>
      </c>
      <c r="B65">
        <v>1572</v>
      </c>
      <c r="C65" s="2">
        <v>1790.88</v>
      </c>
      <c r="D65" s="1">
        <v>43754</v>
      </c>
      <c r="E65" t="str">
        <f>"Table and Roll File"</f>
        <v>Table and Roll File</v>
      </c>
      <c r="F65" s="2">
        <v>334.94</v>
      </c>
      <c r="G65" t="str">
        <f>"Table"</f>
        <v>Table</v>
      </c>
    </row>
    <row r="66" spans="1:7" x14ac:dyDescent="0.25">
      <c r="E66" t="str">
        <f>""</f>
        <v/>
      </c>
      <c r="G66" t="str">
        <f>"Roll File"</f>
        <v>Roll File</v>
      </c>
    </row>
    <row r="67" spans="1:7" x14ac:dyDescent="0.25">
      <c r="E67" t="str">
        <f>"Amazon Order"</f>
        <v>Amazon Order</v>
      </c>
      <c r="F67" s="2">
        <v>39.99</v>
      </c>
      <c r="G67" t="str">
        <f>"NS-CAHBTOE01"</f>
        <v>NS-CAHBTOE01</v>
      </c>
    </row>
    <row r="68" spans="1:7" x14ac:dyDescent="0.25">
      <c r="E68" t="str">
        <f>"GoPro Hero7"</f>
        <v>GoPro Hero7</v>
      </c>
      <c r="F68" s="2">
        <v>329.99</v>
      </c>
      <c r="G68" t="str">
        <f>"GoPro Hero7"</f>
        <v>GoPro Hero7</v>
      </c>
    </row>
    <row r="69" spans="1:7" x14ac:dyDescent="0.25">
      <c r="E69" t="str">
        <f>"Hard Hats with Sheilds"</f>
        <v>Hard Hats with Sheilds</v>
      </c>
      <c r="F69" s="2">
        <v>158.85</v>
      </c>
      <c r="G69" t="str">
        <f>"Elvex WELCUARC7BASIC"</f>
        <v>Elvex WELCUARC7BASIC</v>
      </c>
    </row>
    <row r="70" spans="1:7" x14ac:dyDescent="0.25">
      <c r="E70" t="str">
        <f>""</f>
        <v/>
      </c>
      <c r="G70" t="str">
        <f>"Replacement Face Shi"</f>
        <v>Replacement Face Shi</v>
      </c>
    </row>
    <row r="71" spans="1:7" x14ac:dyDescent="0.25">
      <c r="E71" t="str">
        <f>"Office supplies"</f>
        <v>Office supplies</v>
      </c>
      <c r="F71" s="2">
        <v>515.77</v>
      </c>
      <c r="G71" t="str">
        <f>"Measuring Wheel"</f>
        <v>Measuring Wheel</v>
      </c>
    </row>
    <row r="72" spans="1:7" x14ac:dyDescent="0.25">
      <c r="E72" t="str">
        <f>""</f>
        <v/>
      </c>
      <c r="G72" t="str">
        <f>"Cordless Drill"</f>
        <v>Cordless Drill</v>
      </c>
    </row>
    <row r="73" spans="1:7" x14ac:dyDescent="0.25">
      <c r="E73" t="str">
        <f>""</f>
        <v/>
      </c>
      <c r="G73" t="str">
        <f>"Letter Trays"</f>
        <v>Letter Trays</v>
      </c>
    </row>
    <row r="74" spans="1:7" x14ac:dyDescent="0.25">
      <c r="E74" t="str">
        <f>""</f>
        <v/>
      </c>
      <c r="G74" t="str">
        <f>"Utility Cart"</f>
        <v>Utility Cart</v>
      </c>
    </row>
    <row r="75" spans="1:7" x14ac:dyDescent="0.25">
      <c r="E75" t="str">
        <f>""</f>
        <v/>
      </c>
      <c r="G75" t="str">
        <f>"Metal Detector"</f>
        <v>Metal Detector</v>
      </c>
    </row>
    <row r="76" spans="1:7" x14ac:dyDescent="0.25">
      <c r="E76" t="str">
        <f>"Amazon Order"</f>
        <v>Amazon Order</v>
      </c>
      <c r="F76" s="2">
        <v>411.34</v>
      </c>
      <c r="G76" t="str">
        <f>"Pedestal"</f>
        <v>Pedestal</v>
      </c>
    </row>
    <row r="77" spans="1:7" x14ac:dyDescent="0.25">
      <c r="E77" t="str">
        <f>""</f>
        <v/>
      </c>
      <c r="G77" t="str">
        <f>"Drop Box"</f>
        <v>Drop Box</v>
      </c>
    </row>
    <row r="78" spans="1:7" x14ac:dyDescent="0.25">
      <c r="A78" t="s">
        <v>28</v>
      </c>
      <c r="B78">
        <v>1649</v>
      </c>
      <c r="C78" s="2">
        <v>480.19</v>
      </c>
      <c r="D78" s="1">
        <v>43767</v>
      </c>
      <c r="E78" t="str">
        <f>"Amazon Order"</f>
        <v>Amazon Order</v>
      </c>
      <c r="F78" s="2">
        <v>391.99</v>
      </c>
      <c r="G78" t="str">
        <f>"EFIC108"</f>
        <v>EFIC108</v>
      </c>
    </row>
    <row r="79" spans="1:7" x14ac:dyDescent="0.25">
      <c r="E79" t="str">
        <f>""</f>
        <v/>
      </c>
      <c r="G79" t="str">
        <f>"VPR-2EP"</f>
        <v>VPR-2EP</v>
      </c>
    </row>
    <row r="80" spans="1:7" x14ac:dyDescent="0.25">
      <c r="E80" t="str">
        <f>"AMAZON CAPITAL SERVICES INC"</f>
        <v>AMAZON CAPITAL SERVICES INC</v>
      </c>
      <c r="F80" s="2">
        <v>88.2</v>
      </c>
      <c r="G80" t="str">
        <f>"Glass Beads"</f>
        <v>Glass Beads</v>
      </c>
    </row>
    <row r="81" spans="1:7" x14ac:dyDescent="0.25">
      <c r="A81" t="s">
        <v>29</v>
      </c>
      <c r="B81">
        <v>84171</v>
      </c>
      <c r="C81" s="2">
        <v>25.38</v>
      </c>
      <c r="D81" s="1">
        <v>43753</v>
      </c>
      <c r="E81" t="str">
        <f>"INV 01-191230127"</f>
        <v>INV 01-191230127</v>
      </c>
      <c r="F81" s="2">
        <v>25.38</v>
      </c>
      <c r="G81" t="str">
        <f>"INV 01-191230127"</f>
        <v>INV 01-191230127</v>
      </c>
    </row>
    <row r="82" spans="1:7" x14ac:dyDescent="0.25">
      <c r="A82" t="s">
        <v>29</v>
      </c>
      <c r="B82">
        <v>84481</v>
      </c>
      <c r="C82" s="2">
        <v>62.27</v>
      </c>
      <c r="D82" s="1">
        <v>43766</v>
      </c>
      <c r="E82" t="str">
        <f>"INV 01-191236743"</f>
        <v>INV 01-191236743</v>
      </c>
      <c r="F82" s="2">
        <v>36.9</v>
      </c>
      <c r="G82" t="str">
        <f>"INV 01-191236743"</f>
        <v>INV 01-191236743</v>
      </c>
    </row>
    <row r="83" spans="1:7" x14ac:dyDescent="0.25">
      <c r="E83" t="str">
        <f>"INV 01-191236834"</f>
        <v>INV 01-191236834</v>
      </c>
      <c r="F83" s="2">
        <v>25.37</v>
      </c>
      <c r="G83" t="str">
        <f>"INV 01-191236834"</f>
        <v>INV 01-191236834</v>
      </c>
    </row>
    <row r="84" spans="1:7" x14ac:dyDescent="0.25">
      <c r="A84" t="s">
        <v>30</v>
      </c>
      <c r="B84">
        <v>1550</v>
      </c>
      <c r="C84" s="2">
        <v>4294.63</v>
      </c>
      <c r="D84" s="1">
        <v>43754</v>
      </c>
      <c r="E84" t="str">
        <f>"ACCT#379865/PCT#2"</f>
        <v>ACCT#379865/PCT#2</v>
      </c>
      <c r="F84" s="2">
        <v>4294.63</v>
      </c>
      <c r="G84" t="str">
        <f>"ACCT#379865/PCT#2"</f>
        <v>ACCT#379865/PCT#2</v>
      </c>
    </row>
    <row r="85" spans="1:7" x14ac:dyDescent="0.25">
      <c r="A85" t="s">
        <v>31</v>
      </c>
      <c r="B85">
        <v>84172</v>
      </c>
      <c r="C85" s="2">
        <v>9491.6</v>
      </c>
      <c r="D85" s="1">
        <v>43753</v>
      </c>
      <c r="E85" t="str">
        <f>"PRINTING/ELECTIONS"</f>
        <v>PRINTING/ELECTIONS</v>
      </c>
      <c r="F85" s="2">
        <v>399.17</v>
      </c>
      <c r="G85" t="str">
        <f>"PRINTING/ELECTIONS"</f>
        <v>PRINTING/ELECTIONS</v>
      </c>
    </row>
    <row r="86" spans="1:7" x14ac:dyDescent="0.25">
      <c r="E86" t="str">
        <f>"2019 TAX ENVELOPES"</f>
        <v>2019 TAX ENVELOPES</v>
      </c>
      <c r="F86" s="2">
        <v>2992.5</v>
      </c>
      <c r="G86" t="str">
        <f>"2019 TAX ENVELOPES"</f>
        <v>2019 TAX ENVELOPES</v>
      </c>
    </row>
    <row r="87" spans="1:7" x14ac:dyDescent="0.25">
      <c r="E87" t="str">
        <f>"POSTCARD/ELECTIONS"</f>
        <v>POSTCARD/ELECTIONS</v>
      </c>
      <c r="F87" s="2">
        <v>1130.05</v>
      </c>
      <c r="G87" t="str">
        <f>"POSTCARD/ELECTIONS"</f>
        <v>POSTCARD/ELECTIONS</v>
      </c>
    </row>
    <row r="88" spans="1:7" x14ac:dyDescent="0.25">
      <c r="E88" t="str">
        <f>"POSTCARD/PAPER/POSTAGE"</f>
        <v>POSTCARD/PAPER/POSTAGE</v>
      </c>
      <c r="F88" s="2">
        <v>4969.88</v>
      </c>
      <c r="G88" t="str">
        <f>"POSTCARD/PAPER/POSTAGE"</f>
        <v>POSTCARD/PAPER/POSTAGE</v>
      </c>
    </row>
    <row r="89" spans="1:7" x14ac:dyDescent="0.25">
      <c r="A89" t="s">
        <v>31</v>
      </c>
      <c r="B89">
        <v>84482</v>
      </c>
      <c r="C89" s="2">
        <v>4337.7</v>
      </c>
      <c r="D89" s="1">
        <v>43766</v>
      </c>
      <c r="E89" t="str">
        <f>"VOTER SUPPLIES"</f>
        <v>VOTER SUPPLIES</v>
      </c>
      <c r="F89" s="2">
        <v>4337.7</v>
      </c>
      <c r="G89" t="str">
        <f>"VOTER SUPPLIES"</f>
        <v>VOTER SUPPLIES</v>
      </c>
    </row>
    <row r="90" spans="1:7" x14ac:dyDescent="0.25">
      <c r="A90" t="s">
        <v>32</v>
      </c>
      <c r="B90">
        <v>1615</v>
      </c>
      <c r="C90" s="2">
        <v>21498.92</v>
      </c>
      <c r="D90" s="1">
        <v>43754</v>
      </c>
      <c r="E90" t="str">
        <f>"16 667"</f>
        <v>16 667</v>
      </c>
      <c r="F90" s="2">
        <v>8940</v>
      </c>
      <c r="G90" t="str">
        <f>"16 667"</f>
        <v>16 667</v>
      </c>
    </row>
    <row r="91" spans="1:7" x14ac:dyDescent="0.25">
      <c r="E91" t="str">
        <f>"16 667"</f>
        <v>16 667</v>
      </c>
      <c r="F91" s="2">
        <v>5430</v>
      </c>
      <c r="G91" t="str">
        <f>"16 667"</f>
        <v>16 667</v>
      </c>
    </row>
    <row r="92" spans="1:7" x14ac:dyDescent="0.25">
      <c r="E92" t="str">
        <f>"16 639"</f>
        <v>16 639</v>
      </c>
      <c r="F92" s="2">
        <v>400</v>
      </c>
      <c r="G92" t="str">
        <f>"16 639"</f>
        <v>16 639</v>
      </c>
    </row>
    <row r="93" spans="1:7" x14ac:dyDescent="0.25">
      <c r="E93" t="str">
        <f>"1286-335"</f>
        <v>1286-335</v>
      </c>
      <c r="F93" s="2">
        <v>100</v>
      </c>
      <c r="G93" t="str">
        <f>"1286-335"</f>
        <v>1286-335</v>
      </c>
    </row>
    <row r="94" spans="1:7" x14ac:dyDescent="0.25">
      <c r="E94" t="str">
        <f>"20170088A"</f>
        <v>20170088A</v>
      </c>
      <c r="F94" s="2">
        <v>400</v>
      </c>
      <c r="G94" t="str">
        <f>"20170088A"</f>
        <v>20170088A</v>
      </c>
    </row>
    <row r="95" spans="1:7" x14ac:dyDescent="0.25">
      <c r="E95" t="str">
        <f>"16 879"</f>
        <v>16 879</v>
      </c>
      <c r="F95" s="2">
        <v>400</v>
      </c>
      <c r="G95" t="str">
        <f>"16 879"</f>
        <v>16 879</v>
      </c>
    </row>
    <row r="96" spans="1:7" x14ac:dyDescent="0.25">
      <c r="E96" t="str">
        <f>"13 308"</f>
        <v>13 308</v>
      </c>
      <c r="F96" s="2">
        <v>525</v>
      </c>
      <c r="G96" t="str">
        <f>"13 308"</f>
        <v>13 308</v>
      </c>
    </row>
    <row r="97" spans="5:7" x14ac:dyDescent="0.25">
      <c r="E97" t="str">
        <f>"19-19597"</f>
        <v>19-19597</v>
      </c>
      <c r="F97" s="2">
        <v>465</v>
      </c>
      <c r="G97" t="str">
        <f>"19-19597"</f>
        <v>19-19597</v>
      </c>
    </row>
    <row r="98" spans="5:7" x14ac:dyDescent="0.25">
      <c r="E98" t="str">
        <f>"19-19711"</f>
        <v>19-19711</v>
      </c>
      <c r="F98" s="2">
        <v>440</v>
      </c>
      <c r="G98" t="str">
        <f>"19-19711"</f>
        <v>19-19711</v>
      </c>
    </row>
    <row r="99" spans="5:7" x14ac:dyDescent="0.25">
      <c r="E99" t="str">
        <f>"19-19768"</f>
        <v>19-19768</v>
      </c>
      <c r="F99" s="2">
        <v>497.5</v>
      </c>
      <c r="G99" t="str">
        <f>"19-19768"</f>
        <v>19-19768</v>
      </c>
    </row>
    <row r="100" spans="5:7" x14ac:dyDescent="0.25">
      <c r="E100" t="str">
        <f>"15-17399"</f>
        <v>15-17399</v>
      </c>
      <c r="F100" s="2">
        <v>247.5</v>
      </c>
      <c r="G100" t="str">
        <f>"15-17399"</f>
        <v>15-17399</v>
      </c>
    </row>
    <row r="101" spans="5:7" x14ac:dyDescent="0.25">
      <c r="E101" t="str">
        <f>"19-19827"</f>
        <v>19-19827</v>
      </c>
      <c r="F101" s="2">
        <v>331.42</v>
      </c>
      <c r="G101" t="str">
        <f>"19-19827"</f>
        <v>19-19827</v>
      </c>
    </row>
    <row r="102" spans="5:7" x14ac:dyDescent="0.25">
      <c r="E102" t="str">
        <f>"18-19240"</f>
        <v>18-19240</v>
      </c>
      <c r="F102" s="2">
        <v>250</v>
      </c>
      <c r="G102" t="str">
        <f>"18-19240"</f>
        <v>18-19240</v>
      </c>
    </row>
    <row r="103" spans="5:7" x14ac:dyDescent="0.25">
      <c r="E103" t="str">
        <f>"14-16896"</f>
        <v>14-16896</v>
      </c>
      <c r="F103" s="2">
        <v>60</v>
      </c>
      <c r="G103" t="str">
        <f>"14-16896"</f>
        <v>14-16896</v>
      </c>
    </row>
    <row r="104" spans="5:7" x14ac:dyDescent="0.25">
      <c r="E104" t="str">
        <f>"19-19679"</f>
        <v>19-19679</v>
      </c>
      <c r="F104" s="2">
        <v>167.5</v>
      </c>
      <c r="G104" t="str">
        <f>"19-19679"</f>
        <v>19-19679</v>
      </c>
    </row>
    <row r="105" spans="5:7" x14ac:dyDescent="0.25">
      <c r="E105" t="str">
        <f>"19-19857"</f>
        <v>19-19857</v>
      </c>
      <c r="F105" s="2">
        <v>100</v>
      </c>
      <c r="G105" t="str">
        <f>"19-19857"</f>
        <v>19-19857</v>
      </c>
    </row>
    <row r="106" spans="5:7" x14ac:dyDescent="0.25">
      <c r="E106" t="str">
        <f>"19-19847"</f>
        <v>19-19847</v>
      </c>
      <c r="F106" s="2">
        <v>100</v>
      </c>
      <c r="G106" t="str">
        <f>"19-19847"</f>
        <v>19-19847</v>
      </c>
    </row>
    <row r="107" spans="5:7" x14ac:dyDescent="0.25">
      <c r="E107" t="str">
        <f>"NO CAUSE # LISTED"</f>
        <v>NO CAUSE # LISTED</v>
      </c>
      <c r="F107" s="2">
        <v>100</v>
      </c>
      <c r="G107" t="str">
        <f>"NO CAUSE # LISTED"</f>
        <v>NO CAUSE # LISTED</v>
      </c>
    </row>
    <row r="108" spans="5:7" x14ac:dyDescent="0.25">
      <c r="E108" t="str">
        <f>"NO CAUSE # LISTED"</f>
        <v>NO CAUSE # LISTED</v>
      </c>
      <c r="F108" s="2">
        <v>100</v>
      </c>
      <c r="G108" t="str">
        <f>"NO CAUSE # LISTED"</f>
        <v>NO CAUSE # LISTED</v>
      </c>
    </row>
    <row r="109" spans="5:7" x14ac:dyDescent="0.25">
      <c r="E109" t="str">
        <f>"56 268"</f>
        <v>56 268</v>
      </c>
      <c r="F109" s="2">
        <v>250</v>
      </c>
      <c r="G109" t="str">
        <f>"56 268"</f>
        <v>56 268</v>
      </c>
    </row>
    <row r="110" spans="5:7" x14ac:dyDescent="0.25">
      <c r="E110" t="str">
        <f>"55 578  55 579"</f>
        <v>55 578  55 579</v>
      </c>
      <c r="F110" s="2">
        <v>375</v>
      </c>
      <c r="G110" t="str">
        <f>"55 578  55 579"</f>
        <v>55 578  55 579</v>
      </c>
    </row>
    <row r="111" spans="5:7" x14ac:dyDescent="0.25">
      <c r="E111" t="str">
        <f>"56 817"</f>
        <v>56 817</v>
      </c>
      <c r="F111" s="2">
        <v>250</v>
      </c>
      <c r="G111" t="str">
        <f>"56 817"</f>
        <v>56 817</v>
      </c>
    </row>
    <row r="112" spans="5:7" x14ac:dyDescent="0.25">
      <c r="E112" t="str">
        <f>"02-0304-3"</f>
        <v>02-0304-3</v>
      </c>
      <c r="F112" s="2">
        <v>125</v>
      </c>
      <c r="G112" t="str">
        <f>"02-0304-3"</f>
        <v>02-0304-3</v>
      </c>
    </row>
    <row r="113" spans="1:7" x14ac:dyDescent="0.25">
      <c r="E113" t="str">
        <f>"JP107042019E"</f>
        <v>JP107042019E</v>
      </c>
      <c r="F113" s="2">
        <v>250</v>
      </c>
      <c r="G113" t="str">
        <f>"JP107042019E"</f>
        <v>JP107042019E</v>
      </c>
    </row>
    <row r="114" spans="1:7" x14ac:dyDescent="0.25">
      <c r="E114" t="str">
        <f>"NO CAUSE # LISTED"</f>
        <v>NO CAUSE # LISTED</v>
      </c>
      <c r="F114" s="2">
        <v>100</v>
      </c>
      <c r="G114" t="str">
        <f>"NO CAUSE # LISTED"</f>
        <v>NO CAUSE # LISTED</v>
      </c>
    </row>
    <row r="115" spans="1:7" x14ac:dyDescent="0.25">
      <c r="E115" t="str">
        <f>"J-3169  J-3199"</f>
        <v>J-3169  J-3199</v>
      </c>
      <c r="F115" s="2">
        <v>375</v>
      </c>
      <c r="G115" t="str">
        <f>"J-3169  J-3199"</f>
        <v>J-3169  J-3199</v>
      </c>
    </row>
    <row r="116" spans="1:7" x14ac:dyDescent="0.25">
      <c r="E116" t="str">
        <f>"J-3167"</f>
        <v>J-3167</v>
      </c>
      <c r="F116" s="2">
        <v>250</v>
      </c>
      <c r="G116" t="str">
        <f>"J-3167"</f>
        <v>J-3167</v>
      </c>
    </row>
    <row r="117" spans="1:7" x14ac:dyDescent="0.25">
      <c r="E117" t="str">
        <f>"18-18974"</f>
        <v>18-18974</v>
      </c>
      <c r="F117" s="2">
        <v>100</v>
      </c>
      <c r="G117" t="str">
        <f>"18-18974"</f>
        <v>18-18974</v>
      </c>
    </row>
    <row r="118" spans="1:7" x14ac:dyDescent="0.25">
      <c r="E118" t="str">
        <f>"56 564  56 497"</f>
        <v>56 564  56 497</v>
      </c>
      <c r="F118" s="2">
        <v>270</v>
      </c>
      <c r="G118" t="str">
        <f>"56 564  56 497"</f>
        <v>56 564  56 497</v>
      </c>
    </row>
    <row r="119" spans="1:7" x14ac:dyDescent="0.25">
      <c r="E119" t="str">
        <f>"NO CAUSE # LISTED"</f>
        <v>NO CAUSE # LISTED</v>
      </c>
      <c r="F119" s="2">
        <v>100</v>
      </c>
      <c r="G119" t="str">
        <f>"NO CAUSE # LISTED"</f>
        <v>NO CAUSE # LISTED</v>
      </c>
    </row>
    <row r="120" spans="1:7" x14ac:dyDescent="0.25">
      <c r="A120" t="s">
        <v>33</v>
      </c>
      <c r="B120">
        <v>84173</v>
      </c>
      <c r="C120" s="2">
        <v>72.849999999999994</v>
      </c>
      <c r="D120" s="1">
        <v>43753</v>
      </c>
      <c r="E120" t="str">
        <f>"ACCT#3-3053/PCT#2"</f>
        <v>ACCT#3-3053/PCT#2</v>
      </c>
      <c r="F120" s="2">
        <v>72.849999999999994</v>
      </c>
      <c r="G120" t="str">
        <f>"ACCT#3-3053/PCT#2"</f>
        <v>ACCT#3-3053/PCT#2</v>
      </c>
    </row>
    <row r="121" spans="1:7" x14ac:dyDescent="0.25">
      <c r="A121" t="s">
        <v>34</v>
      </c>
      <c r="B121">
        <v>84174</v>
      </c>
      <c r="C121" s="2">
        <v>782.18</v>
      </c>
      <c r="D121" s="1">
        <v>43753</v>
      </c>
      <c r="E121" t="str">
        <f>"ACCT#015476/PURCHASING DEPT"</f>
        <v>ACCT#015476/PURCHASING DEPT</v>
      </c>
      <c r="F121" s="2">
        <v>10.49</v>
      </c>
      <c r="G121" t="str">
        <f>"ACCT#015476/PURCHASING DEPT"</f>
        <v>ACCT#015476/PURCHASING DEPT</v>
      </c>
    </row>
    <row r="122" spans="1:7" x14ac:dyDescent="0.25">
      <c r="E122" t="str">
        <f>"ACCT#010238/GENERAL SVCS"</f>
        <v>ACCT#010238/GENERAL SVCS</v>
      </c>
      <c r="F122" s="2">
        <v>87.24</v>
      </c>
      <c r="G122" t="str">
        <f>"ACCT#010238/GENERAL SVCS"</f>
        <v>ACCT#010238/GENERAL SVCS</v>
      </c>
    </row>
    <row r="123" spans="1:7" x14ac:dyDescent="0.25">
      <c r="E123" t="str">
        <f>"ACCT#011955/COUNTY DIST JUDGE"</f>
        <v>ACCT#011955/COUNTY DIST JUDGE</v>
      </c>
      <c r="F123" s="2">
        <v>63</v>
      </c>
      <c r="G123" t="str">
        <f>"ACCT#011955/COUNTY DIST JUDGE"</f>
        <v>ACCT#011955/COUNTY DIST JUDGE</v>
      </c>
    </row>
    <row r="124" spans="1:7" x14ac:dyDescent="0.25">
      <c r="E124" t="str">
        <f>"ACCT#012231/DIST JUDGE OFFICE"</f>
        <v>ACCT#012231/DIST JUDGE OFFICE</v>
      </c>
      <c r="F124" s="2">
        <v>10</v>
      </c>
      <c r="G124" t="str">
        <f>"ACCT#012231/DIST JUDGE OFFICE"</f>
        <v>ACCT#012231/DIST JUDGE OFFICE</v>
      </c>
    </row>
    <row r="125" spans="1:7" x14ac:dyDescent="0.25">
      <c r="E125" t="str">
        <f>"ACCT#010057/AUDITOR"</f>
        <v>ACCT#010057/AUDITOR</v>
      </c>
      <c r="F125" s="2">
        <v>39</v>
      </c>
      <c r="G125" t="str">
        <f>"ACCT#010057/AUDITOR"</f>
        <v>ACCT#010057/AUDITOR</v>
      </c>
    </row>
    <row r="126" spans="1:7" x14ac:dyDescent="0.25">
      <c r="E126" t="str">
        <f>"ACCT#011280/COUNTY CLERK"</f>
        <v>ACCT#011280/COUNTY CLERK</v>
      </c>
      <c r="F126" s="2">
        <v>54</v>
      </c>
      <c r="G126" t="str">
        <f>"ACCT#011280/COUNTY CLERK"</f>
        <v>ACCT#011280/COUNTY CLERK</v>
      </c>
    </row>
    <row r="127" spans="1:7" x14ac:dyDescent="0.25">
      <c r="E127" t="str">
        <f>"ACCT#014877/INDIGENT HEALTH"</f>
        <v>ACCT#014877/INDIGENT HEALTH</v>
      </c>
      <c r="F127" s="2">
        <v>41.99</v>
      </c>
      <c r="G127" t="str">
        <f>"ACCT#014877/INDIGENT HEALTH"</f>
        <v>ACCT#014877/INDIGENT HEALTH</v>
      </c>
    </row>
    <row r="128" spans="1:7" x14ac:dyDescent="0.25">
      <c r="E128" t="str">
        <f>"ACCT#012260/DISTRICT ATTORNEY"</f>
        <v>ACCT#012260/DISTRICT ATTORNEY</v>
      </c>
      <c r="F128" s="2">
        <v>67.5</v>
      </c>
      <c r="G128" t="str">
        <f>"ACCT#012260/DISTRICT ATTORNEY"</f>
        <v>ACCT#012260/DISTRICT ATTORNEY</v>
      </c>
    </row>
    <row r="129" spans="1:7" x14ac:dyDescent="0.25">
      <c r="E129" t="str">
        <f>"ACCT#010311/COUNTY CT AT LAW"</f>
        <v>ACCT#010311/COUNTY CT AT LAW</v>
      </c>
      <c r="F129" s="2">
        <v>3</v>
      </c>
      <c r="G129" t="str">
        <f>"ACCT#010311/COUNTY CT AT LAW"</f>
        <v>ACCT#010311/COUNTY CT AT LAW</v>
      </c>
    </row>
    <row r="130" spans="1:7" x14ac:dyDescent="0.25">
      <c r="E130" t="str">
        <f>"ACCT#012571/TREASURER"</f>
        <v>ACCT#012571/TREASURER</v>
      </c>
      <c r="F130" s="2">
        <v>54</v>
      </c>
      <c r="G130" t="str">
        <f>"ACCT#012571/TREASURER"</f>
        <v>ACCT#012571/TREASURER</v>
      </c>
    </row>
    <row r="131" spans="1:7" x14ac:dyDescent="0.25">
      <c r="E131" t="str">
        <f>"ACCT#013393/HUMAN RESOURCES"</f>
        <v>ACCT#013393/HUMAN RESOURCES</v>
      </c>
      <c r="F131" s="2">
        <v>25</v>
      </c>
      <c r="G131" t="str">
        <f>"ACCT#013393/HUMAN RESOURCES"</f>
        <v>ACCT#013393/HUMAN RESOURCES</v>
      </c>
    </row>
    <row r="132" spans="1:7" x14ac:dyDescent="0.25">
      <c r="E132" t="str">
        <f>"ACCT#012259/DISTRICT CLERK"</f>
        <v>ACCT#012259/DISTRICT CLERK</v>
      </c>
      <c r="F132" s="2">
        <v>132</v>
      </c>
      <c r="G132" t="str">
        <f>"ACCT#012259/DISTRICT CLERK"</f>
        <v>ACCT#012259/DISTRICT CLERK</v>
      </c>
    </row>
    <row r="133" spans="1:7" x14ac:dyDescent="0.25">
      <c r="E133" t="str">
        <f>"ACCT#010149/AGRI LIVE EXT"</f>
        <v>ACCT#010149/AGRI LIVE EXT</v>
      </c>
      <c r="F133" s="2">
        <v>20.49</v>
      </c>
      <c r="G133" t="str">
        <f>"ACCT#010149/AGRI LIVE EXT"</f>
        <v>ACCT#010149/AGRI LIVE EXT</v>
      </c>
    </row>
    <row r="134" spans="1:7" x14ac:dyDescent="0.25">
      <c r="E134" t="str">
        <f>"ACCT#010602/COMMISSIONER OFF"</f>
        <v>ACCT#010602/COMMISSIONER OFF</v>
      </c>
      <c r="F134" s="2">
        <v>39</v>
      </c>
      <c r="G134" t="str">
        <f>"ACCT#010602/COMMISSIONER OFF"</f>
        <v>ACCT#010602/COMMISSIONER OFF</v>
      </c>
    </row>
    <row r="135" spans="1:7" x14ac:dyDescent="0.25">
      <c r="E135" t="str">
        <f>"ACCT#015199/JP#1"</f>
        <v>ACCT#015199/JP#1</v>
      </c>
      <c r="F135" s="2">
        <v>19.489999999999998</v>
      </c>
      <c r="G135" t="str">
        <f>"ACCT#015199/JP#1"</f>
        <v>ACCT#015199/JP#1</v>
      </c>
    </row>
    <row r="136" spans="1:7" x14ac:dyDescent="0.25">
      <c r="E136" t="str">
        <f>"ACCT#010835/COMMISSIONERS PCT1"</f>
        <v>ACCT#010835/COMMISSIONERS PCT1</v>
      </c>
      <c r="F136" s="2">
        <v>8.99</v>
      </c>
      <c r="G136" t="str">
        <f>"ACCT#010835/COMMISSIONERS PCT1"</f>
        <v>ACCT#010835/COMMISSIONERS PCT1</v>
      </c>
    </row>
    <row r="137" spans="1:7" x14ac:dyDescent="0.25">
      <c r="E137" t="str">
        <f>"ACCT#014737/ANIMAL SERVICE"</f>
        <v>ACCT#014737/ANIMAL SERVICE</v>
      </c>
      <c r="F137" s="2">
        <v>82.99</v>
      </c>
      <c r="G137" t="str">
        <f>"ACCT#014737/ANIMAL SERVICE"</f>
        <v>ACCT#014737/ANIMAL SERVICE</v>
      </c>
    </row>
    <row r="138" spans="1:7" x14ac:dyDescent="0.25">
      <c r="E138" t="str">
        <f>"ACCT#012803/BASTROP CO JUDGE"</f>
        <v>ACCT#012803/BASTROP CO JUDGE</v>
      </c>
      <c r="F138" s="2">
        <v>24</v>
      </c>
      <c r="G138" t="str">
        <f>"ACCT#012803/BASTROP CO JUDGE"</f>
        <v>ACCT#012803/BASTROP CO JUDGE</v>
      </c>
    </row>
    <row r="139" spans="1:7" x14ac:dyDescent="0.25">
      <c r="A139" t="s">
        <v>35</v>
      </c>
      <c r="B139">
        <v>84156</v>
      </c>
      <c r="C139" s="2">
        <v>56.36</v>
      </c>
      <c r="D139" s="1">
        <v>43742</v>
      </c>
      <c r="E139" t="str">
        <f>"ACCT#0201855301 / 10052019"</f>
        <v>ACCT#0201855301 / 10052019</v>
      </c>
      <c r="F139" s="2">
        <v>31.08</v>
      </c>
      <c r="G139" t="str">
        <f>"ACCT#0201855301 / 10052019"</f>
        <v>ACCT#0201855301 / 10052019</v>
      </c>
    </row>
    <row r="140" spans="1:7" x14ac:dyDescent="0.25">
      <c r="E140" t="str">
        <f>"ACCT#0201891401 / 10052019"</f>
        <v>ACCT#0201891401 / 10052019</v>
      </c>
      <c r="F140" s="2">
        <v>25.28</v>
      </c>
      <c r="G140" t="str">
        <f>"ACCT#0201891401 / 10052019"</f>
        <v>ACCT#0201891401 / 10052019</v>
      </c>
    </row>
    <row r="141" spans="1:7" x14ac:dyDescent="0.25">
      <c r="A141" t="s">
        <v>35</v>
      </c>
      <c r="B141">
        <v>84175</v>
      </c>
      <c r="C141" s="2">
        <v>2452.31</v>
      </c>
      <c r="D141" s="1">
        <v>43753</v>
      </c>
      <c r="E141" t="str">
        <f>"ACCT#7700010026/121 LDS WATER"</f>
        <v>ACCT#7700010026/121 LDS WATER</v>
      </c>
      <c r="F141" s="2">
        <v>1240.25</v>
      </c>
      <c r="G141" t="str">
        <f>"ACCT#7700010026/121 LDS WATER"</f>
        <v>ACCT#7700010026/121 LDS WATER</v>
      </c>
    </row>
    <row r="142" spans="1:7" x14ac:dyDescent="0.25">
      <c r="E142" t="str">
        <f>"ACCT#7700010027/20 LDS WATER"</f>
        <v>ACCT#7700010027/20 LDS WATER</v>
      </c>
      <c r="F142" s="2">
        <v>205</v>
      </c>
      <c r="G142" t="str">
        <f>"ACCT#7700010027/20 LDS WATER"</f>
        <v>ACCT#7700010027/20 LDS WATER</v>
      </c>
    </row>
    <row r="143" spans="1:7" x14ac:dyDescent="0.25">
      <c r="E143" t="str">
        <f>"ACCT#7700010019/14 500 GALLONS"</f>
        <v>ACCT#7700010019/14 500 GALLONS</v>
      </c>
      <c r="F143" s="2">
        <v>74.31</v>
      </c>
      <c r="G143" t="str">
        <f>"ACCT#7700010019/14 500 GALLONS"</f>
        <v>ACCT#7700010019/14 500 GALLONS</v>
      </c>
    </row>
    <row r="144" spans="1:7" x14ac:dyDescent="0.25">
      <c r="E144" t="str">
        <f>"ACCT#7700010025/91LDS WATER/P2"</f>
        <v>ACCT#7700010025/91LDS WATER/P2</v>
      </c>
      <c r="F144" s="2">
        <v>932.75</v>
      </c>
      <c r="G144" t="str">
        <f>"ACCT#7700010025/91LDS WATER/P2"</f>
        <v>ACCT#7700010025/91LDS WATER/P2</v>
      </c>
    </row>
    <row r="145" spans="1:8" x14ac:dyDescent="0.25">
      <c r="A145" t="s">
        <v>35</v>
      </c>
      <c r="B145">
        <v>84399</v>
      </c>
      <c r="C145" s="2">
        <v>480</v>
      </c>
      <c r="D145" s="1">
        <v>43755</v>
      </c>
      <c r="E145" t="str">
        <f>"installation fee for ston"</f>
        <v>installation fee for ston</v>
      </c>
      <c r="F145" s="2">
        <v>480</v>
      </c>
      <c r="G145" t="str">
        <f>"payment"</f>
        <v>payment</v>
      </c>
    </row>
    <row r="146" spans="1:8" x14ac:dyDescent="0.25">
      <c r="A146" t="s">
        <v>35</v>
      </c>
      <c r="B146">
        <v>84462</v>
      </c>
      <c r="C146" s="2">
        <v>1728.14</v>
      </c>
      <c r="D146" s="1">
        <v>43761</v>
      </c>
      <c r="E146" t="str">
        <f>"ACCT#0102120801 / 10202019"</f>
        <v>ACCT#0102120801 / 10202019</v>
      </c>
      <c r="F146" s="2">
        <v>663.58</v>
      </c>
      <c r="G146" t="str">
        <f>"ACCT#0102120801 / 10202019"</f>
        <v>ACCT#0102120801 / 10202019</v>
      </c>
    </row>
    <row r="147" spans="1:8" x14ac:dyDescent="0.25">
      <c r="E147" t="str">
        <f>"ACCT#0400785803 / 10202019"</f>
        <v>ACCT#0400785803 / 10202019</v>
      </c>
      <c r="F147" s="2">
        <v>178.41</v>
      </c>
      <c r="G147" t="str">
        <f>"ACCT#0400785803 / 10202019"</f>
        <v>ACCT#0400785803 / 10202019</v>
      </c>
    </row>
    <row r="148" spans="1:8" x14ac:dyDescent="0.25">
      <c r="E148" t="str">
        <f>"ACCT#0401408501 / 10202019"</f>
        <v>ACCT#0401408501 / 10202019</v>
      </c>
      <c r="F148" s="2">
        <v>840.76</v>
      </c>
      <c r="G148" t="str">
        <f>"ACCT#0401408501 / 10202019"</f>
        <v>ACCT#0401408501 / 10202019</v>
      </c>
    </row>
    <row r="149" spans="1:8" x14ac:dyDescent="0.25">
      <c r="E149" t="str">
        <f>"ACCT#0800042801 / 10202019"</f>
        <v>ACCT#0800042801 / 10202019</v>
      </c>
      <c r="F149" s="2">
        <v>45.39</v>
      </c>
      <c r="G149" t="str">
        <f>"ACCT#0800042801 / 10202019"</f>
        <v>ACCT#0800042801 / 10202019</v>
      </c>
    </row>
    <row r="150" spans="1:8" x14ac:dyDescent="0.25">
      <c r="A150" t="s">
        <v>36</v>
      </c>
      <c r="B150">
        <v>84176</v>
      </c>
      <c r="C150" s="2">
        <v>1000</v>
      </c>
      <c r="D150" s="1">
        <v>43753</v>
      </c>
      <c r="E150" t="str">
        <f>"inv# 1814.11"</f>
        <v>inv# 1814.11</v>
      </c>
      <c r="F150" s="2">
        <v>1000</v>
      </c>
      <c r="G150" t="str">
        <f>"inv# 1814.11"</f>
        <v>inv# 1814.11</v>
      </c>
    </row>
    <row r="151" spans="1:8" x14ac:dyDescent="0.25">
      <c r="A151" t="s">
        <v>37</v>
      </c>
      <c r="B151">
        <v>84177</v>
      </c>
      <c r="C151" s="2">
        <v>2388</v>
      </c>
      <c r="D151" s="1">
        <v>43753</v>
      </c>
      <c r="E151" t="str">
        <f>"INVOICE # 8772"</f>
        <v>INVOICE # 8772</v>
      </c>
      <c r="F151" s="2">
        <v>2388</v>
      </c>
      <c r="G151" t="str">
        <f>"Archive - Economy -"</f>
        <v>Archive - Economy -</v>
      </c>
    </row>
    <row r="152" spans="1:8" x14ac:dyDescent="0.25">
      <c r="A152" t="s">
        <v>38</v>
      </c>
      <c r="B152">
        <v>84178</v>
      </c>
      <c r="C152" s="2">
        <v>84</v>
      </c>
      <c r="D152" s="1">
        <v>43753</v>
      </c>
      <c r="E152" t="s">
        <v>39</v>
      </c>
      <c r="F152" s="2" t="str">
        <f>"OVERPAYMENT"</f>
        <v>OVERPAYMENT</v>
      </c>
      <c r="G152" t="str">
        <f>"341-7000"</f>
        <v>341-7000</v>
      </c>
      <c r="H152" t="str">
        <f>""</f>
        <v/>
      </c>
    </row>
    <row r="153" spans="1:8" x14ac:dyDescent="0.25">
      <c r="A153" t="s">
        <v>40</v>
      </c>
      <c r="B153">
        <v>84179</v>
      </c>
      <c r="C153" s="2">
        <v>3676.91</v>
      </c>
      <c r="D153" s="1">
        <v>43753</v>
      </c>
      <c r="E153" t="str">
        <f>"CUST ID:16500/STATEMENT#362704"</f>
        <v>CUST ID:16500/STATEMENT#362704</v>
      </c>
      <c r="F153" s="2">
        <v>3676.91</v>
      </c>
      <c r="G153" t="str">
        <f>"CUST ID:16500/STATEMENT#362704"</f>
        <v>CUST ID:16500/STATEMENT#362704</v>
      </c>
    </row>
    <row r="154" spans="1:8" x14ac:dyDescent="0.25">
      <c r="A154" t="s">
        <v>41</v>
      </c>
      <c r="B154">
        <v>1642</v>
      </c>
      <c r="C154" s="2">
        <v>3982.21</v>
      </c>
      <c r="D154" s="1">
        <v>43767</v>
      </c>
      <c r="E154" t="str">
        <f>"PROJ:BC SEPT ADV"</f>
        <v>PROJ:BC SEPT ADV</v>
      </c>
      <c r="F154" s="2">
        <v>3307.21</v>
      </c>
      <c r="G154" t="str">
        <f>"PROJ:BC SEPT ADV"</f>
        <v>PROJ:BC SEPT ADV</v>
      </c>
    </row>
    <row r="155" spans="1:8" x14ac:dyDescent="0.25">
      <c r="E155" t="str">
        <f>"PROJ:BC SEPT PRO SERV"</f>
        <v>PROJ:BC SEPT PRO SERV</v>
      </c>
      <c r="F155" s="2">
        <v>675</v>
      </c>
      <c r="G155" t="str">
        <f>"PROJ:BC SEPT PRO SERV"</f>
        <v>PROJ:BC SEPT PRO SERV</v>
      </c>
    </row>
    <row r="156" spans="1:8" x14ac:dyDescent="0.25">
      <c r="A156" t="s">
        <v>42</v>
      </c>
      <c r="B156">
        <v>84180</v>
      </c>
      <c r="C156" s="2">
        <v>10.78</v>
      </c>
      <c r="D156" s="1">
        <v>43753</v>
      </c>
      <c r="E156" t="str">
        <f>"REIMBURSEMENT"</f>
        <v>REIMBURSEMENT</v>
      </c>
      <c r="F156" s="2">
        <v>10.78</v>
      </c>
      <c r="G156" t="str">
        <f>"REIMBURSEMENT"</f>
        <v>REIMBURSEMENT</v>
      </c>
    </row>
    <row r="157" spans="1:8" x14ac:dyDescent="0.25">
      <c r="A157" t="s">
        <v>43</v>
      </c>
      <c r="B157">
        <v>84181</v>
      </c>
      <c r="C157" s="2">
        <v>68</v>
      </c>
      <c r="D157" s="1">
        <v>43753</v>
      </c>
      <c r="E157" t="s">
        <v>44</v>
      </c>
      <c r="F157" s="2" t="str">
        <f>"OVERPAYMENT"</f>
        <v>OVERPAYMENT</v>
      </c>
      <c r="G157" t="str">
        <f>"341-7000"</f>
        <v>341-7000</v>
      </c>
      <c r="H157" t="str">
        <f>""</f>
        <v/>
      </c>
    </row>
    <row r="158" spans="1:8" x14ac:dyDescent="0.25">
      <c r="A158" t="s">
        <v>45</v>
      </c>
      <c r="B158">
        <v>84182</v>
      </c>
      <c r="C158" s="2">
        <v>6501.42</v>
      </c>
      <c r="D158" s="1">
        <v>43753</v>
      </c>
      <c r="E158" t="str">
        <f>"ACCT#512A49-0048 193 3"</f>
        <v>ACCT#512A49-0048 193 3</v>
      </c>
      <c r="F158" s="2">
        <v>6011.27</v>
      </c>
      <c r="G158" t="str">
        <f>"ACCT#512A49-0048 193 3"</f>
        <v>ACCT#512A49-0048 193 3</v>
      </c>
    </row>
    <row r="159" spans="1:8" x14ac:dyDescent="0.25">
      <c r="E159" t="str">
        <f>""</f>
        <v/>
      </c>
      <c r="G159" t="str">
        <f>"ACCT#512A49-0048 193 3"</f>
        <v>ACCT#512A49-0048 193 3</v>
      </c>
    </row>
    <row r="160" spans="1:8" x14ac:dyDescent="0.25">
      <c r="E160" t="str">
        <f>""</f>
        <v/>
      </c>
      <c r="G160" t="str">
        <f>"ACCT#512A49-0048 193 3"</f>
        <v>ACCT#512A49-0048 193 3</v>
      </c>
    </row>
    <row r="161" spans="1:7" x14ac:dyDescent="0.25">
      <c r="E161" t="str">
        <f>""</f>
        <v/>
      </c>
      <c r="G161" t="str">
        <f>"ACCT#512A49-0048 193 3"</f>
        <v>ACCT#512A49-0048 193 3</v>
      </c>
    </row>
    <row r="162" spans="1:7" x14ac:dyDescent="0.25">
      <c r="E162" t="str">
        <f>"ACCT#512-308-9870 530 7"</f>
        <v>ACCT#512-308-9870 530 7</v>
      </c>
      <c r="F162" s="2">
        <v>490.15</v>
      </c>
      <c r="G162" t="str">
        <f>"ACCT#512-308-9870 530 7"</f>
        <v>ACCT#512-308-9870 530 7</v>
      </c>
    </row>
    <row r="163" spans="1:7" x14ac:dyDescent="0.25">
      <c r="A163" t="s">
        <v>45</v>
      </c>
      <c r="B163">
        <v>84183</v>
      </c>
      <c r="C163" s="2">
        <v>4559.32</v>
      </c>
      <c r="D163" s="1">
        <v>43753</v>
      </c>
      <c r="E163" t="str">
        <f>"ACCT#831-000-7919 623"</f>
        <v>ACCT#831-000-7919 623</v>
      </c>
      <c r="F163" s="2">
        <v>2000.38</v>
      </c>
      <c r="G163" t="str">
        <f>"ACCT#831-000-7919 623"</f>
        <v>ACCT#831-000-7919 623</v>
      </c>
    </row>
    <row r="164" spans="1:7" x14ac:dyDescent="0.25">
      <c r="E164" t="str">
        <f>"ACCT#831-0007218 923"</f>
        <v>ACCT#831-0007218 923</v>
      </c>
      <c r="F164" s="2">
        <v>874.25</v>
      </c>
      <c r="G164" t="str">
        <f>"ACCT#831-0007218 923"</f>
        <v>ACCT#831-0007218 923</v>
      </c>
    </row>
    <row r="165" spans="1:7" x14ac:dyDescent="0.25">
      <c r="E165" t="str">
        <f>"ACCT#831-000-6084-095"</f>
        <v>ACCT#831-000-6084-095</v>
      </c>
      <c r="F165" s="2">
        <v>1684.69</v>
      </c>
      <c r="G165" t="str">
        <f>"ACCT#831-000-6084-095"</f>
        <v>ACCT#831-000-6084-095</v>
      </c>
    </row>
    <row r="166" spans="1:7" x14ac:dyDescent="0.25">
      <c r="A166" t="s">
        <v>45</v>
      </c>
      <c r="B166">
        <v>84483</v>
      </c>
      <c r="C166" s="2">
        <v>1814.61</v>
      </c>
      <c r="D166" s="1">
        <v>43766</v>
      </c>
      <c r="E166" t="str">
        <f>"512 303-1080 238 5"</f>
        <v>512 303-1080 238 5</v>
      </c>
      <c r="F166" s="2">
        <v>1814.61</v>
      </c>
      <c r="G166" t="str">
        <f>"512 303-1080 238 5"</f>
        <v>512 303-1080 238 5</v>
      </c>
    </row>
    <row r="167" spans="1:7" x14ac:dyDescent="0.25">
      <c r="E167" t="str">
        <f>""</f>
        <v/>
      </c>
      <c r="G167" t="str">
        <f>"512 303-1080 238 5"</f>
        <v>512 303-1080 238 5</v>
      </c>
    </row>
    <row r="168" spans="1:7" x14ac:dyDescent="0.25">
      <c r="A168" t="s">
        <v>46</v>
      </c>
      <c r="B168">
        <v>84184</v>
      </c>
      <c r="C168" s="2">
        <v>3969.67</v>
      </c>
      <c r="D168" s="1">
        <v>43753</v>
      </c>
      <c r="E168" t="str">
        <f>"ACCT#287263291654"</f>
        <v>ACCT#287263291654</v>
      </c>
      <c r="F168" s="2">
        <v>1302.67</v>
      </c>
      <c r="G168" t="str">
        <f t="shared" ref="G168:G182" si="0">"ACCT#287263291654"</f>
        <v>ACCT#287263291654</v>
      </c>
    </row>
    <row r="169" spans="1:7" x14ac:dyDescent="0.25">
      <c r="E169" t="str">
        <f>""</f>
        <v/>
      </c>
      <c r="G169" t="str">
        <f t="shared" si="0"/>
        <v>ACCT#287263291654</v>
      </c>
    </row>
    <row r="170" spans="1:7" x14ac:dyDescent="0.25">
      <c r="E170" t="str">
        <f>""</f>
        <v/>
      </c>
      <c r="G170" t="str">
        <f t="shared" si="0"/>
        <v>ACCT#287263291654</v>
      </c>
    </row>
    <row r="171" spans="1:7" x14ac:dyDescent="0.25">
      <c r="E171" t="str">
        <f>""</f>
        <v/>
      </c>
      <c r="G171" t="str">
        <f t="shared" si="0"/>
        <v>ACCT#287263291654</v>
      </c>
    </row>
    <row r="172" spans="1:7" x14ac:dyDescent="0.25">
      <c r="E172" t="str">
        <f>""</f>
        <v/>
      </c>
      <c r="G172" t="str">
        <f t="shared" si="0"/>
        <v>ACCT#287263291654</v>
      </c>
    </row>
    <row r="173" spans="1:7" x14ac:dyDescent="0.25">
      <c r="E173" t="str">
        <f>""</f>
        <v/>
      </c>
      <c r="G173" t="str">
        <f t="shared" si="0"/>
        <v>ACCT#287263291654</v>
      </c>
    </row>
    <row r="174" spans="1:7" x14ac:dyDescent="0.25">
      <c r="E174" t="str">
        <f>""</f>
        <v/>
      </c>
      <c r="G174" t="str">
        <f t="shared" si="0"/>
        <v>ACCT#287263291654</v>
      </c>
    </row>
    <row r="175" spans="1:7" x14ac:dyDescent="0.25">
      <c r="E175" t="str">
        <f>""</f>
        <v/>
      </c>
      <c r="G175" t="str">
        <f t="shared" si="0"/>
        <v>ACCT#287263291654</v>
      </c>
    </row>
    <row r="176" spans="1:7" x14ac:dyDescent="0.25">
      <c r="E176" t="str">
        <f>""</f>
        <v/>
      </c>
      <c r="G176" t="str">
        <f t="shared" si="0"/>
        <v>ACCT#287263291654</v>
      </c>
    </row>
    <row r="177" spans="1:7" x14ac:dyDescent="0.25">
      <c r="E177" t="str">
        <f>""</f>
        <v/>
      </c>
      <c r="G177" t="str">
        <f t="shared" si="0"/>
        <v>ACCT#287263291654</v>
      </c>
    </row>
    <row r="178" spans="1:7" x14ac:dyDescent="0.25">
      <c r="E178" t="str">
        <f>""</f>
        <v/>
      </c>
      <c r="G178" t="str">
        <f t="shared" si="0"/>
        <v>ACCT#287263291654</v>
      </c>
    </row>
    <row r="179" spans="1:7" x14ac:dyDescent="0.25">
      <c r="E179" t="str">
        <f>""</f>
        <v/>
      </c>
      <c r="G179" t="str">
        <f t="shared" si="0"/>
        <v>ACCT#287263291654</v>
      </c>
    </row>
    <row r="180" spans="1:7" x14ac:dyDescent="0.25">
      <c r="E180" t="str">
        <f>""</f>
        <v/>
      </c>
      <c r="G180" t="str">
        <f t="shared" si="0"/>
        <v>ACCT#287263291654</v>
      </c>
    </row>
    <row r="181" spans="1:7" x14ac:dyDescent="0.25">
      <c r="E181" t="str">
        <f>""</f>
        <v/>
      </c>
      <c r="G181" t="str">
        <f t="shared" si="0"/>
        <v>ACCT#287263291654</v>
      </c>
    </row>
    <row r="182" spans="1:7" x14ac:dyDescent="0.25">
      <c r="E182" t="str">
        <f>""</f>
        <v/>
      </c>
      <c r="G182" t="str">
        <f t="shared" si="0"/>
        <v>ACCT#287263291654</v>
      </c>
    </row>
    <row r="183" spans="1:7" x14ac:dyDescent="0.25">
      <c r="E183" t="str">
        <f>"ACCT#287290524359"</f>
        <v>ACCT#287290524359</v>
      </c>
      <c r="F183" s="2">
        <v>2667</v>
      </c>
      <c r="G183" t="str">
        <f t="shared" ref="G183:G188" si="1">"ACCT#287290524359"</f>
        <v>ACCT#287290524359</v>
      </c>
    </row>
    <row r="184" spans="1:7" x14ac:dyDescent="0.25">
      <c r="E184" t="str">
        <f>""</f>
        <v/>
      </c>
      <c r="G184" t="str">
        <f t="shared" si="1"/>
        <v>ACCT#287290524359</v>
      </c>
    </row>
    <row r="185" spans="1:7" x14ac:dyDescent="0.25">
      <c r="E185" t="str">
        <f>""</f>
        <v/>
      </c>
      <c r="G185" t="str">
        <f t="shared" si="1"/>
        <v>ACCT#287290524359</v>
      </c>
    </row>
    <row r="186" spans="1:7" x14ac:dyDescent="0.25">
      <c r="E186" t="str">
        <f>""</f>
        <v/>
      </c>
      <c r="G186" t="str">
        <f t="shared" si="1"/>
        <v>ACCT#287290524359</v>
      </c>
    </row>
    <row r="187" spans="1:7" x14ac:dyDescent="0.25">
      <c r="E187" t="str">
        <f>""</f>
        <v/>
      </c>
      <c r="G187" t="str">
        <f t="shared" si="1"/>
        <v>ACCT#287290524359</v>
      </c>
    </row>
    <row r="188" spans="1:7" x14ac:dyDescent="0.25">
      <c r="E188" t="str">
        <f>""</f>
        <v/>
      </c>
      <c r="G188" t="str">
        <f t="shared" si="1"/>
        <v>ACCT#287290524359</v>
      </c>
    </row>
    <row r="189" spans="1:7" x14ac:dyDescent="0.25">
      <c r="A189" t="s">
        <v>46</v>
      </c>
      <c r="B189">
        <v>84484</v>
      </c>
      <c r="C189" s="2">
        <v>1521.39</v>
      </c>
      <c r="D189" s="1">
        <v>43766</v>
      </c>
      <c r="E189" t="str">
        <f>"ACCT#287263291654"</f>
        <v>ACCT#287263291654</v>
      </c>
      <c r="F189" s="2">
        <v>1302.67</v>
      </c>
      <c r="G189" t="str">
        <f t="shared" ref="G189:G203" si="2">"ACCT#287263291654"</f>
        <v>ACCT#287263291654</v>
      </c>
    </row>
    <row r="190" spans="1:7" x14ac:dyDescent="0.25">
      <c r="E190" t="str">
        <f>""</f>
        <v/>
      </c>
      <c r="G190" t="str">
        <f t="shared" si="2"/>
        <v>ACCT#287263291654</v>
      </c>
    </row>
    <row r="191" spans="1:7" x14ac:dyDescent="0.25">
      <c r="E191" t="str">
        <f>""</f>
        <v/>
      </c>
      <c r="G191" t="str">
        <f t="shared" si="2"/>
        <v>ACCT#287263291654</v>
      </c>
    </row>
    <row r="192" spans="1:7" x14ac:dyDescent="0.25">
      <c r="E192" t="str">
        <f>""</f>
        <v/>
      </c>
      <c r="G192" t="str">
        <f t="shared" si="2"/>
        <v>ACCT#287263291654</v>
      </c>
    </row>
    <row r="193" spans="1:7" x14ac:dyDescent="0.25">
      <c r="E193" t="str">
        <f>""</f>
        <v/>
      </c>
      <c r="G193" t="str">
        <f t="shared" si="2"/>
        <v>ACCT#287263291654</v>
      </c>
    </row>
    <row r="194" spans="1:7" x14ac:dyDescent="0.25">
      <c r="E194" t="str">
        <f>""</f>
        <v/>
      </c>
      <c r="G194" t="str">
        <f t="shared" si="2"/>
        <v>ACCT#287263291654</v>
      </c>
    </row>
    <row r="195" spans="1:7" x14ac:dyDescent="0.25">
      <c r="E195" t="str">
        <f>""</f>
        <v/>
      </c>
      <c r="G195" t="str">
        <f t="shared" si="2"/>
        <v>ACCT#287263291654</v>
      </c>
    </row>
    <row r="196" spans="1:7" x14ac:dyDescent="0.25">
      <c r="E196" t="str">
        <f>""</f>
        <v/>
      </c>
      <c r="G196" t="str">
        <f t="shared" si="2"/>
        <v>ACCT#287263291654</v>
      </c>
    </row>
    <row r="197" spans="1:7" x14ac:dyDescent="0.25">
      <c r="E197" t="str">
        <f>""</f>
        <v/>
      </c>
      <c r="G197" t="str">
        <f t="shared" si="2"/>
        <v>ACCT#287263291654</v>
      </c>
    </row>
    <row r="198" spans="1:7" x14ac:dyDescent="0.25">
      <c r="E198" t="str">
        <f>""</f>
        <v/>
      </c>
      <c r="G198" t="str">
        <f t="shared" si="2"/>
        <v>ACCT#287263291654</v>
      </c>
    </row>
    <row r="199" spans="1:7" x14ac:dyDescent="0.25">
      <c r="E199" t="str">
        <f>""</f>
        <v/>
      </c>
      <c r="G199" t="str">
        <f t="shared" si="2"/>
        <v>ACCT#287263291654</v>
      </c>
    </row>
    <row r="200" spans="1:7" x14ac:dyDescent="0.25">
      <c r="E200" t="str">
        <f>""</f>
        <v/>
      </c>
      <c r="G200" t="str">
        <f t="shared" si="2"/>
        <v>ACCT#287263291654</v>
      </c>
    </row>
    <row r="201" spans="1:7" x14ac:dyDescent="0.25">
      <c r="E201" t="str">
        <f>""</f>
        <v/>
      </c>
      <c r="G201" t="str">
        <f t="shared" si="2"/>
        <v>ACCT#287263291654</v>
      </c>
    </row>
    <row r="202" spans="1:7" x14ac:dyDescent="0.25">
      <c r="E202" t="str">
        <f>""</f>
        <v/>
      </c>
      <c r="G202" t="str">
        <f t="shared" si="2"/>
        <v>ACCT#287263291654</v>
      </c>
    </row>
    <row r="203" spans="1:7" x14ac:dyDescent="0.25">
      <c r="E203" t="str">
        <f>""</f>
        <v/>
      </c>
      <c r="G203" t="str">
        <f t="shared" si="2"/>
        <v>ACCT#287263291654</v>
      </c>
    </row>
    <row r="204" spans="1:7" x14ac:dyDescent="0.25">
      <c r="E204" t="str">
        <f>"INV 287280903541X10202019"</f>
        <v>INV 287280903541X10202019</v>
      </c>
      <c r="F204" s="2">
        <v>218.72</v>
      </c>
      <c r="G204" t="str">
        <f>"INV 287280903541X10202019"</f>
        <v>INV 287280903541X10202019</v>
      </c>
    </row>
    <row r="205" spans="1:7" x14ac:dyDescent="0.25">
      <c r="A205" t="s">
        <v>47</v>
      </c>
      <c r="B205">
        <v>84185</v>
      </c>
      <c r="C205" s="2">
        <v>91.39</v>
      </c>
      <c r="D205" s="1">
        <v>43753</v>
      </c>
      <c r="E205" t="str">
        <f>"ACCT#826392401"</f>
        <v>ACCT#826392401</v>
      </c>
      <c r="F205" s="2">
        <v>91.39</v>
      </c>
      <c r="G205" t="str">
        <f>"ACCT#826392401"</f>
        <v>ACCT#826392401</v>
      </c>
    </row>
    <row r="206" spans="1:7" x14ac:dyDescent="0.25">
      <c r="A206" t="s">
        <v>48</v>
      </c>
      <c r="B206">
        <v>84186</v>
      </c>
      <c r="C206" s="2">
        <v>2489.69</v>
      </c>
      <c r="D206" s="1">
        <v>43753</v>
      </c>
      <c r="E206" t="str">
        <f>"ad# 454991 480579"</f>
        <v>ad# 454991 480579</v>
      </c>
      <c r="F206" s="2">
        <v>773.91</v>
      </c>
      <c r="G206" t="str">
        <f>"ad# 454991"</f>
        <v>ad# 454991</v>
      </c>
    </row>
    <row r="207" spans="1:7" x14ac:dyDescent="0.25">
      <c r="E207" t="str">
        <f>""</f>
        <v/>
      </c>
      <c r="G207" t="str">
        <f>"ad# 480579"</f>
        <v>ad# 480579</v>
      </c>
    </row>
    <row r="208" spans="1:7" x14ac:dyDescent="0.25">
      <c r="E208" t="str">
        <f>"AD# 512329"</f>
        <v>AD# 512329</v>
      </c>
      <c r="F208" s="2">
        <v>359.68</v>
      </c>
      <c r="G208" t="str">
        <f>"Amount"</f>
        <v>Amount</v>
      </c>
    </row>
    <row r="209" spans="1:7" x14ac:dyDescent="0.25">
      <c r="E209" t="str">
        <f>"TxCDBG - Intent to Submit"</f>
        <v>TxCDBG - Intent to Submit</v>
      </c>
      <c r="F209" s="2">
        <v>399.28</v>
      </c>
      <c r="G209" t="str">
        <f>"TxCDBG - Intent to Submit"</f>
        <v>TxCDBG - Intent to Submit</v>
      </c>
    </row>
    <row r="210" spans="1:7" x14ac:dyDescent="0.25">
      <c r="E210" t="str">
        <f>"Public Notice FMAG-5116"</f>
        <v>Public Notice FMAG-5116</v>
      </c>
      <c r="F210" s="2">
        <v>956.82</v>
      </c>
      <c r="G210" t="str">
        <f>"Ad #0000509353"</f>
        <v>Ad #0000509353</v>
      </c>
    </row>
    <row r="211" spans="1:7" x14ac:dyDescent="0.25">
      <c r="A211" t="s">
        <v>48</v>
      </c>
      <c r="B211">
        <v>84485</v>
      </c>
      <c r="C211" s="2">
        <v>727.75</v>
      </c>
      <c r="D211" s="1">
        <v>43766</v>
      </c>
      <c r="E211" t="str">
        <f>"ad# 516232"</f>
        <v>ad# 516232</v>
      </c>
      <c r="F211" s="2">
        <v>185.66</v>
      </c>
      <c r="G211" t="str">
        <f>"ad# 516232"</f>
        <v>ad# 516232</v>
      </c>
    </row>
    <row r="212" spans="1:7" x14ac:dyDescent="0.25">
      <c r="E212" t="str">
        <f>"ad# 516232"</f>
        <v>ad# 516232</v>
      </c>
      <c r="F212" s="2">
        <v>185.33</v>
      </c>
      <c r="G212" t="str">
        <f>"ad# 516232"</f>
        <v>ad# 516232</v>
      </c>
    </row>
    <row r="213" spans="1:7" x14ac:dyDescent="0.25">
      <c r="E213" t="str">
        <f>"ad #517726"</f>
        <v>ad #517726</v>
      </c>
      <c r="F213" s="2">
        <v>356.76</v>
      </c>
      <c r="G213" t="str">
        <f>"ad #517726"</f>
        <v>ad #517726</v>
      </c>
    </row>
    <row r="214" spans="1:7" x14ac:dyDescent="0.25">
      <c r="A214" t="s">
        <v>49</v>
      </c>
      <c r="B214">
        <v>84187</v>
      </c>
      <c r="C214" s="2">
        <v>510</v>
      </c>
      <c r="D214" s="1">
        <v>43753</v>
      </c>
      <c r="E214" t="str">
        <f>"ASBESTOS SURVEY/SAMPLE/LAB"</f>
        <v>ASBESTOS SURVEY/SAMPLE/LAB</v>
      </c>
      <c r="F214" s="2">
        <v>510</v>
      </c>
      <c r="G214" t="str">
        <f>"ASBESTOS SURVEY/SAMPLE/LAB"</f>
        <v>ASBESTOS SURVEY/SAMPLE/LAB</v>
      </c>
    </row>
    <row r="215" spans="1:7" x14ac:dyDescent="0.25">
      <c r="A215" t="s">
        <v>50</v>
      </c>
      <c r="B215">
        <v>1684</v>
      </c>
      <c r="C215" s="2">
        <v>33.270000000000003</v>
      </c>
      <c r="D215" s="1">
        <v>43767</v>
      </c>
      <c r="E215" t="str">
        <f>"INDIGENT HEALTH"</f>
        <v>INDIGENT HEALTH</v>
      </c>
      <c r="F215" s="2">
        <v>33.270000000000003</v>
      </c>
      <c r="G215" t="str">
        <f>"INDIGENT HEALTH"</f>
        <v>INDIGENT HEALTH</v>
      </c>
    </row>
    <row r="216" spans="1:7" x14ac:dyDescent="0.25">
      <c r="A216" t="s">
        <v>51</v>
      </c>
      <c r="B216">
        <v>84188</v>
      </c>
      <c r="C216" s="2">
        <v>64.94</v>
      </c>
      <c r="D216" s="1">
        <v>43753</v>
      </c>
      <c r="E216" t="str">
        <f>"CUST#7627/REF#317913/PCT#4"</f>
        <v>CUST#7627/REF#317913/PCT#4</v>
      </c>
      <c r="F216" s="2">
        <v>64.94</v>
      </c>
      <c r="G216" t="str">
        <f>"CUST#7627/REF#317913/PCT#4"</f>
        <v>CUST#7627/REF#317913/PCT#4</v>
      </c>
    </row>
    <row r="217" spans="1:7" x14ac:dyDescent="0.25">
      <c r="A217" t="s">
        <v>52</v>
      </c>
      <c r="B217">
        <v>84486</v>
      </c>
      <c r="C217" s="2">
        <v>707.82</v>
      </c>
      <c r="D217" s="1">
        <v>43766</v>
      </c>
      <c r="E217" t="str">
        <f>"INDIGENT HEALTH"</f>
        <v>INDIGENT HEALTH</v>
      </c>
      <c r="F217" s="2">
        <v>707.82</v>
      </c>
      <c r="G217" t="str">
        <f>"INDIGENT HEALTH"</f>
        <v>INDIGENT HEALTH</v>
      </c>
    </row>
    <row r="218" spans="1:7" x14ac:dyDescent="0.25">
      <c r="E218" t="str">
        <f>""</f>
        <v/>
      </c>
      <c r="G218" t="str">
        <f>"INDIGENT HEALTH"</f>
        <v>INDIGENT HEALTH</v>
      </c>
    </row>
    <row r="219" spans="1:7" x14ac:dyDescent="0.25">
      <c r="A219" t="s">
        <v>53</v>
      </c>
      <c r="B219">
        <v>1636</v>
      </c>
      <c r="C219" s="2">
        <v>800</v>
      </c>
      <c r="D219" s="1">
        <v>43767</v>
      </c>
      <c r="E219" t="str">
        <f>"HUNTER'S CROSSING-STATUS HRING"</f>
        <v>HUNTER'S CROSSING-STATUS HRING</v>
      </c>
      <c r="F219" s="2">
        <v>400</v>
      </c>
      <c r="G219" t="str">
        <f>"HUNTER'S CROSSING-STATUS HRING"</f>
        <v>HUNTER'S CROSSING-STATUS HRING</v>
      </c>
    </row>
    <row r="220" spans="1:7" x14ac:dyDescent="0.25">
      <c r="E220" t="str">
        <f>"COMPLEX FIRE HEARING"</f>
        <v>COMPLEX FIRE HEARING</v>
      </c>
      <c r="F220" s="2">
        <v>400</v>
      </c>
      <c r="G220" t="str">
        <f>"COMPLEX FIRE HEARING"</f>
        <v>COMPLEX FIRE HEARING</v>
      </c>
    </row>
    <row r="221" spans="1:7" x14ac:dyDescent="0.25">
      <c r="A221" t="s">
        <v>54</v>
      </c>
      <c r="B221">
        <v>84189</v>
      </c>
      <c r="C221" s="2">
        <v>105</v>
      </c>
      <c r="D221" s="1">
        <v>43753</v>
      </c>
      <c r="E221" t="str">
        <f>"PER DIEM"</f>
        <v>PER DIEM</v>
      </c>
      <c r="F221" s="2">
        <v>105</v>
      </c>
      <c r="G221" t="str">
        <f>"PER DIEM"</f>
        <v>PER DIEM</v>
      </c>
    </row>
    <row r="222" spans="1:7" x14ac:dyDescent="0.25">
      <c r="A222" t="s">
        <v>55</v>
      </c>
      <c r="B222">
        <v>1585</v>
      </c>
      <c r="C222" s="2">
        <v>788.95</v>
      </c>
      <c r="D222" s="1">
        <v>43754</v>
      </c>
      <c r="E222" t="str">
        <f>"CUST ID#0009/PCT#1"</f>
        <v>CUST ID#0009/PCT#1</v>
      </c>
      <c r="F222" s="2">
        <v>90</v>
      </c>
      <c r="G222" t="str">
        <f>"CUST ID#0009/PCT#1"</f>
        <v>CUST ID#0009/PCT#1</v>
      </c>
    </row>
    <row r="223" spans="1:7" x14ac:dyDescent="0.25">
      <c r="E223" t="str">
        <f>"CUST ID:0010/PCT#2"</f>
        <v>CUST ID:0010/PCT#2</v>
      </c>
      <c r="F223" s="2">
        <v>130</v>
      </c>
      <c r="G223" t="str">
        <f>"CUST ID:0010/PCT#2"</f>
        <v>CUST ID:0010/PCT#2</v>
      </c>
    </row>
    <row r="224" spans="1:7" x14ac:dyDescent="0.25">
      <c r="E224" t="str">
        <f>"CUST#0011/PCT#3"</f>
        <v>CUST#0011/PCT#3</v>
      </c>
      <c r="F224" s="2">
        <v>35</v>
      </c>
      <c r="G224" t="str">
        <f>"CUST#0011/PCT#3"</f>
        <v>CUST#0011/PCT#3</v>
      </c>
    </row>
    <row r="225" spans="1:8" x14ac:dyDescent="0.25">
      <c r="E225" t="str">
        <f>"CUST ID:0017/ANIMAL SHELTER"</f>
        <v>CUST ID:0017/ANIMAL SHELTER</v>
      </c>
      <c r="F225" s="2">
        <v>533.95000000000005</v>
      </c>
      <c r="G225" t="str">
        <f>"CUST ID:0017/ANIMAL SHELTER"</f>
        <v>CUST ID:0017/ANIMAL SHELTER</v>
      </c>
    </row>
    <row r="226" spans="1:8" x14ac:dyDescent="0.25">
      <c r="A226" t="s">
        <v>56</v>
      </c>
      <c r="B226">
        <v>1631</v>
      </c>
      <c r="C226" s="2">
        <v>1300</v>
      </c>
      <c r="D226" s="1">
        <v>43767</v>
      </c>
      <c r="E226" t="str">
        <f>"TREE REMOVAL/PCT#1"</f>
        <v>TREE REMOVAL/PCT#1</v>
      </c>
      <c r="F226" s="2">
        <v>1300</v>
      </c>
      <c r="G226" t="str">
        <f>"TREE REMOVAL/PCT#1"</f>
        <v>TREE REMOVAL/PCT#1</v>
      </c>
    </row>
    <row r="227" spans="1:8" x14ac:dyDescent="0.25">
      <c r="A227" t="s">
        <v>57</v>
      </c>
      <c r="B227">
        <v>84190</v>
      </c>
      <c r="C227" s="2">
        <v>25000</v>
      </c>
      <c r="D227" s="1">
        <v>43753</v>
      </c>
      <c r="E227" t="str">
        <f>"FY 2019-2020"</f>
        <v>FY 2019-2020</v>
      </c>
      <c r="F227" s="2">
        <v>25000</v>
      </c>
      <c r="G227" t="str">
        <f>"FY 19-20 GRANT"</f>
        <v>FY 19-20 GRANT</v>
      </c>
    </row>
    <row r="228" spans="1:8" x14ac:dyDescent="0.25">
      <c r="A228" t="s">
        <v>58</v>
      </c>
      <c r="B228">
        <v>84191</v>
      </c>
      <c r="C228" s="2">
        <v>1575</v>
      </c>
      <c r="D228" s="1">
        <v>43753</v>
      </c>
      <c r="E228" t="s">
        <v>59</v>
      </c>
      <c r="F228" s="2" t="str">
        <f>"SERVICE"</f>
        <v>SERVICE</v>
      </c>
      <c r="G228" t="str">
        <f>"995-4110"</f>
        <v>995-4110</v>
      </c>
      <c r="H228" t="str">
        <f>""</f>
        <v/>
      </c>
    </row>
    <row r="229" spans="1:8" x14ac:dyDescent="0.25">
      <c r="E229" t="str">
        <f t="shared" ref="E229:E237" si="3">"SERVICE"</f>
        <v>SERVICE</v>
      </c>
      <c r="F229" s="2">
        <v>75</v>
      </c>
      <c r="G229" t="str">
        <f t="shared" ref="G229:G237" si="4">"SERVICE"</f>
        <v>SERVICE</v>
      </c>
    </row>
    <row r="230" spans="1:8" x14ac:dyDescent="0.25">
      <c r="E230" t="str">
        <f t="shared" si="3"/>
        <v>SERVICE</v>
      </c>
      <c r="F230" s="2">
        <v>150</v>
      </c>
      <c r="G230" t="str">
        <f t="shared" si="4"/>
        <v>SERVICE</v>
      </c>
    </row>
    <row r="231" spans="1:8" x14ac:dyDescent="0.25">
      <c r="E231" t="str">
        <f t="shared" si="3"/>
        <v>SERVICE</v>
      </c>
      <c r="F231" s="2">
        <v>225</v>
      </c>
      <c r="G231" t="str">
        <f t="shared" si="4"/>
        <v>SERVICE</v>
      </c>
    </row>
    <row r="232" spans="1:8" x14ac:dyDescent="0.25">
      <c r="E232" t="str">
        <f t="shared" si="3"/>
        <v>SERVICE</v>
      </c>
      <c r="F232" s="2">
        <v>150</v>
      </c>
      <c r="G232" t="str">
        <f t="shared" si="4"/>
        <v>SERVICE</v>
      </c>
    </row>
    <row r="233" spans="1:8" x14ac:dyDescent="0.25">
      <c r="E233" t="str">
        <f t="shared" si="3"/>
        <v>SERVICE</v>
      </c>
      <c r="F233" s="2">
        <v>150</v>
      </c>
      <c r="G233" t="str">
        <f t="shared" si="4"/>
        <v>SERVICE</v>
      </c>
    </row>
    <row r="234" spans="1:8" x14ac:dyDescent="0.25">
      <c r="E234" t="str">
        <f t="shared" si="3"/>
        <v>SERVICE</v>
      </c>
      <c r="F234" s="2">
        <v>150</v>
      </c>
      <c r="G234" t="str">
        <f t="shared" si="4"/>
        <v>SERVICE</v>
      </c>
    </row>
    <row r="235" spans="1:8" x14ac:dyDescent="0.25">
      <c r="A235" t="s">
        <v>58</v>
      </c>
      <c r="B235">
        <v>84487</v>
      </c>
      <c r="C235" s="2">
        <v>175</v>
      </c>
      <c r="D235" s="1">
        <v>43766</v>
      </c>
      <c r="E235" t="str">
        <f t="shared" si="3"/>
        <v>SERVICE</v>
      </c>
      <c r="F235" s="2">
        <v>25</v>
      </c>
      <c r="G235" t="str">
        <f t="shared" si="4"/>
        <v>SERVICE</v>
      </c>
    </row>
    <row r="236" spans="1:8" x14ac:dyDescent="0.25">
      <c r="E236" t="str">
        <f t="shared" si="3"/>
        <v>SERVICE</v>
      </c>
      <c r="F236" s="2">
        <v>75</v>
      </c>
      <c r="G236" t="str">
        <f t="shared" si="4"/>
        <v>SERVICE</v>
      </c>
    </row>
    <row r="237" spans="1:8" x14ac:dyDescent="0.25">
      <c r="E237" t="str">
        <f t="shared" si="3"/>
        <v>SERVICE</v>
      </c>
      <c r="F237" s="2">
        <v>75</v>
      </c>
      <c r="G237" t="str">
        <f t="shared" si="4"/>
        <v>SERVICE</v>
      </c>
    </row>
    <row r="238" spans="1:8" x14ac:dyDescent="0.25">
      <c r="A238" t="s">
        <v>60</v>
      </c>
      <c r="B238">
        <v>84192</v>
      </c>
      <c r="C238" s="2">
        <v>491</v>
      </c>
      <c r="D238" s="1">
        <v>43753</v>
      </c>
      <c r="E238" t="str">
        <f>"ACCT#BC01/OFFICE SUPPLIES"</f>
        <v>ACCT#BC01/OFFICE SUPPLIES</v>
      </c>
      <c r="F238" s="2">
        <v>491</v>
      </c>
      <c r="G238" t="str">
        <f>"ACCT#BC01/OFFICE SUPPLIES"</f>
        <v>ACCT#BC01/OFFICE SUPPLIES</v>
      </c>
    </row>
    <row r="239" spans="1:8" x14ac:dyDescent="0.25">
      <c r="E239" t="str">
        <f>""</f>
        <v/>
      </c>
      <c r="G239" t="str">
        <f>"ACCT#BC01/OFFICE SUPPLIES"</f>
        <v>ACCT#BC01/OFFICE SUPPLIES</v>
      </c>
    </row>
    <row r="240" spans="1:8" x14ac:dyDescent="0.25">
      <c r="E240" t="str">
        <f>""</f>
        <v/>
      </c>
      <c r="G240" t="str">
        <f>"ACCT#BC01/OFFICE SUPPLIES"</f>
        <v>ACCT#BC01/OFFICE SUPPLIES</v>
      </c>
    </row>
    <row r="241" spans="1:7" x14ac:dyDescent="0.25">
      <c r="A241" t="s">
        <v>61</v>
      </c>
      <c r="B241">
        <v>1574</v>
      </c>
      <c r="C241" s="2">
        <v>8584.14</v>
      </c>
      <c r="D241" s="1">
        <v>43754</v>
      </c>
      <c r="E241" t="str">
        <f>"GRANT REIMBURSEMENT"</f>
        <v>GRANT REIMBURSEMENT</v>
      </c>
      <c r="F241" s="2">
        <v>8584.14</v>
      </c>
      <c r="G241" t="str">
        <f>"GRANT REIMBURSEMENT"</f>
        <v>GRANT REIMBURSEMENT</v>
      </c>
    </row>
    <row r="242" spans="1:7" x14ac:dyDescent="0.25">
      <c r="A242" t="s">
        <v>62</v>
      </c>
      <c r="B242">
        <v>84193</v>
      </c>
      <c r="C242" s="2">
        <v>3500</v>
      </c>
      <c r="D242" s="1">
        <v>43753</v>
      </c>
      <c r="E242" t="str">
        <f>"FOSTER CARE EXPENSES 2018-2019"</f>
        <v>FOSTER CARE EXPENSES 2018-2019</v>
      </c>
      <c r="F242" s="2">
        <v>3500</v>
      </c>
      <c r="G242" t="str">
        <f>"FOSTER CARE EXPENSES 2018-2019"</f>
        <v>FOSTER CARE EXPENSES 2018-2019</v>
      </c>
    </row>
    <row r="243" spans="1:7" x14ac:dyDescent="0.25">
      <c r="A243" t="s">
        <v>63</v>
      </c>
      <c r="B243">
        <v>84194</v>
      </c>
      <c r="C243" s="2">
        <v>7500</v>
      </c>
      <c r="D243" s="1">
        <v>43753</v>
      </c>
      <c r="E243" t="str">
        <f>"BCSWCD CONTRIBUTION FY19-20"</f>
        <v>BCSWCD CONTRIBUTION FY19-20</v>
      </c>
      <c r="F243" s="2">
        <v>7500</v>
      </c>
      <c r="G243" t="str">
        <f>"BCSWCD CONTRIBUTION FY19-20"</f>
        <v>BCSWCD CONTRIBUTION FY19-20</v>
      </c>
    </row>
    <row r="244" spans="1:7" x14ac:dyDescent="0.25">
      <c r="A244" t="s">
        <v>64</v>
      </c>
      <c r="B244">
        <v>1675</v>
      </c>
      <c r="C244" s="2">
        <v>33.270000000000003</v>
      </c>
      <c r="D244" s="1">
        <v>43767</v>
      </c>
      <c r="E244" t="str">
        <f>"INDIGENT HEALTH"</f>
        <v>INDIGENT HEALTH</v>
      </c>
      <c r="F244" s="2">
        <v>33.270000000000003</v>
      </c>
      <c r="G244" t="str">
        <f>"INDIGENT HEALTH"</f>
        <v>INDIGENT HEALTH</v>
      </c>
    </row>
    <row r="245" spans="1:7" x14ac:dyDescent="0.25">
      <c r="A245" t="s">
        <v>65</v>
      </c>
      <c r="B245">
        <v>84488</v>
      </c>
      <c r="C245" s="2">
        <v>18.899999999999999</v>
      </c>
      <c r="D245" s="1">
        <v>43766</v>
      </c>
      <c r="E245" t="str">
        <f>"ARREST FEES 07/01-09/30"</f>
        <v>ARREST FEES 07/01-09/30</v>
      </c>
      <c r="F245" s="2">
        <v>18.899999999999999</v>
      </c>
      <c r="G245" t="str">
        <f>"ARREST FEES 07/01-09/30"</f>
        <v>ARREST FEES 07/01-09/30</v>
      </c>
    </row>
    <row r="246" spans="1:7" x14ac:dyDescent="0.25">
      <c r="A246" t="s">
        <v>66</v>
      </c>
      <c r="B246">
        <v>1538</v>
      </c>
      <c r="C246" s="2">
        <v>495</v>
      </c>
      <c r="D246" s="1">
        <v>43754</v>
      </c>
      <c r="E246" t="str">
        <f>"TRANSPORT-C. PEREZ"</f>
        <v>TRANSPORT-C. PEREZ</v>
      </c>
      <c r="F246" s="2">
        <v>495</v>
      </c>
      <c r="G246" t="str">
        <f>"TRANSPORT-C. PEREZ"</f>
        <v>TRANSPORT-C. PEREZ</v>
      </c>
    </row>
    <row r="247" spans="1:7" x14ac:dyDescent="0.25">
      <c r="A247" t="s">
        <v>66</v>
      </c>
      <c r="B247">
        <v>1630</v>
      </c>
      <c r="C247" s="2">
        <v>1390</v>
      </c>
      <c r="D247" s="1">
        <v>43767</v>
      </c>
      <c r="E247" t="str">
        <f>"TRANSPORT-C. RAMIREZ"</f>
        <v>TRANSPORT-C. RAMIREZ</v>
      </c>
      <c r="F247" s="2">
        <v>400</v>
      </c>
      <c r="G247" t="str">
        <f>"TRANSPORT-C. RAMIREZ"</f>
        <v>TRANSPORT-C. RAMIREZ</v>
      </c>
    </row>
    <row r="248" spans="1:7" x14ac:dyDescent="0.25">
      <c r="E248" t="str">
        <f>"TRANSPORT-S. DOGGET"</f>
        <v>TRANSPORT-S. DOGGET</v>
      </c>
      <c r="F248" s="2">
        <v>495</v>
      </c>
      <c r="G248" t="str">
        <f>"TRANSPORT-S. DOGGET"</f>
        <v>TRANSPORT-S. DOGGET</v>
      </c>
    </row>
    <row r="249" spans="1:7" x14ac:dyDescent="0.25">
      <c r="E249" t="str">
        <f>"TRANPORT-C.A. BURNHAM"</f>
        <v>TRANPORT-C.A. BURNHAM</v>
      </c>
      <c r="F249" s="2">
        <v>495</v>
      </c>
      <c r="G249" t="str">
        <f>"TRANPORT-C.A. BURNHAM"</f>
        <v>TRANPORT-C.A. BURNHAM</v>
      </c>
    </row>
    <row r="250" spans="1:7" x14ac:dyDescent="0.25">
      <c r="A250" t="s">
        <v>67</v>
      </c>
      <c r="B250">
        <v>1653</v>
      </c>
      <c r="C250" s="2">
        <v>327.57</v>
      </c>
      <c r="D250" s="1">
        <v>43767</v>
      </c>
      <c r="E250" t="str">
        <f>"ACCT#3422853/FLEA MEDICATION"</f>
        <v>ACCT#3422853/FLEA MEDICATION</v>
      </c>
      <c r="F250" s="2">
        <v>327.57</v>
      </c>
      <c r="G250" t="str">
        <f>"ACCT#3422853/FLEA MEDICATION"</f>
        <v>ACCT#3422853/FLEA MEDICATION</v>
      </c>
    </row>
    <row r="251" spans="1:7" x14ac:dyDescent="0.25">
      <c r="A251" t="s">
        <v>68</v>
      </c>
      <c r="B251">
        <v>1533</v>
      </c>
      <c r="C251" s="2">
        <v>1136.04</v>
      </c>
      <c r="D251" s="1">
        <v>43754</v>
      </c>
      <c r="E251" t="str">
        <f>"INVESTIGATIVE SVCS-SEPTEMBER"</f>
        <v>INVESTIGATIVE SVCS-SEPTEMBER</v>
      </c>
      <c r="F251" s="2">
        <v>490</v>
      </c>
      <c r="G251" t="str">
        <f>"INVESTIGATIVE SVCS-SEPTEMBER"</f>
        <v>INVESTIGATIVE SVCS-SEPTEMBER</v>
      </c>
    </row>
    <row r="252" spans="1:7" x14ac:dyDescent="0.25">
      <c r="E252" t="str">
        <f>"INV SERVICE FOR AUGUST"</f>
        <v>INV SERVICE FOR AUGUST</v>
      </c>
      <c r="F252" s="2">
        <v>646.04</v>
      </c>
      <c r="G252" t="str">
        <f>"INV SERVICE - LE"</f>
        <v>INV SERVICE - LE</v>
      </c>
    </row>
    <row r="253" spans="1:7" x14ac:dyDescent="0.25">
      <c r="E253" t="str">
        <f>""</f>
        <v/>
      </c>
      <c r="G253" t="str">
        <f>"INV SERVICE - JAIL"</f>
        <v>INV SERVICE - JAIL</v>
      </c>
    </row>
    <row r="254" spans="1:7" x14ac:dyDescent="0.25">
      <c r="A254" t="s">
        <v>69</v>
      </c>
      <c r="B254">
        <v>84195</v>
      </c>
      <c r="C254" s="2">
        <v>2749.66</v>
      </c>
      <c r="D254" s="1">
        <v>43753</v>
      </c>
      <c r="E254" t="str">
        <f>"INV 75241320"</f>
        <v>INV 75241320</v>
      </c>
      <c r="F254" s="2">
        <v>1921.04</v>
      </c>
      <c r="G254" t="str">
        <f>"INV 75241320"</f>
        <v>INV 75241320</v>
      </c>
    </row>
    <row r="255" spans="1:7" x14ac:dyDescent="0.25">
      <c r="E255" t="str">
        <f>""</f>
        <v/>
      </c>
      <c r="G255" t="str">
        <f>"INV 75249862"</f>
        <v>INV 75249862</v>
      </c>
    </row>
    <row r="256" spans="1:7" x14ac:dyDescent="0.25">
      <c r="E256" t="str">
        <f>"INV 75258521"</f>
        <v>INV 75258521</v>
      </c>
      <c r="F256" s="2">
        <v>828.62</v>
      </c>
      <c r="G256" t="str">
        <f>"INV 75258521"</f>
        <v>INV 75258521</v>
      </c>
    </row>
    <row r="257" spans="1:7" x14ac:dyDescent="0.25">
      <c r="A257" t="s">
        <v>69</v>
      </c>
      <c r="B257">
        <v>84489</v>
      </c>
      <c r="C257" s="2">
        <v>1467.92</v>
      </c>
      <c r="D257" s="1">
        <v>43766</v>
      </c>
      <c r="E257" t="str">
        <f>"INV 75267082"</f>
        <v>INV 75267082</v>
      </c>
      <c r="F257" s="2">
        <v>1467.92</v>
      </c>
      <c r="G257" t="str">
        <f>"INV 75267082"</f>
        <v>INV 75267082</v>
      </c>
    </row>
    <row r="258" spans="1:7" x14ac:dyDescent="0.25">
      <c r="E258" t="str">
        <f>""</f>
        <v/>
      </c>
      <c r="G258" t="str">
        <f>"INV 75275605"</f>
        <v>INV 75275605</v>
      </c>
    </row>
    <row r="259" spans="1:7" x14ac:dyDescent="0.25">
      <c r="A259" t="s">
        <v>70</v>
      </c>
      <c r="B259">
        <v>1560</v>
      </c>
      <c r="C259" s="2">
        <v>3933.16</v>
      </c>
      <c r="D259" s="1">
        <v>43754</v>
      </c>
      <c r="E259" t="str">
        <f>"INV 285369-00"</f>
        <v>INV 285369-00</v>
      </c>
      <c r="F259" s="2">
        <v>3933.16</v>
      </c>
      <c r="G259" t="str">
        <f>"INV 285369-"</f>
        <v>INV 285369-</v>
      </c>
    </row>
    <row r="260" spans="1:7" x14ac:dyDescent="0.25">
      <c r="A260" t="s">
        <v>71</v>
      </c>
      <c r="B260">
        <v>84196</v>
      </c>
      <c r="C260" s="2">
        <v>763.29</v>
      </c>
      <c r="D260" s="1">
        <v>43753</v>
      </c>
      <c r="E260" t="str">
        <f>"inv# 4030891"</f>
        <v>inv# 4030891</v>
      </c>
      <c r="F260" s="2">
        <v>637.35</v>
      </c>
      <c r="G260" t="str">
        <f>"inv# 4030891Split"</f>
        <v>inv# 4030891Split</v>
      </c>
    </row>
    <row r="261" spans="1:7" x14ac:dyDescent="0.25">
      <c r="E261" t="str">
        <f>""</f>
        <v/>
      </c>
      <c r="G261" t="str">
        <f>"inv# 4030891Split"</f>
        <v>inv# 4030891Split</v>
      </c>
    </row>
    <row r="262" spans="1:7" x14ac:dyDescent="0.25">
      <c r="E262" t="str">
        <f>""</f>
        <v/>
      </c>
      <c r="G262" t="str">
        <f>"inv# 4030891Split"</f>
        <v>inv# 4030891Split</v>
      </c>
    </row>
    <row r="263" spans="1:7" x14ac:dyDescent="0.25">
      <c r="E263" t="str">
        <f>"inv# 4055431"</f>
        <v>inv# 4055431</v>
      </c>
      <c r="F263" s="2">
        <v>125.94</v>
      </c>
      <c r="G263" t="str">
        <f>"inv# 4055431"</f>
        <v>inv# 4055431</v>
      </c>
    </row>
    <row r="264" spans="1:7" x14ac:dyDescent="0.25">
      <c r="A264" t="s">
        <v>72</v>
      </c>
      <c r="B264">
        <v>1604</v>
      </c>
      <c r="C264" s="2">
        <v>1978.58</v>
      </c>
      <c r="D264" s="1">
        <v>43754</v>
      </c>
      <c r="E264" t="str">
        <f>"INV 24423"</f>
        <v>INV 24423</v>
      </c>
      <c r="F264" s="2">
        <v>1978.58</v>
      </c>
      <c r="G264" t="str">
        <f>"INV 24423"</f>
        <v>INV 24423</v>
      </c>
    </row>
    <row r="265" spans="1:7" x14ac:dyDescent="0.25">
      <c r="A265" t="s">
        <v>72</v>
      </c>
      <c r="B265">
        <v>1671</v>
      </c>
      <c r="C265" s="2">
        <v>3999</v>
      </c>
      <c r="D265" s="1">
        <v>43767</v>
      </c>
      <c r="E265" t="str">
        <f>"INV 24448"</f>
        <v>INV 24448</v>
      </c>
      <c r="F265" s="2">
        <v>3999</v>
      </c>
      <c r="G265" t="str">
        <f>"INV 24448"</f>
        <v>INV 24448</v>
      </c>
    </row>
    <row r="266" spans="1:7" x14ac:dyDescent="0.25">
      <c r="A266" t="s">
        <v>73</v>
      </c>
      <c r="B266">
        <v>84490</v>
      </c>
      <c r="C266" s="2">
        <v>2195</v>
      </c>
      <c r="D266" s="1">
        <v>43766</v>
      </c>
      <c r="E266" t="str">
        <f>"inv# 62226"</f>
        <v>inv# 62226</v>
      </c>
      <c r="F266" s="2">
        <v>2195</v>
      </c>
      <c r="G266" t="str">
        <f>"Item# CCAL-2"</f>
        <v>Item# CCAL-2</v>
      </c>
    </row>
    <row r="267" spans="1:7" x14ac:dyDescent="0.25">
      <c r="A267" t="s">
        <v>74</v>
      </c>
      <c r="B267">
        <v>1625</v>
      </c>
      <c r="C267" s="2">
        <v>233.06</v>
      </c>
      <c r="D267" s="1">
        <v>43767</v>
      </c>
      <c r="E267" t="str">
        <f>"MORNING DOCKET"</f>
        <v>MORNING DOCKET</v>
      </c>
      <c r="F267" s="2">
        <v>233.06</v>
      </c>
      <c r="G267" t="str">
        <f>"MORNING DOCKET"</f>
        <v>MORNING DOCKET</v>
      </c>
    </row>
    <row r="268" spans="1:7" x14ac:dyDescent="0.25">
      <c r="A268" t="s">
        <v>75</v>
      </c>
      <c r="B268">
        <v>84198</v>
      </c>
      <c r="C268" s="2">
        <v>836.34</v>
      </c>
      <c r="D268" s="1">
        <v>43753</v>
      </c>
      <c r="E268" t="str">
        <f>"INV 84078903049"</f>
        <v>INV 84078903049</v>
      </c>
      <c r="F268" s="2">
        <v>532.12</v>
      </c>
      <c r="G268" t="str">
        <f>"INV 84078903049"</f>
        <v>INV 84078903049</v>
      </c>
    </row>
    <row r="269" spans="1:7" x14ac:dyDescent="0.25">
      <c r="E269" t="str">
        <f>""</f>
        <v/>
      </c>
      <c r="G269" t="str">
        <f>"INV 84078903108"</f>
        <v>INV 84078903108</v>
      </c>
    </row>
    <row r="270" spans="1:7" x14ac:dyDescent="0.25">
      <c r="E270" t="str">
        <f>"INV 84078903163"</f>
        <v>INV 84078903163</v>
      </c>
      <c r="F270" s="2">
        <v>304.22000000000003</v>
      </c>
      <c r="G270" t="str">
        <f>"INV 84078903163"</f>
        <v>INV 84078903163</v>
      </c>
    </row>
    <row r="271" spans="1:7" x14ac:dyDescent="0.25">
      <c r="A271" t="s">
        <v>75</v>
      </c>
      <c r="B271">
        <v>84491</v>
      </c>
      <c r="C271" s="2">
        <v>635.9</v>
      </c>
      <c r="D271" s="1">
        <v>43766</v>
      </c>
      <c r="E271" t="str">
        <f>"INV 84078903215"</f>
        <v>INV 84078903215</v>
      </c>
      <c r="F271" s="2">
        <v>635.9</v>
      </c>
      <c r="G271" t="str">
        <f>"INV 84078903215"</f>
        <v>INV 84078903215</v>
      </c>
    </row>
    <row r="272" spans="1:7" x14ac:dyDescent="0.25">
      <c r="E272" t="str">
        <f>""</f>
        <v/>
      </c>
      <c r="G272" t="str">
        <f>"INV 84078903289"</f>
        <v>INV 84078903289</v>
      </c>
    </row>
    <row r="273" spans="1:7" x14ac:dyDescent="0.25">
      <c r="A273" t="s">
        <v>76</v>
      </c>
      <c r="B273">
        <v>1553</v>
      </c>
      <c r="C273" s="2">
        <v>1250</v>
      </c>
      <c r="D273" s="1">
        <v>43754</v>
      </c>
      <c r="E273" t="str">
        <f>"02-0810-10"</f>
        <v>02-0810-10</v>
      </c>
      <c r="F273" s="2">
        <v>250</v>
      </c>
      <c r="G273" t="str">
        <f>"02-0810-10"</f>
        <v>02-0810-10</v>
      </c>
    </row>
    <row r="274" spans="1:7" x14ac:dyDescent="0.25">
      <c r="E274" t="str">
        <f>"309032017G  925-346-7401  17-S"</f>
        <v>309032017G  925-346-7401  17-S</v>
      </c>
      <c r="F274" s="2">
        <v>250</v>
      </c>
      <c r="G274" t="str">
        <f>"309032017G  925-346-7401  17-S"</f>
        <v>309032017G  925-346-7401  17-S</v>
      </c>
    </row>
    <row r="275" spans="1:7" x14ac:dyDescent="0.25">
      <c r="E275" t="str">
        <f>"1JP81817A  9253465964"</f>
        <v>1JP81817A  9253465964</v>
      </c>
      <c r="F275" s="2">
        <v>250</v>
      </c>
      <c r="G275" t="str">
        <f>"1JP81817A  9253465964"</f>
        <v>1JP81817A  9253465964</v>
      </c>
    </row>
    <row r="276" spans="1:7" x14ac:dyDescent="0.25">
      <c r="E276" t="str">
        <f>"AC-2017-0331C  925-345-1939 20"</f>
        <v>AC-2017-0331C  925-345-1939 20</v>
      </c>
      <c r="F276" s="2">
        <v>250</v>
      </c>
      <c r="G276" t="str">
        <f>"AC-2017-0331C  925-345-1939 20"</f>
        <v>AC-2017-0331C  925-345-1939 20</v>
      </c>
    </row>
    <row r="277" spans="1:7" x14ac:dyDescent="0.25">
      <c r="E277" t="str">
        <f>"02-0703-6 9253461667 17-S-0343"</f>
        <v>02-0703-6 9253461667 17-S-0343</v>
      </c>
      <c r="F277" s="2">
        <v>250</v>
      </c>
      <c r="G277" t="str">
        <f>"02-0703-6 9253461667 17-S-0343"</f>
        <v>02-0703-6 9253461667 17-S-0343</v>
      </c>
    </row>
    <row r="278" spans="1:7" x14ac:dyDescent="0.25">
      <c r="A278" t="s">
        <v>76</v>
      </c>
      <c r="B278">
        <v>1643</v>
      </c>
      <c r="C278" s="2">
        <v>1434.46</v>
      </c>
      <c r="D278" s="1">
        <v>43767</v>
      </c>
      <c r="E278" t="str">
        <f>"18-19410"</f>
        <v>18-19410</v>
      </c>
      <c r="F278" s="2">
        <v>1184.46</v>
      </c>
      <c r="G278" t="str">
        <f>"18-19410"</f>
        <v>18-19410</v>
      </c>
    </row>
    <row r="279" spans="1:7" x14ac:dyDescent="0.25">
      <c r="E279" t="str">
        <f>"57 157"</f>
        <v>57 157</v>
      </c>
      <c r="F279" s="2">
        <v>250</v>
      </c>
      <c r="G279" t="str">
        <f>"57 157"</f>
        <v>57 157</v>
      </c>
    </row>
    <row r="280" spans="1:7" x14ac:dyDescent="0.25">
      <c r="A280" t="s">
        <v>77</v>
      </c>
      <c r="B280">
        <v>84492</v>
      </c>
      <c r="C280" s="2">
        <v>265.89999999999998</v>
      </c>
      <c r="D280" s="1">
        <v>43766</v>
      </c>
      <c r="E280" t="str">
        <f>"CRIME STOPPER FEES SEPT 2019"</f>
        <v>CRIME STOPPER FEES SEPT 2019</v>
      </c>
      <c r="F280" s="2">
        <v>265.89999999999998</v>
      </c>
      <c r="G280" t="str">
        <f>"CRIME STOPPER FEES SEPT 2019"</f>
        <v>CRIME STOPPER FEES SEPT 2019</v>
      </c>
    </row>
    <row r="281" spans="1:7" x14ac:dyDescent="0.25">
      <c r="A281" t="s">
        <v>78</v>
      </c>
      <c r="B281">
        <v>84151</v>
      </c>
      <c r="C281" s="2">
        <v>1365.87</v>
      </c>
      <c r="D281" s="1">
        <v>43739</v>
      </c>
      <c r="E281" t="str">
        <f>"Meter Loop for Stoney Poi"</f>
        <v>Meter Loop for Stoney Poi</v>
      </c>
      <c r="F281" s="2">
        <v>1365.87</v>
      </c>
      <c r="G281" t="str">
        <f>"OverHead Primary"</f>
        <v>OverHead Primary</v>
      </c>
    </row>
    <row r="282" spans="1:7" x14ac:dyDescent="0.25">
      <c r="E282" t="str">
        <f>""</f>
        <v/>
      </c>
      <c r="G282" t="str">
        <f>"OverHead Transformer"</f>
        <v>OverHead Transformer</v>
      </c>
    </row>
    <row r="283" spans="1:7" x14ac:dyDescent="0.25">
      <c r="E283" t="str">
        <f>""</f>
        <v/>
      </c>
      <c r="G283" t="str">
        <f>"Metering"</f>
        <v>Metering</v>
      </c>
    </row>
    <row r="284" spans="1:7" x14ac:dyDescent="0.25">
      <c r="E284" t="str">
        <f>""</f>
        <v/>
      </c>
      <c r="G284" t="str">
        <f>"Bluebonnet Allocatio"</f>
        <v>Bluebonnet Allocatio</v>
      </c>
    </row>
    <row r="285" spans="1:7" x14ac:dyDescent="0.25">
      <c r="E285" t="str">
        <f>""</f>
        <v/>
      </c>
      <c r="G285" t="str">
        <f>"Activation Fee"</f>
        <v>Activation Fee</v>
      </c>
    </row>
    <row r="286" spans="1:7" x14ac:dyDescent="0.25">
      <c r="A286" t="s">
        <v>79</v>
      </c>
      <c r="B286">
        <v>84463</v>
      </c>
      <c r="C286" s="2">
        <v>4154.8999999999996</v>
      </c>
      <c r="D286" s="1">
        <v>43761</v>
      </c>
      <c r="E286" t="str">
        <f>"ACCT#5000057374 / 10052019"</f>
        <v>ACCT#5000057374 / 10052019</v>
      </c>
      <c r="F286" s="2">
        <v>4154.8999999999996</v>
      </c>
      <c r="G286" t="str">
        <f>"ACCT#5000057374 / 10052019"</f>
        <v>ACCT#5000057374 / 10052019</v>
      </c>
    </row>
    <row r="287" spans="1:7" x14ac:dyDescent="0.25">
      <c r="E287" t="str">
        <f>""</f>
        <v/>
      </c>
      <c r="G287" t="str">
        <f>"ACCT#5000057374 / 10052019"</f>
        <v>ACCT#5000057374 / 10052019</v>
      </c>
    </row>
    <row r="288" spans="1:7" x14ac:dyDescent="0.25">
      <c r="E288" t="str">
        <f>""</f>
        <v/>
      </c>
      <c r="G288" t="str">
        <f>"ACCT#5000057374 / 10052019"</f>
        <v>ACCT#5000057374 / 10052019</v>
      </c>
    </row>
    <row r="289" spans="1:7" x14ac:dyDescent="0.25">
      <c r="E289" t="str">
        <f>""</f>
        <v/>
      </c>
      <c r="G289" t="str">
        <f>"ACCT#5000057374 / 10052019"</f>
        <v>ACCT#5000057374 / 10052019</v>
      </c>
    </row>
    <row r="290" spans="1:7" x14ac:dyDescent="0.25">
      <c r="A290" t="s">
        <v>80</v>
      </c>
      <c r="B290">
        <v>1613</v>
      </c>
      <c r="C290" s="2">
        <v>1275</v>
      </c>
      <c r="D290" s="1">
        <v>43754</v>
      </c>
      <c r="E290" t="str">
        <f>"INV 25-09-2019"</f>
        <v>INV 25-09-2019</v>
      </c>
      <c r="F290" s="2">
        <v>1275</v>
      </c>
      <c r="G290" t="str">
        <f>"INV 25-09-2019"</f>
        <v>INV 25-09-2019</v>
      </c>
    </row>
    <row r="291" spans="1:7" x14ac:dyDescent="0.25">
      <c r="A291" t="s">
        <v>81</v>
      </c>
      <c r="B291">
        <v>84493</v>
      </c>
      <c r="C291" s="2">
        <v>419</v>
      </c>
      <c r="D291" s="1">
        <v>43766</v>
      </c>
      <c r="E291" t="str">
        <f>"INV UT1000512130"</f>
        <v>INV UT1000512130</v>
      </c>
      <c r="F291" s="2">
        <v>419</v>
      </c>
      <c r="G291" t="str">
        <f>"INV UT1000512130"</f>
        <v>INV UT1000512130</v>
      </c>
    </row>
    <row r="292" spans="1:7" x14ac:dyDescent="0.25">
      <c r="A292" t="s">
        <v>82</v>
      </c>
      <c r="B292">
        <v>84199</v>
      </c>
      <c r="C292" s="2">
        <v>5000</v>
      </c>
      <c r="D292" s="1">
        <v>43753</v>
      </c>
      <c r="E292" t="str">
        <f>"FISCAL YEAR 2019-2020"</f>
        <v>FISCAL YEAR 2019-2020</v>
      </c>
      <c r="F292" s="2">
        <v>5000</v>
      </c>
      <c r="G292" t="str">
        <f>"FISCAL YEAR 2019-2020"</f>
        <v>FISCAL YEAR 2019-2020</v>
      </c>
    </row>
    <row r="293" spans="1:7" x14ac:dyDescent="0.25">
      <c r="A293" t="s">
        <v>83</v>
      </c>
      <c r="B293">
        <v>84200</v>
      </c>
      <c r="C293" s="2">
        <v>96328.5</v>
      </c>
      <c r="D293" s="1">
        <v>43753</v>
      </c>
      <c r="E293" t="str">
        <f>"ACCT#1268/PCT#3"</f>
        <v>ACCT#1268/PCT#3</v>
      </c>
      <c r="F293" s="2">
        <v>31972.5</v>
      </c>
      <c r="G293" t="str">
        <f>"ACCT#1268/PCT#3"</f>
        <v>ACCT#1268/PCT#3</v>
      </c>
    </row>
    <row r="294" spans="1:7" x14ac:dyDescent="0.25">
      <c r="E294" t="str">
        <f>"ACCT#1268/PCT#3"</f>
        <v>ACCT#1268/PCT#3</v>
      </c>
      <c r="F294" s="2">
        <v>1042.2</v>
      </c>
      <c r="G294" t="str">
        <f>"ACCT#1268/PCT#3"</f>
        <v>ACCT#1268/PCT#3</v>
      </c>
    </row>
    <row r="295" spans="1:7" x14ac:dyDescent="0.25">
      <c r="E295" t="str">
        <f>"ACCT#1269/PCT#4"</f>
        <v>ACCT#1269/PCT#4</v>
      </c>
      <c r="F295" s="2">
        <v>10346.23</v>
      </c>
      <c r="G295" t="str">
        <f>"ACCT#1269/PCT#4"</f>
        <v>ACCT#1269/PCT#4</v>
      </c>
    </row>
    <row r="296" spans="1:7" x14ac:dyDescent="0.25">
      <c r="E296" t="str">
        <f>"ACCT#1268/PCT#3"</f>
        <v>ACCT#1268/PCT#3</v>
      </c>
      <c r="F296" s="2">
        <v>12108.6</v>
      </c>
      <c r="G296" t="str">
        <f>"ACCT#1268/PCT#3"</f>
        <v>ACCT#1268/PCT#3</v>
      </c>
    </row>
    <row r="297" spans="1:7" x14ac:dyDescent="0.25">
      <c r="E297" t="str">
        <f>"ACCT#1268/PCT#3"</f>
        <v>ACCT#1268/PCT#3</v>
      </c>
      <c r="F297" s="2">
        <v>576.69000000000005</v>
      </c>
      <c r="G297" t="str">
        <f>"ACCT#1268/PCT#3"</f>
        <v>ACCT#1268/PCT#3</v>
      </c>
    </row>
    <row r="298" spans="1:7" x14ac:dyDescent="0.25">
      <c r="E298" t="str">
        <f>"ACCT#1269/PCT#4"</f>
        <v>ACCT#1269/PCT#4</v>
      </c>
      <c r="F298" s="2">
        <v>4370.18</v>
      </c>
      <c r="G298" t="str">
        <f>"ACCT#1269/PCT#4"</f>
        <v>ACCT#1269/PCT#4</v>
      </c>
    </row>
    <row r="299" spans="1:7" x14ac:dyDescent="0.25">
      <c r="E299" t="str">
        <f>"ACCT#1268/PCT#3"</f>
        <v>ACCT#1268/PCT#3</v>
      </c>
      <c r="F299" s="2">
        <v>35912.1</v>
      </c>
      <c r="G299" t="str">
        <f>"ACCT#1268/PCT#3"</f>
        <v>ACCT#1268/PCT#3</v>
      </c>
    </row>
    <row r="300" spans="1:7" x14ac:dyDescent="0.25">
      <c r="A300" t="s">
        <v>83</v>
      </c>
      <c r="B300">
        <v>84494</v>
      </c>
      <c r="C300" s="2">
        <v>6488.81</v>
      </c>
      <c r="D300" s="1">
        <v>43766</v>
      </c>
      <c r="E300" t="str">
        <f>"ACCT#1269/PCT#4"</f>
        <v>ACCT#1269/PCT#4</v>
      </c>
      <c r="F300" s="2">
        <v>988.88</v>
      </c>
      <c r="G300" t="str">
        <f>"ACCT#1269/PCT#4"</f>
        <v>ACCT#1269/PCT#4</v>
      </c>
    </row>
    <row r="301" spans="1:7" x14ac:dyDescent="0.25">
      <c r="E301" t="str">
        <f>"ACCT#1269/PCT#4"</f>
        <v>ACCT#1269/PCT#4</v>
      </c>
      <c r="F301" s="2">
        <v>5499.93</v>
      </c>
      <c r="G301" t="str">
        <f>"ACCT#1269/PCT#4"</f>
        <v>ACCT#1269/PCT#4</v>
      </c>
    </row>
    <row r="302" spans="1:7" x14ac:dyDescent="0.25">
      <c r="A302" t="s">
        <v>84</v>
      </c>
      <c r="B302">
        <v>1619</v>
      </c>
      <c r="C302" s="2">
        <v>1250</v>
      </c>
      <c r="D302" s="1">
        <v>43754</v>
      </c>
      <c r="E302" t="str">
        <f>"56818"</f>
        <v>56818</v>
      </c>
      <c r="F302" s="2">
        <v>250</v>
      </c>
      <c r="G302" t="str">
        <f>"56818"</f>
        <v>56818</v>
      </c>
    </row>
    <row r="303" spans="1:7" x14ac:dyDescent="0.25">
      <c r="E303" t="str">
        <f>"56 951"</f>
        <v>56 951</v>
      </c>
      <c r="F303" s="2">
        <v>250</v>
      </c>
      <c r="G303" t="str">
        <f>"56 951"</f>
        <v>56 951</v>
      </c>
    </row>
    <row r="304" spans="1:7" x14ac:dyDescent="0.25">
      <c r="E304" t="str">
        <f>"JP107312019  925-353-8821AN2"</f>
        <v>JP107312019  925-353-8821AN2</v>
      </c>
      <c r="F304" s="2">
        <v>250</v>
      </c>
      <c r="G304" t="str">
        <f>"JP107312019  925-353-8821AN2"</f>
        <v>JP107312019  925-353-8821AN2</v>
      </c>
    </row>
    <row r="305" spans="1:8" x14ac:dyDescent="0.25">
      <c r="E305" t="str">
        <f>"207172019-13  925-353-7310A001"</f>
        <v>207172019-13  925-353-7310A001</v>
      </c>
      <c r="F305" s="2">
        <v>250</v>
      </c>
      <c r="G305" t="str">
        <f>"207172019-13  925-353-7310A001"</f>
        <v>207172019-13  925-353-7310A001</v>
      </c>
    </row>
    <row r="306" spans="1:8" x14ac:dyDescent="0.25">
      <c r="E306" t="str">
        <f>"406279-10  925-353-5083 A001"</f>
        <v>406279-10  925-353-5083 A001</v>
      </c>
      <c r="F306" s="2">
        <v>250</v>
      </c>
      <c r="G306" t="str">
        <f>"406279-10  925-353-5083 A001"</f>
        <v>406279-10  925-353-5083 A001</v>
      </c>
    </row>
    <row r="307" spans="1:8" x14ac:dyDescent="0.25">
      <c r="A307" t="s">
        <v>85</v>
      </c>
      <c r="B307">
        <v>84495</v>
      </c>
      <c r="C307" s="2">
        <v>15</v>
      </c>
      <c r="D307" s="1">
        <v>43766</v>
      </c>
      <c r="E307" t="str">
        <f>"REFUND BAIL BOND STICKER#19229"</f>
        <v>REFUND BAIL BOND STICKER#19229</v>
      </c>
      <c r="F307" s="2">
        <v>15</v>
      </c>
      <c r="G307" t="str">
        <f>"REFUND BAIL BOND STICKER#19229"</f>
        <v>REFUND BAIL BOND STICKER#19229</v>
      </c>
    </row>
    <row r="308" spans="1:8" x14ac:dyDescent="0.25">
      <c r="A308" t="s">
        <v>86</v>
      </c>
      <c r="B308">
        <v>84201</v>
      </c>
      <c r="C308" s="2">
        <v>30</v>
      </c>
      <c r="D308" s="1">
        <v>43753</v>
      </c>
      <c r="E308" t="str">
        <f>"CENTRAL ADOPTION REGISTRY FUND"</f>
        <v>CENTRAL ADOPTION REGISTRY FUND</v>
      </c>
      <c r="F308" s="2">
        <v>15</v>
      </c>
      <c r="G308" t="str">
        <f>"CENTRAL ADOPTION REGISTRY FUND"</f>
        <v>CENTRAL ADOPTION REGISTRY FUND</v>
      </c>
    </row>
    <row r="309" spans="1:8" x14ac:dyDescent="0.25">
      <c r="E309" t="str">
        <f>"CENTRAL ADOPTION REGISTRY FUND"</f>
        <v>CENTRAL ADOPTION REGISTRY FUND</v>
      </c>
      <c r="F309" s="2">
        <v>15</v>
      </c>
      <c r="G309" t="str">
        <f>"CENTRAL ADOPTION REGISTRY FUND"</f>
        <v>CENTRAL ADOPTION REGISTRY FUND</v>
      </c>
    </row>
    <row r="310" spans="1:8" x14ac:dyDescent="0.25">
      <c r="A310" t="s">
        <v>86</v>
      </c>
      <c r="B310">
        <v>84496</v>
      </c>
      <c r="C310" s="2">
        <v>30</v>
      </c>
      <c r="D310" s="1">
        <v>43766</v>
      </c>
      <c r="E310" t="str">
        <f>"CENTRAL ADOPTION REGISTRY FUND"</f>
        <v>CENTRAL ADOPTION REGISTRY FUND</v>
      </c>
      <c r="F310" s="2">
        <v>15</v>
      </c>
      <c r="G310" t="str">
        <f>"CENTRAL ADOPTION REGISTRY FUND"</f>
        <v>CENTRAL ADOPTION REGISTRY FUND</v>
      </c>
    </row>
    <row r="311" spans="1:8" x14ac:dyDescent="0.25">
      <c r="E311" t="str">
        <f>"CENTRAL ADOPTION REGISTRY FUND"</f>
        <v>CENTRAL ADOPTION REGISTRY FUND</v>
      </c>
      <c r="F311" s="2">
        <v>15</v>
      </c>
      <c r="G311" t="str">
        <f>"CENTRAL ADOPTION REGISTRY FUND"</f>
        <v>CENTRAL ADOPTION REGISTRY FUND</v>
      </c>
    </row>
    <row r="312" spans="1:8" x14ac:dyDescent="0.25">
      <c r="A312" t="s">
        <v>87</v>
      </c>
      <c r="B312">
        <v>84497</v>
      </c>
      <c r="C312" s="2">
        <v>425</v>
      </c>
      <c r="D312" s="1">
        <v>43766</v>
      </c>
      <c r="E312" t="str">
        <f>"WORK ORD#8870/PCT#3"</f>
        <v>WORK ORD#8870/PCT#3</v>
      </c>
      <c r="F312" s="2">
        <v>425</v>
      </c>
      <c r="G312" t="str">
        <f>"WORK ORD#8870/PCT#3"</f>
        <v>WORK ORD#8870/PCT#3</v>
      </c>
    </row>
    <row r="313" spans="1:8" x14ac:dyDescent="0.25">
      <c r="A313" t="s">
        <v>88</v>
      </c>
      <c r="B313">
        <v>84202</v>
      </c>
      <c r="C313" s="2">
        <v>240</v>
      </c>
      <c r="D313" s="1">
        <v>43753</v>
      </c>
      <c r="E313" t="s">
        <v>59</v>
      </c>
      <c r="F313" s="2" t="str">
        <f>"SERVICE"</f>
        <v>SERVICE</v>
      </c>
      <c r="G313" t="str">
        <f>"995-4110"</f>
        <v>995-4110</v>
      </c>
      <c r="H313" t="str">
        <f>""</f>
        <v/>
      </c>
    </row>
    <row r="314" spans="1:8" x14ac:dyDescent="0.25">
      <c r="A314" t="s">
        <v>89</v>
      </c>
      <c r="B314">
        <v>84203</v>
      </c>
      <c r="C314" s="2">
        <v>4548.6000000000004</v>
      </c>
      <c r="D314" s="1">
        <v>43753</v>
      </c>
      <c r="E314" t="str">
        <f>"INV 2019RTA 922"</f>
        <v>INV 2019RTA 922</v>
      </c>
      <c r="F314" s="2">
        <v>95</v>
      </c>
      <c r="G314" t="str">
        <f>"INV 2019RTA 922"</f>
        <v>INV 2019RTA 922</v>
      </c>
    </row>
    <row r="315" spans="1:8" x14ac:dyDescent="0.25">
      <c r="E315" t="str">
        <f>"2020 CAPCOG DUES-MEMBERSHIP"</f>
        <v>2020 CAPCOG DUES-MEMBERSHIP</v>
      </c>
      <c r="F315" s="2">
        <v>4453.6000000000004</v>
      </c>
      <c r="G315" t="str">
        <f>"2020 CAPCOG DUES-MEMBERSHIP"</f>
        <v>2020 CAPCOG DUES-MEMBERSHIP</v>
      </c>
    </row>
    <row r="316" spans="1:8" x14ac:dyDescent="0.25">
      <c r="A316" t="s">
        <v>89</v>
      </c>
      <c r="B316">
        <v>84498</v>
      </c>
      <c r="C316" s="2">
        <v>7239</v>
      </c>
      <c r="D316" s="1">
        <v>43766</v>
      </c>
      <c r="E316" t="str">
        <f>"FY2020 AIR QUALITY PROGRAM"</f>
        <v>FY2020 AIR QUALITY PROGRAM</v>
      </c>
      <c r="F316" s="2">
        <v>7239</v>
      </c>
      <c r="G316" t="str">
        <f>"FY2020 AIR QUALITY PROGRAM"</f>
        <v>FY2020 AIR QUALITY PROGRAM</v>
      </c>
    </row>
    <row r="317" spans="1:8" x14ac:dyDescent="0.25">
      <c r="A317" t="s">
        <v>90</v>
      </c>
      <c r="B317">
        <v>1586</v>
      </c>
      <c r="C317" s="2">
        <v>997.34</v>
      </c>
      <c r="D317" s="1">
        <v>43754</v>
      </c>
      <c r="E317" t="str">
        <f>"ORD#00421852/PCT#2"</f>
        <v>ORD#00421852/PCT#2</v>
      </c>
      <c r="F317" s="2">
        <v>870</v>
      </c>
      <c r="G317" t="str">
        <f>"ORD#00421852/PCT#2"</f>
        <v>ORD#00421852/PCT#2</v>
      </c>
    </row>
    <row r="318" spans="1:8" x14ac:dyDescent="0.25">
      <c r="E318" t="str">
        <f>"ACCT#000690/PCT#4"</f>
        <v>ACCT#000690/PCT#4</v>
      </c>
      <c r="F318" s="2">
        <v>127.34</v>
      </c>
      <c r="G318" t="str">
        <f>"ACCT#000690/PCT#4"</f>
        <v>ACCT#000690/PCT#4</v>
      </c>
    </row>
    <row r="319" spans="1:8" x14ac:dyDescent="0.25">
      <c r="A319" t="s">
        <v>91</v>
      </c>
      <c r="B319">
        <v>84499</v>
      </c>
      <c r="C319" s="2">
        <v>33.270000000000003</v>
      </c>
      <c r="D319" s="1">
        <v>43766</v>
      </c>
      <c r="E319" t="str">
        <f>"INDIGENT HEALTH"</f>
        <v>INDIGENT HEALTH</v>
      </c>
      <c r="F319" s="2">
        <v>33.270000000000003</v>
      </c>
      <c r="G319" t="str">
        <f>"INDIGENT HEALTH"</f>
        <v>INDIGENT HEALTH</v>
      </c>
    </row>
    <row r="320" spans="1:8" x14ac:dyDescent="0.25">
      <c r="A320" t="s">
        <v>92</v>
      </c>
      <c r="B320">
        <v>84500</v>
      </c>
      <c r="C320" s="2">
        <v>10000</v>
      </c>
      <c r="D320" s="1">
        <v>43766</v>
      </c>
      <c r="E320" t="str">
        <f>"FY2019-2020 FUNDS"</f>
        <v>FY2019-2020 FUNDS</v>
      </c>
      <c r="F320" s="2">
        <v>10000</v>
      </c>
      <c r="G320" t="str">
        <f>"FY2019-2020 FUNDS"</f>
        <v>FY2019-2020 FUNDS</v>
      </c>
    </row>
    <row r="321" spans="1:7" x14ac:dyDescent="0.25">
      <c r="A321" t="s">
        <v>93</v>
      </c>
      <c r="B321">
        <v>84204</v>
      </c>
      <c r="C321" s="2">
        <v>11000</v>
      </c>
      <c r="D321" s="1">
        <v>43753</v>
      </c>
      <c r="E321" t="str">
        <f>"FY 2019-2020"</f>
        <v>FY 2019-2020</v>
      </c>
      <c r="F321" s="2">
        <v>11000</v>
      </c>
      <c r="G321" t="str">
        <f>"FY 2019-2020"</f>
        <v>FY 2019-2020</v>
      </c>
    </row>
    <row r="322" spans="1:7" x14ac:dyDescent="0.25">
      <c r="A322" t="s">
        <v>94</v>
      </c>
      <c r="B322">
        <v>1589</v>
      </c>
      <c r="C322" s="2">
        <v>7227.5</v>
      </c>
      <c r="D322" s="1">
        <v>43754</v>
      </c>
      <c r="E322" t="str">
        <f>"15 914  05/24-09/23"</f>
        <v>15 914  05/24-09/23</v>
      </c>
      <c r="F322" s="2">
        <v>7227.5</v>
      </c>
      <c r="G322" t="str">
        <f>"15 914  05/24-09/23"</f>
        <v>15 914  05/24-09/23</v>
      </c>
    </row>
    <row r="323" spans="1:7" x14ac:dyDescent="0.25">
      <c r="A323" t="s">
        <v>95</v>
      </c>
      <c r="B323">
        <v>1554</v>
      </c>
      <c r="C323" s="2">
        <v>155</v>
      </c>
      <c r="D323" s="1">
        <v>43754</v>
      </c>
      <c r="E323" t="str">
        <f>"JOB#19494947/211 JACKSON"</f>
        <v>JOB#19494947/211 JACKSON</v>
      </c>
      <c r="F323" s="2">
        <v>155</v>
      </c>
      <c r="G323" t="str">
        <f>"JOB#19494947/211 JACKSON"</f>
        <v>JOB#19494947/211 JACKSON</v>
      </c>
    </row>
    <row r="324" spans="1:7" x14ac:dyDescent="0.25">
      <c r="A324" t="s">
        <v>96</v>
      </c>
      <c r="B324">
        <v>84205</v>
      </c>
      <c r="C324" s="2">
        <v>310</v>
      </c>
      <c r="D324" s="1">
        <v>43753</v>
      </c>
      <c r="E324" t="str">
        <f>"WATER BARRIER RENTAL/PCT#2"</f>
        <v>WATER BARRIER RENTAL/PCT#2</v>
      </c>
      <c r="F324" s="2">
        <v>310</v>
      </c>
      <c r="G324" t="str">
        <f>"WATER BARRIER RENTAL/PCT#2"</f>
        <v>WATER BARRIER RENTAL/PCT#2</v>
      </c>
    </row>
    <row r="325" spans="1:7" x14ac:dyDescent="0.25">
      <c r="A325" t="s">
        <v>97</v>
      </c>
      <c r="B325">
        <v>84206</v>
      </c>
      <c r="C325" s="2">
        <v>70</v>
      </c>
      <c r="D325" s="1">
        <v>43753</v>
      </c>
      <c r="E325" t="s">
        <v>98</v>
      </c>
      <c r="F325" s="2" t="str">
        <f>"RESTITUTION-J. SOTO"</f>
        <v>RESTITUTION-J. SOTO</v>
      </c>
    </row>
    <row r="326" spans="1:7" x14ac:dyDescent="0.25">
      <c r="A326" t="s">
        <v>99</v>
      </c>
      <c r="B326">
        <v>84501</v>
      </c>
      <c r="C326" s="2">
        <v>500</v>
      </c>
      <c r="D326" s="1">
        <v>43766</v>
      </c>
      <c r="E326" t="str">
        <f>"INV 17-224"</f>
        <v>INV 17-224</v>
      </c>
      <c r="F326" s="2">
        <v>500</v>
      </c>
      <c r="G326" t="str">
        <f>"INV 17-224"</f>
        <v>INV 17-224</v>
      </c>
    </row>
    <row r="327" spans="1:7" x14ac:dyDescent="0.25">
      <c r="A327" t="s">
        <v>100</v>
      </c>
      <c r="B327">
        <v>84502</v>
      </c>
      <c r="C327" s="2">
        <v>12500</v>
      </c>
      <c r="D327" s="1">
        <v>43766</v>
      </c>
      <c r="E327" t="str">
        <f>"FY 2020 AWARD"</f>
        <v>FY 2020 AWARD</v>
      </c>
      <c r="F327" s="2">
        <v>12500</v>
      </c>
      <c r="G327" t="str">
        <f>"FY 2020 AWARD"</f>
        <v>FY 2020 AWARD</v>
      </c>
    </row>
    <row r="328" spans="1:7" x14ac:dyDescent="0.25">
      <c r="A328" t="s">
        <v>101</v>
      </c>
      <c r="B328">
        <v>1618</v>
      </c>
      <c r="C328" s="2">
        <v>4450</v>
      </c>
      <c r="D328" s="1">
        <v>43754</v>
      </c>
      <c r="E328" t="str">
        <f>"1JP4161813"</f>
        <v>1JP4161813</v>
      </c>
      <c r="F328" s="2">
        <v>400</v>
      </c>
      <c r="G328" t="str">
        <f>"1JP4161813"</f>
        <v>1JP4161813</v>
      </c>
    </row>
    <row r="329" spans="1:7" x14ac:dyDescent="0.25">
      <c r="E329" t="str">
        <f>"16 833  16 916"</f>
        <v>16 833  16 916</v>
      </c>
      <c r="F329" s="2">
        <v>600</v>
      </c>
      <c r="G329" t="str">
        <f>"16 833  16 916"</f>
        <v>16 833  16 916</v>
      </c>
    </row>
    <row r="330" spans="1:7" x14ac:dyDescent="0.25">
      <c r="E330" t="str">
        <f>"19-19627"</f>
        <v>19-19627</v>
      </c>
      <c r="F330" s="2">
        <v>100</v>
      </c>
      <c r="G330" t="str">
        <f>"19-19627"</f>
        <v>19-19627</v>
      </c>
    </row>
    <row r="331" spans="1:7" x14ac:dyDescent="0.25">
      <c r="E331" t="str">
        <f>"56 530"</f>
        <v>56 530</v>
      </c>
      <c r="F331" s="2">
        <v>250</v>
      </c>
      <c r="G331" t="str">
        <f>"56 530"</f>
        <v>56 530</v>
      </c>
    </row>
    <row r="332" spans="1:7" x14ac:dyDescent="0.25">
      <c r="E332" t="str">
        <f>"16 071"</f>
        <v>16 071</v>
      </c>
      <c r="F332" s="2">
        <v>2900</v>
      </c>
      <c r="G332" t="str">
        <f>"16 071"</f>
        <v>16 071</v>
      </c>
    </row>
    <row r="333" spans="1:7" x14ac:dyDescent="0.25">
      <c r="E333" t="str">
        <f>"18-19365"</f>
        <v>18-19365</v>
      </c>
      <c r="F333" s="2">
        <v>100</v>
      </c>
      <c r="G333" t="str">
        <f>"18-19365"</f>
        <v>18-19365</v>
      </c>
    </row>
    <row r="334" spans="1:7" x14ac:dyDescent="0.25">
      <c r="E334" t="str">
        <f>"19-19893"</f>
        <v>19-19893</v>
      </c>
      <c r="F334" s="2">
        <v>100</v>
      </c>
      <c r="G334" t="str">
        <f>"19-19893"</f>
        <v>19-19893</v>
      </c>
    </row>
    <row r="335" spans="1:7" x14ac:dyDescent="0.25">
      <c r="A335" t="s">
        <v>101</v>
      </c>
      <c r="B335">
        <v>1688</v>
      </c>
      <c r="C335" s="2">
        <v>750</v>
      </c>
      <c r="D335" s="1">
        <v>43767</v>
      </c>
      <c r="E335" t="str">
        <f>"57 023"</f>
        <v>57 023</v>
      </c>
      <c r="F335" s="2">
        <v>250</v>
      </c>
      <c r="G335" t="str">
        <f>"57 023"</f>
        <v>57 023</v>
      </c>
    </row>
    <row r="336" spans="1:7" x14ac:dyDescent="0.25">
      <c r="E336" t="str">
        <f>"57061"</f>
        <v>57061</v>
      </c>
      <c r="F336" s="2">
        <v>250</v>
      </c>
      <c r="G336" t="str">
        <f>"57061"</f>
        <v>57061</v>
      </c>
    </row>
    <row r="337" spans="1:8" x14ac:dyDescent="0.25">
      <c r="E337" t="str">
        <f>"409067.5"</f>
        <v>409067.5</v>
      </c>
      <c r="F337" s="2">
        <v>250</v>
      </c>
      <c r="G337" t="str">
        <f>"409067.5"</f>
        <v>409067.5</v>
      </c>
    </row>
    <row r="338" spans="1:8" x14ac:dyDescent="0.25">
      <c r="A338" t="s">
        <v>102</v>
      </c>
      <c r="B338">
        <v>84207</v>
      </c>
      <c r="C338" s="2">
        <v>130</v>
      </c>
      <c r="D338" s="1">
        <v>43753</v>
      </c>
      <c r="E338" t="s">
        <v>103</v>
      </c>
      <c r="F338" s="2" t="str">
        <f>"OVERPAYMENT OF RESTITUTION"</f>
        <v>OVERPAYMENT OF RESTITUTION</v>
      </c>
      <c r="G338" t="str">
        <f>"210-0000"</f>
        <v>210-0000</v>
      </c>
      <c r="H338" t="str">
        <f>""</f>
        <v/>
      </c>
    </row>
    <row r="339" spans="1:8" x14ac:dyDescent="0.25">
      <c r="A339" t="s">
        <v>104</v>
      </c>
      <c r="B339">
        <v>84208</v>
      </c>
      <c r="C339" s="2">
        <v>120</v>
      </c>
      <c r="D339" s="1">
        <v>43753</v>
      </c>
      <c r="E339" t="str">
        <f>"PER DIEM"</f>
        <v>PER DIEM</v>
      </c>
      <c r="F339" s="2">
        <v>120</v>
      </c>
      <c r="G339" t="str">
        <f>"PER DIEM"</f>
        <v>PER DIEM</v>
      </c>
    </row>
    <row r="340" spans="1:8" x14ac:dyDescent="0.25">
      <c r="A340" t="s">
        <v>105</v>
      </c>
      <c r="B340">
        <v>84209</v>
      </c>
      <c r="C340" s="2">
        <v>222.46</v>
      </c>
      <c r="D340" s="1">
        <v>43753</v>
      </c>
      <c r="E340" t="str">
        <f>"CUST#0011167190/PCT#1"</f>
        <v>CUST#0011167190/PCT#1</v>
      </c>
      <c r="F340" s="2">
        <v>72.459999999999994</v>
      </c>
      <c r="G340" t="str">
        <f>"CUST#0011167190/PCT#1"</f>
        <v>CUST#0011167190/PCT#1</v>
      </c>
    </row>
    <row r="341" spans="1:8" x14ac:dyDescent="0.25">
      <c r="E341" t="str">
        <f>"INV 9064306154"</f>
        <v>INV 9064306154</v>
      </c>
      <c r="F341" s="2">
        <v>100</v>
      </c>
      <c r="G341" t="str">
        <f>"INV 9064306154"</f>
        <v>INV 9064306154</v>
      </c>
    </row>
    <row r="342" spans="1:8" x14ac:dyDescent="0.25">
      <c r="E342" t="str">
        <f>"INV 9064306156"</f>
        <v>INV 9064306156</v>
      </c>
      <c r="F342" s="2">
        <v>50</v>
      </c>
      <c r="G342" t="str">
        <f>"INV 9064306156"</f>
        <v>INV 9064306156</v>
      </c>
    </row>
    <row r="343" spans="1:8" x14ac:dyDescent="0.25">
      <c r="A343" t="s">
        <v>105</v>
      </c>
      <c r="B343">
        <v>84503</v>
      </c>
      <c r="C343" s="2">
        <v>137.13999999999999</v>
      </c>
      <c r="D343" s="1">
        <v>43766</v>
      </c>
      <c r="E343" t="str">
        <f>"CUST#0011167190/PCT#1"</f>
        <v>CUST#0011167190/PCT#1</v>
      </c>
      <c r="F343" s="2">
        <v>137.13999999999999</v>
      </c>
      <c r="G343" t="str">
        <f>"CUST#0011167190/PCT#1"</f>
        <v>CUST#0011167190/PCT#1</v>
      </c>
    </row>
    <row r="344" spans="1:8" x14ac:dyDescent="0.25">
      <c r="A344" t="s">
        <v>106</v>
      </c>
      <c r="B344">
        <v>84210</v>
      </c>
      <c r="C344" s="2">
        <v>75.2</v>
      </c>
      <c r="D344" s="1">
        <v>43753</v>
      </c>
      <c r="E344" t="str">
        <f>"CUST#10377368/PCT#2"</f>
        <v>CUST#10377368/PCT#2</v>
      </c>
      <c r="F344" s="2">
        <v>75.2</v>
      </c>
      <c r="G344" t="str">
        <f>"CUST#10377368/PCT#2"</f>
        <v>CUST#10377368/PCT#2</v>
      </c>
    </row>
    <row r="345" spans="1:8" x14ac:dyDescent="0.25">
      <c r="A345" t="s">
        <v>107</v>
      </c>
      <c r="B345">
        <v>84211</v>
      </c>
      <c r="C345" s="2">
        <v>3808.62</v>
      </c>
      <c r="D345" s="1">
        <v>43753</v>
      </c>
      <c r="E345" t="str">
        <f>"PAYER#14108430/PCT#4"</f>
        <v>PAYER#14108430/PCT#4</v>
      </c>
      <c r="F345" s="2">
        <v>1165.45</v>
      </c>
      <c r="G345" t="str">
        <f>"PAYER#14108430/PCT#4"</f>
        <v>PAYER#14108430/PCT#4</v>
      </c>
    </row>
    <row r="346" spans="1:8" x14ac:dyDescent="0.25">
      <c r="E346" t="str">
        <f>"PAYER#14108431"</f>
        <v>PAYER#14108431</v>
      </c>
      <c r="F346" s="2">
        <v>33.54</v>
      </c>
      <c r="G346" t="str">
        <f>"PAYER#14108431"</f>
        <v>PAYER#14108431</v>
      </c>
    </row>
    <row r="347" spans="1:8" x14ac:dyDescent="0.25">
      <c r="E347" t="str">
        <f>"PAYER#14108375/GEN SVCS"</f>
        <v>PAYER#14108375/GEN SVCS</v>
      </c>
      <c r="F347" s="2">
        <v>1078.55</v>
      </c>
      <c r="G347" t="str">
        <f>"PAYER#14108375/GEN SVCS"</f>
        <v>PAYER#14108375/GEN SVCS</v>
      </c>
    </row>
    <row r="348" spans="1:8" x14ac:dyDescent="0.25">
      <c r="E348" t="str">
        <f>"PAYER#14108431/PCT#1"</f>
        <v>PAYER#14108431/PCT#1</v>
      </c>
      <c r="F348" s="2">
        <v>584.4</v>
      </c>
      <c r="G348" t="str">
        <f>"PAYER#14108431/PCT#1"</f>
        <v>PAYER#14108431/PCT#1</v>
      </c>
    </row>
    <row r="349" spans="1:8" x14ac:dyDescent="0.25">
      <c r="E349" t="str">
        <f>"PAYER#1408367/PCT#2"</f>
        <v>PAYER#1408367/PCT#2</v>
      </c>
      <c r="F349" s="2">
        <v>638.52</v>
      </c>
      <c r="G349" t="str">
        <f>"PAYER#1408367/PCT#2"</f>
        <v>PAYER#1408367/PCT#2</v>
      </c>
    </row>
    <row r="350" spans="1:8" x14ac:dyDescent="0.25">
      <c r="E350" t="str">
        <f>"PAYER#14108463/ANIMAL SHELTER"</f>
        <v>PAYER#14108463/ANIMAL SHELTER</v>
      </c>
      <c r="F350" s="2">
        <v>308.16000000000003</v>
      </c>
      <c r="G350" t="str">
        <f>"PAYER#14108463/ANIMAL SHELTER"</f>
        <v>PAYER#14108463/ANIMAL SHELTER</v>
      </c>
    </row>
    <row r="351" spans="1:8" x14ac:dyDescent="0.25">
      <c r="A351" t="s">
        <v>106</v>
      </c>
      <c r="B351">
        <v>84504</v>
      </c>
      <c r="C351" s="2">
        <v>493.28</v>
      </c>
      <c r="D351" s="1">
        <v>43766</v>
      </c>
      <c r="E351" t="str">
        <f>"CUST#10377368/PCT#3"</f>
        <v>CUST#10377368/PCT#3</v>
      </c>
      <c r="F351" s="2">
        <v>493.28</v>
      </c>
      <c r="G351" t="str">
        <f>"CUST#10377368/PCT#3"</f>
        <v>CUST#10377368/PCT#3</v>
      </c>
    </row>
    <row r="352" spans="1:8" x14ac:dyDescent="0.25">
      <c r="A352" t="s">
        <v>108</v>
      </c>
      <c r="B352">
        <v>1563</v>
      </c>
      <c r="C352" s="2">
        <v>8529.2000000000007</v>
      </c>
      <c r="D352" s="1">
        <v>43754</v>
      </c>
      <c r="E352" t="str">
        <f>"Renewal"</f>
        <v>Renewal</v>
      </c>
      <c r="F352" s="2">
        <v>8529.2000000000007</v>
      </c>
    </row>
    <row r="353" spans="1:7" x14ac:dyDescent="0.25">
      <c r="A353" t="s">
        <v>108</v>
      </c>
      <c r="B353">
        <v>1563</v>
      </c>
      <c r="C353" s="2">
        <v>-8529.2000000000007</v>
      </c>
      <c r="D353" s="1">
        <v>43754</v>
      </c>
      <c r="E353" t="str">
        <f>""</f>
        <v/>
      </c>
      <c r="F353" s="2">
        <v>-8529.2000000000007</v>
      </c>
    </row>
    <row r="354" spans="1:7" x14ac:dyDescent="0.25">
      <c r="A354" t="s">
        <v>108</v>
      </c>
      <c r="B354">
        <v>1563</v>
      </c>
      <c r="C354" s="2">
        <v>8529.2000000000007</v>
      </c>
      <c r="D354" s="1">
        <v>43755</v>
      </c>
      <c r="E354" t="str">
        <f>""</f>
        <v/>
      </c>
      <c r="F354" s="2">
        <v>8529.2000000000007</v>
      </c>
    </row>
    <row r="355" spans="1:7" x14ac:dyDescent="0.25">
      <c r="A355" t="s">
        <v>108</v>
      </c>
      <c r="B355">
        <v>1624</v>
      </c>
      <c r="C355" s="2">
        <v>8529.2000000000007</v>
      </c>
      <c r="D355" s="1">
        <v>43760</v>
      </c>
      <c r="E355" t="str">
        <f>"SUBSCRIPTION RENEWAL - 1 YR"</f>
        <v>SUBSCRIPTION RENEWAL - 1 YR</v>
      </c>
      <c r="F355" s="2">
        <v>8529.2000000000007</v>
      </c>
      <c r="G355" t="str">
        <f>"SUBSCRIPTION RENEWAL - 1 YR"</f>
        <v>SUBSCRIPTION RENEWAL - 1 YR</v>
      </c>
    </row>
    <row r="356" spans="1:7" x14ac:dyDescent="0.25">
      <c r="A356" t="s">
        <v>109</v>
      </c>
      <c r="B356">
        <v>84505</v>
      </c>
      <c r="C356" s="2">
        <v>750</v>
      </c>
      <c r="D356" s="1">
        <v>43766</v>
      </c>
      <c r="E356" t="str">
        <f>"RENTAL-PARKING LOT"</f>
        <v>RENTAL-PARKING LOT</v>
      </c>
      <c r="F356" s="2">
        <v>750</v>
      </c>
      <c r="G356" t="str">
        <f>"RENTAL-PARKING LOT"</f>
        <v>RENTAL-PARKING LOT</v>
      </c>
    </row>
    <row r="357" spans="1:7" x14ac:dyDescent="0.25">
      <c r="A357" t="s">
        <v>110</v>
      </c>
      <c r="B357">
        <v>84158</v>
      </c>
      <c r="C357" s="2">
        <v>2071.7600000000002</v>
      </c>
      <c r="D357" s="1">
        <v>43742</v>
      </c>
      <c r="E357" t="str">
        <f>"ACCT#007-0000388-000/09272019"</f>
        <v>ACCT#007-0000388-000/09272019</v>
      </c>
      <c r="F357" s="2">
        <v>758.57</v>
      </c>
      <c r="G357" t="str">
        <f>"ACCT#007-0000388-000/09272019"</f>
        <v>ACCT#007-0000388-000/09272019</v>
      </c>
    </row>
    <row r="358" spans="1:7" x14ac:dyDescent="0.25">
      <c r="E358" t="str">
        <f>"ACCT#007-0000389-000/09272019"</f>
        <v>ACCT#007-0000389-000/09272019</v>
      </c>
      <c r="F358" s="2">
        <v>147.11000000000001</v>
      </c>
      <c r="G358" t="str">
        <f>"ACCT#007-0000389-000/09272019"</f>
        <v>ACCT#007-0000389-000/09272019</v>
      </c>
    </row>
    <row r="359" spans="1:7" x14ac:dyDescent="0.25">
      <c r="E359" t="str">
        <f>"ACCT#044-0001250-000/09272019"</f>
        <v>ACCT#044-0001250-000/09272019</v>
      </c>
      <c r="F359" s="2">
        <v>67.69</v>
      </c>
      <c r="G359" t="str">
        <f>"ACCT#044-0001250-000/09272019"</f>
        <v>ACCT#044-0001250-000/09272019</v>
      </c>
    </row>
    <row r="360" spans="1:7" x14ac:dyDescent="0.25">
      <c r="E360" t="str">
        <f>"ACCT#044-0001252-000/09272019"</f>
        <v>ACCT#044-0001252-000/09272019</v>
      </c>
      <c r="F360" s="2">
        <v>444.6</v>
      </c>
      <c r="G360" t="str">
        <f>"ACCT#044-0001252-000/09272019"</f>
        <v>ACCT#044-0001252-000/09272019</v>
      </c>
    </row>
    <row r="361" spans="1:7" x14ac:dyDescent="0.25">
      <c r="E361" t="str">
        <f>"ACCT#044-0001253-000/09272019"</f>
        <v>ACCT#044-0001253-000/09272019</v>
      </c>
      <c r="F361" s="2">
        <v>143.1</v>
      </c>
      <c r="G361" t="str">
        <f>"ACCT#044-0001253-000/09272019"</f>
        <v>ACCT#044-0001253-000/09272019</v>
      </c>
    </row>
    <row r="362" spans="1:7" x14ac:dyDescent="0.25">
      <c r="E362" t="str">
        <f>"ACCT#044-0001240-000/09272019"</f>
        <v>ACCT#044-0001240-000/09272019</v>
      </c>
      <c r="F362" s="2">
        <v>510.69</v>
      </c>
      <c r="G362" t="str">
        <f>"ACCT#044-0001240-000/09272019"</f>
        <v>ACCT#044-0001240-000/09272019</v>
      </c>
    </row>
    <row r="363" spans="1:7" x14ac:dyDescent="0.25">
      <c r="A363" t="s">
        <v>111</v>
      </c>
      <c r="B363">
        <v>84506</v>
      </c>
      <c r="C363" s="2">
        <v>363.7</v>
      </c>
      <c r="D363" s="1">
        <v>43766</v>
      </c>
      <c r="E363" t="str">
        <f>"REIMBURSEMENT- HOTEL"</f>
        <v>REIMBURSEMENT- HOTEL</v>
      </c>
      <c r="F363" s="2">
        <v>363.7</v>
      </c>
      <c r="G363" t="str">
        <f>"REIMBURSEMENT- HOTEL"</f>
        <v>REIMBURSEMENT- HOTEL</v>
      </c>
    </row>
    <row r="364" spans="1:7" x14ac:dyDescent="0.25">
      <c r="A364" t="s">
        <v>112</v>
      </c>
      <c r="B364">
        <v>84212</v>
      </c>
      <c r="C364" s="2">
        <v>646.4</v>
      </c>
      <c r="D364" s="1">
        <v>43753</v>
      </c>
      <c r="E364" t="str">
        <f>"INTERPRETER"</f>
        <v>INTERPRETER</v>
      </c>
      <c r="F364" s="2">
        <v>646.4</v>
      </c>
      <c r="G364" t="str">
        <f>"INTERPRETER"</f>
        <v>INTERPRETER</v>
      </c>
    </row>
    <row r="365" spans="1:7" x14ac:dyDescent="0.25">
      <c r="A365" t="s">
        <v>112</v>
      </c>
      <c r="B365">
        <v>84507</v>
      </c>
      <c r="C365" s="2">
        <v>346.4</v>
      </c>
      <c r="D365" s="1">
        <v>43766</v>
      </c>
      <c r="E365" t="str">
        <f>"005895"</f>
        <v>005895</v>
      </c>
      <c r="F365" s="2">
        <v>346.4</v>
      </c>
      <c r="G365" t="str">
        <f>"005895"</f>
        <v>005895</v>
      </c>
    </row>
    <row r="366" spans="1:7" x14ac:dyDescent="0.25">
      <c r="A366" t="s">
        <v>113</v>
      </c>
      <c r="B366">
        <v>1541</v>
      </c>
      <c r="C366" s="2">
        <v>3424</v>
      </c>
      <c r="D366" s="1">
        <v>43754</v>
      </c>
      <c r="E366" t="str">
        <f>"INV PMA-0054901"</f>
        <v>INV PMA-0054901</v>
      </c>
      <c r="F366" s="2">
        <v>3424</v>
      </c>
      <c r="G366" t="str">
        <f>"INV PMA-0054901"</f>
        <v>INV PMA-0054901</v>
      </c>
    </row>
    <row r="367" spans="1:7" x14ac:dyDescent="0.25">
      <c r="A367" t="s">
        <v>113</v>
      </c>
      <c r="B367">
        <v>1633</v>
      </c>
      <c r="C367" s="2">
        <v>1088</v>
      </c>
      <c r="D367" s="1">
        <v>43767</v>
      </c>
      <c r="E367" t="str">
        <f>"AGREEMENT#PMA-013606"</f>
        <v>AGREEMENT#PMA-013606</v>
      </c>
      <c r="F367" s="2">
        <v>1088</v>
      </c>
      <c r="G367" t="str">
        <f>"AGREEMENT#PMA-013606"</f>
        <v>AGREEMENT#PMA-013606</v>
      </c>
    </row>
    <row r="368" spans="1:7" x14ac:dyDescent="0.25">
      <c r="A368" t="s">
        <v>114</v>
      </c>
      <c r="B368">
        <v>1661</v>
      </c>
      <c r="C368" s="2">
        <v>460.21</v>
      </c>
      <c r="D368" s="1">
        <v>43767</v>
      </c>
      <c r="E368" t="str">
        <f>"INV 201909-0"</f>
        <v>INV 201909-0</v>
      </c>
      <c r="F368" s="2">
        <v>41.25</v>
      </c>
      <c r="G368" t="str">
        <f>"INV 201909-0"</f>
        <v>INV 201909-0</v>
      </c>
    </row>
    <row r="369" spans="1:8" x14ac:dyDescent="0.25">
      <c r="E369" t="str">
        <f>"INDIGENT HEALTH"</f>
        <v>INDIGENT HEALTH</v>
      </c>
      <c r="F369" s="2">
        <v>418.96</v>
      </c>
      <c r="G369" t="str">
        <f>"INDIGENT HEALTH"</f>
        <v>INDIGENT HEALTH</v>
      </c>
    </row>
    <row r="370" spans="1:8" x14ac:dyDescent="0.25">
      <c r="A370" t="s">
        <v>115</v>
      </c>
      <c r="B370">
        <v>84508</v>
      </c>
      <c r="C370" s="2">
        <v>89.01</v>
      </c>
      <c r="D370" s="1">
        <v>43766</v>
      </c>
      <c r="E370" t="str">
        <f>"INDIGENT HEALTH"</f>
        <v>INDIGENT HEALTH</v>
      </c>
      <c r="F370" s="2">
        <v>89.01</v>
      </c>
      <c r="G370" t="str">
        <f>"INDIGENT HEALTH"</f>
        <v>INDIGENT HEALTH</v>
      </c>
    </row>
    <row r="371" spans="1:8" x14ac:dyDescent="0.25">
      <c r="A371" t="s">
        <v>116</v>
      </c>
      <c r="B371">
        <v>84509</v>
      </c>
      <c r="C371" s="2">
        <v>66</v>
      </c>
      <c r="D371" s="1">
        <v>43766</v>
      </c>
      <c r="E371" t="str">
        <f>"INV 8028000"</f>
        <v>INV 8028000</v>
      </c>
      <c r="F371" s="2">
        <v>66</v>
      </c>
      <c r="G371" t="str">
        <f>"INV 8028000"</f>
        <v>INV 8028000</v>
      </c>
    </row>
    <row r="372" spans="1:8" x14ac:dyDescent="0.25">
      <c r="A372" t="s">
        <v>117</v>
      </c>
      <c r="B372">
        <v>84213</v>
      </c>
      <c r="C372" s="2">
        <v>16068.99</v>
      </c>
      <c r="D372" s="1">
        <v>43753</v>
      </c>
      <c r="E372" t="str">
        <f>"CUST#1323/PCT#2"</f>
        <v>CUST#1323/PCT#2</v>
      </c>
      <c r="F372" s="2">
        <v>4569.6000000000004</v>
      </c>
      <c r="G372" t="str">
        <f>"CUST#1323/PCT#2"</f>
        <v>CUST#1323/PCT#2</v>
      </c>
    </row>
    <row r="373" spans="1:8" x14ac:dyDescent="0.25">
      <c r="E373" t="str">
        <f>"CUST#1323/PCT#2"</f>
        <v>CUST#1323/PCT#2</v>
      </c>
      <c r="F373" s="2">
        <v>5527.41</v>
      </c>
      <c r="G373" t="str">
        <f>"CUST#1323/PCT#2"</f>
        <v>CUST#1323/PCT#2</v>
      </c>
    </row>
    <row r="374" spans="1:8" x14ac:dyDescent="0.25">
      <c r="E374" t="str">
        <f>"CUST#1323/PCT#2"</f>
        <v>CUST#1323/PCT#2</v>
      </c>
      <c r="F374" s="2">
        <v>5971.98</v>
      </c>
      <c r="G374" t="str">
        <f>"CUST#1323/PCT#2"</f>
        <v>CUST#1323/PCT#2</v>
      </c>
    </row>
    <row r="375" spans="1:8" x14ac:dyDescent="0.25">
      <c r="A375" t="s">
        <v>117</v>
      </c>
      <c r="B375">
        <v>84510</v>
      </c>
      <c r="C375" s="2">
        <v>3008.88</v>
      </c>
      <c r="D375" s="1">
        <v>43766</v>
      </c>
      <c r="E375" t="str">
        <f>"CUST#1323/PCT#2"</f>
        <v>CUST#1323/PCT#2</v>
      </c>
      <c r="F375" s="2">
        <v>1478.61</v>
      </c>
      <c r="G375" t="str">
        <f>"CUST#1323/PCT#2"</f>
        <v>CUST#1323/PCT#2</v>
      </c>
    </row>
    <row r="376" spans="1:8" x14ac:dyDescent="0.25">
      <c r="E376" t="str">
        <f>"CUST#1323/PCT#2"</f>
        <v>CUST#1323/PCT#2</v>
      </c>
      <c r="F376" s="2">
        <v>1530.27</v>
      </c>
      <c r="G376" t="str">
        <f>"CUST#1323/PCT#2"</f>
        <v>CUST#1323/PCT#2</v>
      </c>
    </row>
    <row r="377" spans="1:8" x14ac:dyDescent="0.25">
      <c r="A377" t="s">
        <v>118</v>
      </c>
      <c r="B377">
        <v>84511</v>
      </c>
      <c r="C377" s="2">
        <v>247.5</v>
      </c>
      <c r="D377" s="1">
        <v>43766</v>
      </c>
      <c r="E377" t="str">
        <f>"INTERPRETER - JUDICIAL"</f>
        <v>INTERPRETER - JUDICIAL</v>
      </c>
      <c r="F377" s="2">
        <v>247.5</v>
      </c>
      <c r="G377" t="str">
        <f>"INTERPRETER - JUDICIAL"</f>
        <v>INTERPRETER - JUDICIAL</v>
      </c>
    </row>
    <row r="378" spans="1:8" x14ac:dyDescent="0.25">
      <c r="A378" t="s">
        <v>119</v>
      </c>
      <c r="B378">
        <v>1547</v>
      </c>
      <c r="C378" s="2">
        <v>420</v>
      </c>
      <c r="D378" s="1">
        <v>43754</v>
      </c>
      <c r="E378" t="str">
        <f>"INV 12457926899"</f>
        <v>INV 12457926899</v>
      </c>
      <c r="F378" s="2">
        <v>420</v>
      </c>
      <c r="G378" t="str">
        <f>"INV 12457926899"</f>
        <v>INV 12457926899</v>
      </c>
    </row>
    <row r="379" spans="1:8" x14ac:dyDescent="0.25">
      <c r="A379" t="s">
        <v>120</v>
      </c>
      <c r="B379">
        <v>84214</v>
      </c>
      <c r="C379" s="2">
        <v>25</v>
      </c>
      <c r="D379" s="1">
        <v>43753</v>
      </c>
      <c r="E379" t="s">
        <v>121</v>
      </c>
      <c r="F379" s="2" t="str">
        <f>"RESTITUTION - K. PURCELL"</f>
        <v>RESTITUTION - K. PURCELL</v>
      </c>
      <c r="G379" t="str">
        <f>"210-0000"</f>
        <v>210-0000</v>
      </c>
      <c r="H379" t="str">
        <f>""</f>
        <v/>
      </c>
    </row>
    <row r="380" spans="1:8" x14ac:dyDescent="0.25">
      <c r="A380" t="s">
        <v>122</v>
      </c>
      <c r="B380">
        <v>84512</v>
      </c>
      <c r="C380" s="2">
        <v>150</v>
      </c>
      <c r="D380" s="1">
        <v>43766</v>
      </c>
      <c r="E380" t="str">
        <f>"PER DIEM"</f>
        <v>PER DIEM</v>
      </c>
      <c r="F380" s="2">
        <v>150</v>
      </c>
      <c r="G380" t="str">
        <f>"PER DIEM"</f>
        <v>PER DIEM</v>
      </c>
    </row>
    <row r="381" spans="1:8" x14ac:dyDescent="0.25">
      <c r="A381" t="s">
        <v>123</v>
      </c>
      <c r="B381">
        <v>84215</v>
      </c>
      <c r="C381" s="2">
        <v>12168.6</v>
      </c>
      <c r="D381" s="1">
        <v>43753</v>
      </c>
      <c r="E381" t="str">
        <f>"Culverts"</f>
        <v>Culverts</v>
      </c>
      <c r="F381" s="2">
        <v>8991</v>
      </c>
      <c r="G381" t="str">
        <f>"16GA 15  24'"</f>
        <v>16GA 15  24'</v>
      </c>
    </row>
    <row r="382" spans="1:8" x14ac:dyDescent="0.25">
      <c r="E382" t="str">
        <f>""</f>
        <v/>
      </c>
      <c r="G382" t="str">
        <f>"16ga 18  24'"</f>
        <v>16ga 18  24'</v>
      </c>
    </row>
    <row r="383" spans="1:8" x14ac:dyDescent="0.25">
      <c r="E383" t="str">
        <f>""</f>
        <v/>
      </c>
      <c r="G383" t="str">
        <f>"16ga 18  30'"</f>
        <v>16ga 18  30'</v>
      </c>
    </row>
    <row r="384" spans="1:8" x14ac:dyDescent="0.25">
      <c r="E384" t="str">
        <f>"ACCT#434304/PCT#4"</f>
        <v>ACCT#434304/PCT#4</v>
      </c>
      <c r="F384" s="2">
        <v>3177.6</v>
      </c>
      <c r="G384" t="str">
        <f>"ACCT#434304/PCT#4"</f>
        <v>ACCT#434304/PCT#4</v>
      </c>
    </row>
    <row r="385" spans="1:7" x14ac:dyDescent="0.25">
      <c r="A385" t="s">
        <v>124</v>
      </c>
      <c r="B385">
        <v>84216</v>
      </c>
      <c r="C385" s="2">
        <v>5510</v>
      </c>
      <c r="D385" s="1">
        <v>43753</v>
      </c>
      <c r="E385" t="str">
        <f>"FIBER PATCH CORD/IT DEPT"</f>
        <v>FIBER PATCH CORD/IT DEPT</v>
      </c>
      <c r="F385" s="2">
        <v>65</v>
      </c>
      <c r="G385" t="str">
        <f>"FIBER PATCH CORD/IT DEPT"</f>
        <v>FIBER PATCH CORD/IT DEPT</v>
      </c>
    </row>
    <row r="386" spans="1:7" x14ac:dyDescent="0.25">
      <c r="E386" t="str">
        <f>"INSTALL CABLES/LABOR/IT DEPT"</f>
        <v>INSTALL CABLES/LABOR/IT DEPT</v>
      </c>
      <c r="F386" s="2">
        <v>1580</v>
      </c>
      <c r="G386" t="str">
        <f>"INSTALL CABLES/LABOR/IT DEPT"</f>
        <v>INSTALL CABLES/LABOR/IT DEPT</v>
      </c>
    </row>
    <row r="387" spans="1:7" x14ac:dyDescent="0.25">
      <c r="E387" t="str">
        <f>"MATERIALS/LABOR"</f>
        <v>MATERIALS/LABOR</v>
      </c>
      <c r="F387" s="2">
        <v>2220</v>
      </c>
      <c r="G387" t="str">
        <f>"MATERIALS/LABOR"</f>
        <v>MATERIALS/LABOR</v>
      </c>
    </row>
    <row r="388" spans="1:7" x14ac:dyDescent="0.25">
      <c r="E388" t="str">
        <f>"CABLE/IT BLDG"</f>
        <v>CABLE/IT BLDG</v>
      </c>
      <c r="F388" s="2">
        <v>250</v>
      </c>
      <c r="G388" t="str">
        <f>"CABLE/IT BLDG"</f>
        <v>CABLE/IT BLDG</v>
      </c>
    </row>
    <row r="389" spans="1:7" x14ac:dyDescent="0.25">
      <c r="E389" t="str">
        <f>"TROUBLESHOOT CAMERA DATA"</f>
        <v>TROUBLESHOOT CAMERA DATA</v>
      </c>
      <c r="F389" s="2">
        <v>1395</v>
      </c>
      <c r="G389" t="str">
        <f>"TROUBLESHOOT CAMERA DATA"</f>
        <v>TROUBLESHOOT CAMERA DATA</v>
      </c>
    </row>
    <row r="390" spans="1:7" x14ac:dyDescent="0.25">
      <c r="A390" t="s">
        <v>124</v>
      </c>
      <c r="B390">
        <v>84513</v>
      </c>
      <c r="C390" s="2">
        <v>500</v>
      </c>
      <c r="D390" s="1">
        <v>43766</v>
      </c>
      <c r="E390" t="str">
        <f>"INSTALLATION/MATERIAL/LABOR"</f>
        <v>INSTALLATION/MATERIAL/LABOR</v>
      </c>
      <c r="F390" s="2">
        <v>500</v>
      </c>
      <c r="G390" t="str">
        <f>"INSTALLATION/MATERIAL/LABOR"</f>
        <v>INSTALLATION/MATERIAL/LABOR</v>
      </c>
    </row>
    <row r="391" spans="1:7" x14ac:dyDescent="0.25">
      <c r="A391" t="s">
        <v>125</v>
      </c>
      <c r="B391">
        <v>1588</v>
      </c>
      <c r="C391" s="2">
        <v>3363.42</v>
      </c>
      <c r="D391" s="1">
        <v>43754</v>
      </c>
      <c r="E391" t="str">
        <f>"Inv# WS19322"</f>
        <v>Inv# WS19322</v>
      </c>
      <c r="F391" s="2">
        <v>3363.42</v>
      </c>
      <c r="G391" t="str">
        <f>"Prepaid Shipping"</f>
        <v>Prepaid Shipping</v>
      </c>
    </row>
    <row r="392" spans="1:7" x14ac:dyDescent="0.25">
      <c r="E392" t="str">
        <f>""</f>
        <v/>
      </c>
      <c r="G392" t="str">
        <f>"Labor"</f>
        <v>Labor</v>
      </c>
    </row>
    <row r="393" spans="1:7" x14ac:dyDescent="0.25">
      <c r="E393" t="str">
        <f>""</f>
        <v/>
      </c>
      <c r="G393" t="str">
        <f>"Mileage"</f>
        <v>Mileage</v>
      </c>
    </row>
    <row r="394" spans="1:7" x14ac:dyDescent="0.25">
      <c r="E394" t="str">
        <f>""</f>
        <v/>
      </c>
      <c r="G394" t="str">
        <f>"Motor"</f>
        <v>Motor</v>
      </c>
    </row>
    <row r="395" spans="1:7" x14ac:dyDescent="0.25">
      <c r="E395" t="str">
        <f>""</f>
        <v/>
      </c>
      <c r="G395" t="str">
        <f>"Sheave"</f>
        <v>Sheave</v>
      </c>
    </row>
    <row r="396" spans="1:7" x14ac:dyDescent="0.25">
      <c r="E396" t="str">
        <f>""</f>
        <v/>
      </c>
      <c r="G396" t="str">
        <f>"Bushing"</f>
        <v>Bushing</v>
      </c>
    </row>
    <row r="397" spans="1:7" x14ac:dyDescent="0.25">
      <c r="E397" t="str">
        <f>""</f>
        <v/>
      </c>
      <c r="G397" t="str">
        <f>"Belt"</f>
        <v>Belt</v>
      </c>
    </row>
    <row r="398" spans="1:7" x14ac:dyDescent="0.25">
      <c r="E398" t="str">
        <f>""</f>
        <v/>
      </c>
      <c r="G398" t="str">
        <f>"environmental"</f>
        <v>environmental</v>
      </c>
    </row>
    <row r="399" spans="1:7" x14ac:dyDescent="0.25">
      <c r="A399" t="s">
        <v>125</v>
      </c>
      <c r="B399">
        <v>1660</v>
      </c>
      <c r="C399" s="2">
        <v>2274.7199999999998</v>
      </c>
      <c r="D399" s="1">
        <v>43767</v>
      </c>
      <c r="E399" t="str">
        <f>"ACCT#353/FREIGHT/PART CHRG/P4"</f>
        <v>ACCT#353/FREIGHT/PART CHRG/P4</v>
      </c>
      <c r="F399" s="2">
        <v>556.53</v>
      </c>
      <c r="G399" t="str">
        <f>"ACCT#353/FREIGHT/PART CHRG/P4"</f>
        <v>ACCT#353/FREIGHT/PART CHRG/P4</v>
      </c>
    </row>
    <row r="400" spans="1:7" x14ac:dyDescent="0.25">
      <c r="E400" t="str">
        <f>"ACCT#353/PARTS/PCT#1"</f>
        <v>ACCT#353/PARTS/PCT#1</v>
      </c>
      <c r="F400" s="2">
        <v>1633.17</v>
      </c>
      <c r="G400" t="str">
        <f>"ACCT#353/PARTS/PCT#1"</f>
        <v>ACCT#353/PARTS/PCT#1</v>
      </c>
    </row>
    <row r="401" spans="1:8" x14ac:dyDescent="0.25">
      <c r="E401" t="str">
        <f>"ACCT#353/PCT#3"</f>
        <v>ACCT#353/PCT#3</v>
      </c>
      <c r="F401" s="2">
        <v>85.02</v>
      </c>
      <c r="G401" t="str">
        <f>"ACCT#353/PCT#3"</f>
        <v>ACCT#353/PCT#3</v>
      </c>
    </row>
    <row r="402" spans="1:8" x14ac:dyDescent="0.25">
      <c r="A402" t="s">
        <v>126</v>
      </c>
      <c r="B402">
        <v>84217</v>
      </c>
      <c r="C402" s="2">
        <v>65</v>
      </c>
      <c r="D402" s="1">
        <v>43753</v>
      </c>
      <c r="E402" t="s">
        <v>59</v>
      </c>
      <c r="F402" s="2" t="str">
        <f>"SERVICE"</f>
        <v>SERVICE</v>
      </c>
      <c r="G402" t="str">
        <f>"995-4110"</f>
        <v>995-4110</v>
      </c>
      <c r="H402" t="str">
        <f>""</f>
        <v/>
      </c>
    </row>
    <row r="403" spans="1:8" x14ac:dyDescent="0.25">
      <c r="A403" t="s">
        <v>126</v>
      </c>
      <c r="B403">
        <v>84514</v>
      </c>
      <c r="C403" s="2">
        <v>125</v>
      </c>
      <c r="D403" s="1">
        <v>43766</v>
      </c>
      <c r="E403" t="str">
        <f>"SERVICE"</f>
        <v>SERVICE</v>
      </c>
      <c r="F403" s="2">
        <v>75</v>
      </c>
      <c r="G403" t="str">
        <f>"SERVICE"</f>
        <v>SERVICE</v>
      </c>
    </row>
    <row r="404" spans="1:8" x14ac:dyDescent="0.25">
      <c r="E404" t="str">
        <f>"SERVICE"</f>
        <v>SERVICE</v>
      </c>
      <c r="F404" s="2">
        <v>50</v>
      </c>
      <c r="G404" t="str">
        <f>"SERVICE"</f>
        <v>SERVICE</v>
      </c>
    </row>
    <row r="405" spans="1:8" x14ac:dyDescent="0.25">
      <c r="A405" t="s">
        <v>127</v>
      </c>
      <c r="B405">
        <v>1587</v>
      </c>
      <c r="C405" s="2">
        <v>1129.99</v>
      </c>
      <c r="D405" s="1">
        <v>43754</v>
      </c>
      <c r="E405" t="str">
        <f>"COVERT CHEVROLET-OLDS"</f>
        <v>COVERT CHEVROLET-OLDS</v>
      </c>
      <c r="F405" s="2">
        <v>1129.99</v>
      </c>
      <c r="G405" t="str">
        <f>"Mirror"</f>
        <v>Mirror</v>
      </c>
    </row>
    <row r="406" spans="1:8" x14ac:dyDescent="0.25">
      <c r="A406" t="s">
        <v>128</v>
      </c>
      <c r="B406">
        <v>84218</v>
      </c>
      <c r="C406" s="2">
        <v>2081.08</v>
      </c>
      <c r="D406" s="1">
        <v>43753</v>
      </c>
      <c r="E406" t="str">
        <f>"ACCT#68930-000/ANIMAL SVCS"</f>
        <v>ACCT#68930-000/ANIMAL SVCS</v>
      </c>
      <c r="F406" s="2">
        <v>182.48</v>
      </c>
      <c r="G406" t="str">
        <f t="shared" ref="G406:G423" si="5">"ACCT#68930-000/ANIMAL SVCS"</f>
        <v>ACCT#68930-000/ANIMAL SVCS</v>
      </c>
    </row>
    <row r="407" spans="1:8" x14ac:dyDescent="0.25">
      <c r="E407" t="str">
        <f>""</f>
        <v/>
      </c>
      <c r="G407" t="str">
        <f t="shared" si="5"/>
        <v>ACCT#68930-000/ANIMAL SVCS</v>
      </c>
    </row>
    <row r="408" spans="1:8" x14ac:dyDescent="0.25">
      <c r="E408" t="str">
        <f>"ACCT#68930-000/ANIMAL SVCS"</f>
        <v>ACCT#68930-000/ANIMAL SVCS</v>
      </c>
      <c r="F408" s="2">
        <v>267.02</v>
      </c>
      <c r="G408" t="str">
        <f t="shared" si="5"/>
        <v>ACCT#68930-000/ANIMAL SVCS</v>
      </c>
    </row>
    <row r="409" spans="1:8" x14ac:dyDescent="0.25">
      <c r="E409" t="str">
        <f>"ACCT#68930-000/ANIMAL SVCS"</f>
        <v>ACCT#68930-000/ANIMAL SVCS</v>
      </c>
      <c r="F409" s="2">
        <v>250.52</v>
      </c>
      <c r="G409" t="str">
        <f t="shared" si="5"/>
        <v>ACCT#68930-000/ANIMAL SVCS</v>
      </c>
    </row>
    <row r="410" spans="1:8" x14ac:dyDescent="0.25">
      <c r="E410" t="str">
        <f>"ACCT#68930-000/ANIMAL SVCS"</f>
        <v>ACCT#68930-000/ANIMAL SVCS</v>
      </c>
      <c r="F410" s="2">
        <v>672.98</v>
      </c>
      <c r="G410" t="str">
        <f t="shared" si="5"/>
        <v>ACCT#68930-000/ANIMAL SVCS</v>
      </c>
    </row>
    <row r="411" spans="1:8" x14ac:dyDescent="0.25">
      <c r="E411" t="str">
        <f>""</f>
        <v/>
      </c>
      <c r="G411" t="str">
        <f t="shared" si="5"/>
        <v>ACCT#68930-000/ANIMAL SVCS</v>
      </c>
    </row>
    <row r="412" spans="1:8" x14ac:dyDescent="0.25">
      <c r="E412" t="str">
        <f>""</f>
        <v/>
      </c>
      <c r="G412" t="str">
        <f t="shared" si="5"/>
        <v>ACCT#68930-000/ANIMAL SVCS</v>
      </c>
    </row>
    <row r="413" spans="1:8" x14ac:dyDescent="0.25">
      <c r="E413" t="str">
        <f>"ACCT#68930-000/ANIMAL SVCS"</f>
        <v>ACCT#68930-000/ANIMAL SVCS</v>
      </c>
      <c r="F413" s="2">
        <v>323.33999999999997</v>
      </c>
      <c r="G413" t="str">
        <f t="shared" si="5"/>
        <v>ACCT#68930-000/ANIMAL SVCS</v>
      </c>
    </row>
    <row r="414" spans="1:8" x14ac:dyDescent="0.25">
      <c r="E414" t="str">
        <f>"ACCT#68930-000/ANIMAL SVCS"</f>
        <v>ACCT#68930-000/ANIMAL SVCS</v>
      </c>
      <c r="F414" s="2">
        <v>384.74</v>
      </c>
      <c r="G414" t="str">
        <f t="shared" si="5"/>
        <v>ACCT#68930-000/ANIMAL SVCS</v>
      </c>
    </row>
    <row r="415" spans="1:8" x14ac:dyDescent="0.25">
      <c r="A415" t="s">
        <v>128</v>
      </c>
      <c r="B415">
        <v>84515</v>
      </c>
      <c r="C415" s="2">
        <v>1559.77</v>
      </c>
      <c r="D415" s="1">
        <v>43766</v>
      </c>
      <c r="E415" t="str">
        <f>"ACCT#68930-000/ANIMAL SVCS"</f>
        <v>ACCT#68930-000/ANIMAL SVCS</v>
      </c>
      <c r="F415" s="2">
        <v>10.38</v>
      </c>
      <c r="G415" t="str">
        <f t="shared" si="5"/>
        <v>ACCT#68930-000/ANIMAL SVCS</v>
      </c>
    </row>
    <row r="416" spans="1:8" x14ac:dyDescent="0.25">
      <c r="E416" t="str">
        <f>"ACCT#68930-000/ANIMAL SVCS"</f>
        <v>ACCT#68930-000/ANIMAL SVCS</v>
      </c>
      <c r="F416" s="2">
        <v>610.13</v>
      </c>
      <c r="G416" t="str">
        <f t="shared" si="5"/>
        <v>ACCT#68930-000/ANIMAL SVCS</v>
      </c>
    </row>
    <row r="417" spans="1:7" x14ac:dyDescent="0.25">
      <c r="E417" t="str">
        <f>""</f>
        <v/>
      </c>
      <c r="G417" t="str">
        <f t="shared" si="5"/>
        <v>ACCT#68930-000/ANIMAL SVCS</v>
      </c>
    </row>
    <row r="418" spans="1:7" x14ac:dyDescent="0.25">
      <c r="E418" t="str">
        <f>""</f>
        <v/>
      </c>
      <c r="G418" t="str">
        <f t="shared" si="5"/>
        <v>ACCT#68930-000/ANIMAL SVCS</v>
      </c>
    </row>
    <row r="419" spans="1:7" x14ac:dyDescent="0.25">
      <c r="E419" t="str">
        <f>"ACCT#68930-000/ANIMAL SVCS"</f>
        <v>ACCT#68930-000/ANIMAL SVCS</v>
      </c>
      <c r="F419" s="2">
        <v>432</v>
      </c>
      <c r="G419" t="str">
        <f t="shared" si="5"/>
        <v>ACCT#68930-000/ANIMAL SVCS</v>
      </c>
    </row>
    <row r="420" spans="1:7" x14ac:dyDescent="0.25">
      <c r="E420" t="str">
        <f>"ACCT#68930-000/ANIMAL SVCS"</f>
        <v>ACCT#68930-000/ANIMAL SVCS</v>
      </c>
      <c r="F420" s="2">
        <v>317.27</v>
      </c>
      <c r="G420" t="str">
        <f t="shared" si="5"/>
        <v>ACCT#68930-000/ANIMAL SVCS</v>
      </c>
    </row>
    <row r="421" spans="1:7" x14ac:dyDescent="0.25">
      <c r="E421" t="str">
        <f>""</f>
        <v/>
      </c>
      <c r="G421" t="str">
        <f t="shared" si="5"/>
        <v>ACCT#68930-000/ANIMAL SVCS</v>
      </c>
    </row>
    <row r="422" spans="1:7" x14ac:dyDescent="0.25">
      <c r="E422" t="str">
        <f>"ACCT#68930-000/ANIMAL SVCS"</f>
        <v>ACCT#68930-000/ANIMAL SVCS</v>
      </c>
      <c r="F422" s="2">
        <v>189.99</v>
      </c>
      <c r="G422" t="str">
        <f t="shared" si="5"/>
        <v>ACCT#68930-000/ANIMAL SVCS</v>
      </c>
    </row>
    <row r="423" spans="1:7" x14ac:dyDescent="0.25">
      <c r="E423" t="str">
        <f>""</f>
        <v/>
      </c>
      <c r="G423" t="str">
        <f t="shared" si="5"/>
        <v>ACCT#68930-000/ANIMAL SVCS</v>
      </c>
    </row>
    <row r="424" spans="1:7" x14ac:dyDescent="0.25">
      <c r="A424" t="s">
        <v>129</v>
      </c>
      <c r="B424">
        <v>84516</v>
      </c>
      <c r="C424" s="2">
        <v>774.96</v>
      </c>
      <c r="D424" s="1">
        <v>43766</v>
      </c>
      <c r="E424" t="str">
        <f>"inv# 326816"</f>
        <v>inv# 326816</v>
      </c>
      <c r="F424" s="2">
        <v>774.96</v>
      </c>
      <c r="G424" t="str">
        <f>"30 X30"</f>
        <v>30 X30</v>
      </c>
    </row>
    <row r="425" spans="1:7" x14ac:dyDescent="0.25">
      <c r="E425" t="str">
        <f>""</f>
        <v/>
      </c>
      <c r="G425" t="str">
        <f>"Round past Brackets"</f>
        <v>Round past Brackets</v>
      </c>
    </row>
    <row r="426" spans="1:7" x14ac:dyDescent="0.25">
      <c r="E426" t="str">
        <f>""</f>
        <v/>
      </c>
      <c r="G426" t="str">
        <f>"Freight"</f>
        <v>Freight</v>
      </c>
    </row>
    <row r="427" spans="1:7" x14ac:dyDescent="0.25">
      <c r="A427" t="s">
        <v>130</v>
      </c>
      <c r="B427">
        <v>84219</v>
      </c>
      <c r="C427" s="2">
        <v>70</v>
      </c>
      <c r="D427" s="1">
        <v>43753</v>
      </c>
      <c r="E427" t="str">
        <f>"PER DIEM"</f>
        <v>PER DIEM</v>
      </c>
      <c r="F427" s="2">
        <v>70</v>
      </c>
      <c r="G427" t="str">
        <f>"PER DIEM"</f>
        <v>PER DIEM</v>
      </c>
    </row>
    <row r="428" spans="1:7" x14ac:dyDescent="0.25">
      <c r="A428" t="s">
        <v>131</v>
      </c>
      <c r="B428">
        <v>84220</v>
      </c>
      <c r="C428" s="2">
        <v>160</v>
      </c>
      <c r="D428" s="1">
        <v>43753</v>
      </c>
      <c r="E428" t="str">
        <f>"SERVICE"</f>
        <v>SERVICE</v>
      </c>
      <c r="F428" s="2">
        <v>80</v>
      </c>
      <c r="G428" t="str">
        <f>"SERVICE"</f>
        <v>SERVICE</v>
      </c>
    </row>
    <row r="429" spans="1:7" x14ac:dyDescent="0.25">
      <c r="E429" t="str">
        <f>"SERVICE  08/19/19"</f>
        <v>SERVICE  08/19/19</v>
      </c>
      <c r="F429" s="2">
        <v>80</v>
      </c>
      <c r="G429" t="str">
        <f>"SERVICE  08/19/19"</f>
        <v>SERVICE  08/19/19</v>
      </c>
    </row>
    <row r="430" spans="1:7" x14ac:dyDescent="0.25">
      <c r="A430" t="s">
        <v>131</v>
      </c>
      <c r="B430">
        <v>84517</v>
      </c>
      <c r="C430" s="2">
        <v>140</v>
      </c>
      <c r="D430" s="1">
        <v>43766</v>
      </c>
      <c r="E430" t="str">
        <f>"SERVICE"</f>
        <v>SERVICE</v>
      </c>
      <c r="F430" s="2">
        <v>140</v>
      </c>
      <c r="G430" t="str">
        <f>"SERVICE"</f>
        <v>SERVICE</v>
      </c>
    </row>
    <row r="431" spans="1:7" x14ac:dyDescent="0.25">
      <c r="A431" t="s">
        <v>132</v>
      </c>
      <c r="B431">
        <v>84518</v>
      </c>
      <c r="C431" s="2">
        <v>449</v>
      </c>
      <c r="D431" s="1">
        <v>43766</v>
      </c>
      <c r="E431" t="str">
        <f>"PROGRAM PURCHASE/INITIAL SETUP"</f>
        <v>PROGRAM PURCHASE/INITIAL SETUP</v>
      </c>
      <c r="F431" s="2">
        <v>449</v>
      </c>
      <c r="G431" t="str">
        <f>"PROGRAM PURCHASE/INITIAL SETUP"</f>
        <v>PROGRAM PURCHASE/INITIAL SETUP</v>
      </c>
    </row>
    <row r="432" spans="1:7" x14ac:dyDescent="0.25">
      <c r="A432" t="s">
        <v>133</v>
      </c>
      <c r="B432">
        <v>84221</v>
      </c>
      <c r="C432" s="2">
        <v>100</v>
      </c>
      <c r="D432" s="1">
        <v>43753</v>
      </c>
      <c r="E432" t="str">
        <f>"LEGAL CONSULTATION SVCS-SEPT"</f>
        <v>LEGAL CONSULTATION SVCS-SEPT</v>
      </c>
      <c r="F432" s="2">
        <v>100</v>
      </c>
      <c r="G432" t="str">
        <f>"LEGAL CONSULTATION SVCS-SEPT"</f>
        <v>LEGAL CONSULTATION SVCS-SEPT</v>
      </c>
    </row>
    <row r="433" spans="1:7" x14ac:dyDescent="0.25">
      <c r="A433" t="s">
        <v>134</v>
      </c>
      <c r="B433">
        <v>1551</v>
      </c>
      <c r="C433" s="2">
        <v>1147.5</v>
      </c>
      <c r="D433" s="1">
        <v>43754</v>
      </c>
      <c r="E433" t="str">
        <f>"J-3187"</f>
        <v>J-3187</v>
      </c>
      <c r="F433" s="2">
        <v>250</v>
      </c>
      <c r="G433" t="str">
        <f>"J-3187"</f>
        <v>J-3187</v>
      </c>
    </row>
    <row r="434" spans="1:7" x14ac:dyDescent="0.25">
      <c r="E434" t="str">
        <f>"19-19641"</f>
        <v>19-19641</v>
      </c>
      <c r="F434" s="2">
        <v>82.5</v>
      </c>
      <c r="G434" t="str">
        <f>"19-19641"</f>
        <v>19-19641</v>
      </c>
    </row>
    <row r="435" spans="1:7" x14ac:dyDescent="0.25">
      <c r="E435" t="str">
        <f>"19-19713"</f>
        <v>19-19713</v>
      </c>
      <c r="F435" s="2">
        <v>75</v>
      </c>
      <c r="G435" t="str">
        <f>"19-19713"</f>
        <v>19-19713</v>
      </c>
    </row>
    <row r="436" spans="1:7" x14ac:dyDescent="0.25">
      <c r="E436" t="str">
        <f>"18-18864"</f>
        <v>18-18864</v>
      </c>
      <c r="F436" s="2">
        <v>382.5</v>
      </c>
      <c r="G436" t="str">
        <f>"18-18864"</f>
        <v>18-18864</v>
      </c>
    </row>
    <row r="437" spans="1:7" x14ac:dyDescent="0.25">
      <c r="E437" t="str">
        <f>"19-19863"</f>
        <v>19-19863</v>
      </c>
      <c r="F437" s="2">
        <v>190</v>
      </c>
      <c r="G437" t="str">
        <f>"19-19863"</f>
        <v>19-19863</v>
      </c>
    </row>
    <row r="438" spans="1:7" x14ac:dyDescent="0.25">
      <c r="E438" t="str">
        <f>"19-19463"</f>
        <v>19-19463</v>
      </c>
      <c r="F438" s="2">
        <v>167.5</v>
      </c>
      <c r="G438" t="str">
        <f>"19-19463"</f>
        <v>19-19463</v>
      </c>
    </row>
    <row r="439" spans="1:7" x14ac:dyDescent="0.25">
      <c r="A439" t="s">
        <v>135</v>
      </c>
      <c r="B439">
        <v>84519</v>
      </c>
      <c r="C439" s="2">
        <v>15</v>
      </c>
      <c r="D439" s="1">
        <v>43766</v>
      </c>
      <c r="E439" t="str">
        <f>"REFUND BAIL BOND STICKER#14779"</f>
        <v>REFUND BAIL BOND STICKER#14779</v>
      </c>
      <c r="F439" s="2">
        <v>15</v>
      </c>
      <c r="G439" t="str">
        <f>"REFUND BAIL BOND STICKER#14779"</f>
        <v>REFUND BAIL BOND STICKER#14779</v>
      </c>
    </row>
    <row r="440" spans="1:7" x14ac:dyDescent="0.25">
      <c r="A440" t="s">
        <v>136</v>
      </c>
      <c r="B440">
        <v>84222</v>
      </c>
      <c r="C440" s="2">
        <v>43.5</v>
      </c>
      <c r="D440" s="1">
        <v>43753</v>
      </c>
      <c r="E440" t="str">
        <f>"MILEAGE REIMBURSEMENT"</f>
        <v>MILEAGE REIMBURSEMENT</v>
      </c>
      <c r="F440" s="2">
        <v>43.5</v>
      </c>
      <c r="G440" t="str">
        <f>"MILEAGE REIMBURSEMENT"</f>
        <v>MILEAGE REIMBURSEMENT</v>
      </c>
    </row>
    <row r="441" spans="1:7" x14ac:dyDescent="0.25">
      <c r="A441" t="s">
        <v>137</v>
      </c>
      <c r="B441">
        <v>84223</v>
      </c>
      <c r="C441" s="2">
        <v>5054.57</v>
      </c>
      <c r="D441" s="1">
        <v>43753</v>
      </c>
      <c r="E441" t="str">
        <f>"Dell Order"</f>
        <v>Dell Order</v>
      </c>
      <c r="F441" s="2">
        <v>29.02</v>
      </c>
      <c r="G441" t="str">
        <f>"AC511M"</f>
        <v>AC511M</v>
      </c>
    </row>
    <row r="442" spans="1:7" x14ac:dyDescent="0.25">
      <c r="E442" t="str">
        <f>"Laptop replacement parts"</f>
        <v>Laptop replacement parts</v>
      </c>
      <c r="F442" s="2">
        <v>54.98</v>
      </c>
      <c r="G442" t="str">
        <f>"Battery"</f>
        <v>Battery</v>
      </c>
    </row>
    <row r="443" spans="1:7" x14ac:dyDescent="0.25">
      <c r="E443" t="str">
        <f>""</f>
        <v/>
      </c>
      <c r="G443" t="str">
        <f>"DGPM"</f>
        <v>DGPM</v>
      </c>
    </row>
    <row r="444" spans="1:7" x14ac:dyDescent="0.25">
      <c r="E444" t="str">
        <f>"inv# 10341989747"</f>
        <v>inv# 10341989747</v>
      </c>
      <c r="F444" s="2">
        <v>4970.57</v>
      </c>
      <c r="G444" t="str">
        <f>"inv# 10341989747"</f>
        <v>inv# 10341989747</v>
      </c>
    </row>
    <row r="445" spans="1:7" x14ac:dyDescent="0.25">
      <c r="A445" t="s">
        <v>137</v>
      </c>
      <c r="B445">
        <v>84520</v>
      </c>
      <c r="C445" s="2">
        <v>846.75</v>
      </c>
      <c r="D445" s="1">
        <v>43766</v>
      </c>
      <c r="E445" t="str">
        <f>"Computer for IT"</f>
        <v>Computer for IT</v>
      </c>
      <c r="F445" s="2">
        <v>846.75</v>
      </c>
      <c r="G445" t="str">
        <f>"OptiPlex 3050 Micro"</f>
        <v>OptiPlex 3050 Micro</v>
      </c>
    </row>
    <row r="446" spans="1:7" x14ac:dyDescent="0.25">
      <c r="E446" t="str">
        <f>""</f>
        <v/>
      </c>
      <c r="G446" t="str">
        <f>"Discount"</f>
        <v>Discount</v>
      </c>
    </row>
    <row r="447" spans="1:7" x14ac:dyDescent="0.25">
      <c r="E447" t="str">
        <f>""</f>
        <v/>
      </c>
      <c r="G447" t="str">
        <f>"Discount"</f>
        <v>Discount</v>
      </c>
    </row>
    <row r="448" spans="1:7" x14ac:dyDescent="0.25">
      <c r="A448" t="s">
        <v>138</v>
      </c>
      <c r="B448">
        <v>84521</v>
      </c>
      <c r="C448" s="2">
        <v>195</v>
      </c>
      <c r="D448" s="1">
        <v>43766</v>
      </c>
      <c r="E448" t="str">
        <f>"PER DIEM"</f>
        <v>PER DIEM</v>
      </c>
      <c r="F448" s="2">
        <v>195</v>
      </c>
      <c r="G448" t="str">
        <f>"PER DIEM"</f>
        <v>PER DIEM</v>
      </c>
    </row>
    <row r="449" spans="1:8" x14ac:dyDescent="0.25">
      <c r="A449" t="s">
        <v>139</v>
      </c>
      <c r="B449">
        <v>84224</v>
      </c>
      <c r="C449" s="2">
        <v>599</v>
      </c>
      <c r="D449" s="1">
        <v>43753</v>
      </c>
      <c r="E449" t="str">
        <f>"TRAINING"</f>
        <v>TRAINING</v>
      </c>
      <c r="F449" s="2">
        <v>599</v>
      </c>
      <c r="G449" t="str">
        <f>"TRAINING"</f>
        <v>TRAINING</v>
      </c>
    </row>
    <row r="450" spans="1:8" x14ac:dyDescent="0.25">
      <c r="A450" t="s">
        <v>140</v>
      </c>
      <c r="B450">
        <v>84225</v>
      </c>
      <c r="C450" s="2">
        <v>0.5</v>
      </c>
      <c r="D450" s="1">
        <v>43753</v>
      </c>
      <c r="E450" t="s">
        <v>141</v>
      </c>
      <c r="F450" s="2" t="str">
        <f>"OVERPAYMENT"</f>
        <v>OVERPAYMENT</v>
      </c>
      <c r="G450" t="str">
        <f>"341-7000"</f>
        <v>341-7000</v>
      </c>
      <c r="H450" t="str">
        <f>""</f>
        <v/>
      </c>
    </row>
    <row r="451" spans="1:8" x14ac:dyDescent="0.25">
      <c r="A451" t="s">
        <v>142</v>
      </c>
      <c r="B451">
        <v>84522</v>
      </c>
      <c r="C451" s="2">
        <v>206.5</v>
      </c>
      <c r="D451" s="1">
        <v>43766</v>
      </c>
      <c r="E451" t="str">
        <f>"INV 26028"</f>
        <v>INV 26028</v>
      </c>
      <c r="F451" s="2">
        <v>16.5</v>
      </c>
      <c r="G451" t="str">
        <f>"INV 26028"</f>
        <v>INV 26028</v>
      </c>
    </row>
    <row r="452" spans="1:8" x14ac:dyDescent="0.25">
      <c r="E452" t="str">
        <f>"SVC CALL-DPS/REKEY LOCK/DUP KE"</f>
        <v>SVC CALL-DPS/REKEY LOCK/DUP KE</v>
      </c>
      <c r="F452" s="2">
        <v>190</v>
      </c>
      <c r="G452" t="str">
        <f>"SVC CALL-DPS/REKEY LOCK/DUP KE"</f>
        <v>SVC CALL-DPS/REKEY LOCK/DUP KE</v>
      </c>
    </row>
    <row r="453" spans="1:8" x14ac:dyDescent="0.25">
      <c r="A453" t="s">
        <v>143</v>
      </c>
      <c r="B453">
        <v>84226</v>
      </c>
      <c r="C453" s="2">
        <v>2957.63</v>
      </c>
      <c r="D453" s="1">
        <v>43753</v>
      </c>
      <c r="E453" t="str">
        <f>"CUST#PKE5000/AUGUST 2019"</f>
        <v>CUST#PKE5000/AUGUST 2019</v>
      </c>
      <c r="F453" s="2">
        <v>2957.63</v>
      </c>
      <c r="G453" t="str">
        <f>"CUST#PKE5000/AUGUST 2019"</f>
        <v>CUST#PKE5000/AUGUST 2019</v>
      </c>
    </row>
    <row r="454" spans="1:8" x14ac:dyDescent="0.25">
      <c r="E454" t="str">
        <f>""</f>
        <v/>
      </c>
      <c r="G454" t="str">
        <f>"CUST#PKE5000/AUGUST 2019"</f>
        <v>CUST#PKE5000/AUGUST 2019</v>
      </c>
    </row>
    <row r="455" spans="1:8" x14ac:dyDescent="0.25">
      <c r="A455" t="s">
        <v>143</v>
      </c>
      <c r="B455">
        <v>84523</v>
      </c>
      <c r="C455" s="2">
        <v>2919.56</v>
      </c>
      <c r="D455" s="1">
        <v>43766</v>
      </c>
      <c r="E455" t="str">
        <f>"CUST#PKE5000/SEPTEMBER 2019"</f>
        <v>CUST#PKE5000/SEPTEMBER 2019</v>
      </c>
      <c r="F455" s="2">
        <v>2919.56</v>
      </c>
      <c r="G455" t="str">
        <f>"CUST#PKE5000/SEPTEMBER 2019"</f>
        <v>CUST#PKE5000/SEPTEMBER 2019</v>
      </c>
    </row>
    <row r="456" spans="1:8" x14ac:dyDescent="0.25">
      <c r="E456" t="str">
        <f>""</f>
        <v/>
      </c>
      <c r="G456" t="str">
        <f>"CUST#PKE5000/SEPTEMBER 2019"</f>
        <v>CUST#PKE5000/SEPTEMBER 2019</v>
      </c>
    </row>
    <row r="457" spans="1:8" x14ac:dyDescent="0.25">
      <c r="A457" t="s">
        <v>144</v>
      </c>
      <c r="B457">
        <v>84227</v>
      </c>
      <c r="C457" s="2">
        <v>119.03</v>
      </c>
      <c r="D457" s="1">
        <v>43753</v>
      </c>
      <c r="E457" t="str">
        <f>"PARTS/PCT#4"</f>
        <v>PARTS/PCT#4</v>
      </c>
      <c r="F457" s="2">
        <v>119.03</v>
      </c>
      <c r="G457" t="str">
        <f>"PARTS/PCT#4"</f>
        <v>PARTS/PCT#4</v>
      </c>
    </row>
    <row r="458" spans="1:8" x14ac:dyDescent="0.25">
      <c r="A458" t="s">
        <v>144</v>
      </c>
      <c r="B458">
        <v>84524</v>
      </c>
      <c r="C458" s="2">
        <v>416.3</v>
      </c>
      <c r="D458" s="1">
        <v>43766</v>
      </c>
      <c r="E458" t="str">
        <f>"CUTTING CHARGE/PCT#4"</f>
        <v>CUTTING CHARGE/PCT#4</v>
      </c>
      <c r="F458" s="2">
        <v>22.58</v>
      </c>
      <c r="G458" t="str">
        <f>"CUTTING CHARGE/PCT#4"</f>
        <v>CUTTING CHARGE/PCT#4</v>
      </c>
    </row>
    <row r="459" spans="1:8" x14ac:dyDescent="0.25">
      <c r="E459" t="str">
        <f>"CUTTING CHRG/PAINT PEN/PCT#4"</f>
        <v>CUTTING CHRG/PAINT PEN/PCT#4</v>
      </c>
      <c r="F459" s="2">
        <v>37.619999999999997</v>
      </c>
      <c r="G459" t="str">
        <f>"CUTTING CHRG/PAINT PEN/PCT#4"</f>
        <v>CUTTING CHRG/PAINT PEN/PCT#4</v>
      </c>
    </row>
    <row r="460" spans="1:8" x14ac:dyDescent="0.25">
      <c r="E460" t="str">
        <f>"TUBE 24'/SILVER STREAK/PCT#4"</f>
        <v>TUBE 24'/SILVER STREAK/PCT#4</v>
      </c>
      <c r="F460" s="2">
        <v>181.8</v>
      </c>
      <c r="G460" t="str">
        <f>"TUBE 24'/SILVER STREAK/PCT#4"</f>
        <v>TUBE 24'/SILVER STREAK/PCT#4</v>
      </c>
    </row>
    <row r="461" spans="1:8" x14ac:dyDescent="0.25">
      <c r="E461" t="str">
        <f>"TUBE 24'/PCT#4"</f>
        <v>TUBE 24'/PCT#4</v>
      </c>
      <c r="F461" s="2">
        <v>174.3</v>
      </c>
      <c r="G461" t="str">
        <f>"TUBE 24'/PCT#4"</f>
        <v>TUBE 24'/PCT#4</v>
      </c>
    </row>
    <row r="462" spans="1:8" x14ac:dyDescent="0.25">
      <c r="A462" t="s">
        <v>145</v>
      </c>
      <c r="B462">
        <v>84228</v>
      </c>
      <c r="C462" s="2">
        <v>150.75</v>
      </c>
      <c r="D462" s="1">
        <v>43753</v>
      </c>
      <c r="E462" t="str">
        <f>"AUG/SEPT RECEIPTS"</f>
        <v>AUG/SEPT RECEIPTS</v>
      </c>
      <c r="F462" s="2">
        <v>150.75</v>
      </c>
      <c r="G462" t="str">
        <f>"AUG/SEPT RECEIPTS"</f>
        <v>AUG/SEPT RECEIPTS</v>
      </c>
    </row>
    <row r="463" spans="1:8" x14ac:dyDescent="0.25">
      <c r="E463" t="str">
        <f>""</f>
        <v/>
      </c>
      <c r="G463" t="str">
        <f>"AUG/SEPT RECEIPTS"</f>
        <v>AUG/SEPT RECEIPTS</v>
      </c>
    </row>
    <row r="464" spans="1:8" x14ac:dyDescent="0.25">
      <c r="A464" t="s">
        <v>146</v>
      </c>
      <c r="B464">
        <v>84154</v>
      </c>
      <c r="C464" s="2">
        <v>749.4</v>
      </c>
      <c r="D464" s="1">
        <v>43742</v>
      </c>
      <c r="E464" t="str">
        <f>"ACCT#405900029213/10012019"</f>
        <v>ACCT#405900029213/10012019</v>
      </c>
      <c r="F464" s="2">
        <v>374.7</v>
      </c>
      <c r="G464" t="str">
        <f>"ACCT#405900029213/10012019"</f>
        <v>ACCT#405900029213/10012019</v>
      </c>
    </row>
    <row r="465" spans="1:7" x14ac:dyDescent="0.25">
      <c r="E465" t="str">
        <f>"ACCT#405900029225/10012019"</f>
        <v>ACCT#405900029225/10012019</v>
      </c>
      <c r="F465" s="2">
        <v>187.35</v>
      </c>
      <c r="G465" t="str">
        <f>"ACCT#405900029225/10012019"</f>
        <v>ACCT#405900029225/10012019</v>
      </c>
    </row>
    <row r="466" spans="1:7" x14ac:dyDescent="0.25">
      <c r="E466" t="str">
        <f>"ACCT#405900028789/10012019"</f>
        <v>ACCT#405900028789/10012019</v>
      </c>
      <c r="F466" s="2">
        <v>187.35</v>
      </c>
      <c r="G466" t="str">
        <f>"ACCT#405900028789/10012019"</f>
        <v>ACCT#405900028789/10012019</v>
      </c>
    </row>
    <row r="467" spans="1:7" x14ac:dyDescent="0.25">
      <c r="A467" t="s">
        <v>146</v>
      </c>
      <c r="B467">
        <v>84461</v>
      </c>
      <c r="C467" s="2">
        <v>749.4</v>
      </c>
      <c r="D467" s="1">
        <v>43761</v>
      </c>
      <c r="E467" t="str">
        <f>"ACCT#405900029225 / 11012019"</f>
        <v>ACCT#405900029225 / 11012019</v>
      </c>
      <c r="F467" s="2">
        <v>187.35</v>
      </c>
      <c r="G467" t="str">
        <f>"ACCT#405900029225 / 11012019"</f>
        <v>ACCT#405900029225 / 11012019</v>
      </c>
    </row>
    <row r="468" spans="1:7" x14ac:dyDescent="0.25">
      <c r="E468" t="str">
        <f>"ACCT#405900029213 / 11012019"</f>
        <v>ACCT#405900029213 / 11012019</v>
      </c>
      <c r="F468" s="2">
        <v>374.7</v>
      </c>
      <c r="G468" t="str">
        <f>"ACCT#405900029213 / 11012019"</f>
        <v>ACCT#405900029213 / 11012019</v>
      </c>
    </row>
    <row r="469" spans="1:7" x14ac:dyDescent="0.25">
      <c r="E469" t="str">
        <f>"ACCT#405900028789 / 11012019"</f>
        <v>ACCT#405900028789 / 11012019</v>
      </c>
      <c r="F469" s="2">
        <v>187.35</v>
      </c>
      <c r="G469" t="str">
        <f>"ACCT#405900028789 / 11012019"</f>
        <v>ACCT#405900028789 / 11012019</v>
      </c>
    </row>
    <row r="470" spans="1:7" x14ac:dyDescent="0.25">
      <c r="A470" t="s">
        <v>147</v>
      </c>
      <c r="B470">
        <v>1650</v>
      </c>
      <c r="C470" s="2">
        <v>4511.6000000000004</v>
      </c>
      <c r="D470" s="1">
        <v>43767</v>
      </c>
      <c r="E470" t="str">
        <f>"INV 29201C"</f>
        <v>INV 29201C</v>
      </c>
      <c r="F470" s="2">
        <v>2699.6</v>
      </c>
      <c r="G470" t="str">
        <f>"INV 29201C"</f>
        <v>INV 29201C</v>
      </c>
    </row>
    <row r="471" spans="1:7" x14ac:dyDescent="0.25">
      <c r="E471" t="str">
        <f>"INV 29250B"</f>
        <v>INV 29250B</v>
      </c>
      <c r="F471" s="2">
        <v>1812</v>
      </c>
      <c r="G471" t="str">
        <f>"INV 29250B"</f>
        <v>INV 29250B</v>
      </c>
    </row>
    <row r="472" spans="1:7" x14ac:dyDescent="0.25">
      <c r="A472" t="s">
        <v>148</v>
      </c>
      <c r="B472">
        <v>84229</v>
      </c>
      <c r="C472" s="2">
        <v>303.95999999999998</v>
      </c>
      <c r="D472" s="1">
        <v>43753</v>
      </c>
      <c r="E472" t="str">
        <f>"FREIGHT/PCT#4"</f>
        <v>FREIGHT/PCT#4</v>
      </c>
      <c r="F472" s="2">
        <v>303.95999999999998</v>
      </c>
      <c r="G472" t="str">
        <f>"FREIGHT/PCT#4"</f>
        <v>FREIGHT/PCT#4</v>
      </c>
    </row>
    <row r="473" spans="1:7" x14ac:dyDescent="0.25">
      <c r="A473" t="s">
        <v>148</v>
      </c>
      <c r="B473">
        <v>84525</v>
      </c>
      <c r="C473" s="2">
        <v>2029.44</v>
      </c>
      <c r="D473" s="1">
        <v>43766</v>
      </c>
      <c r="E473" t="str">
        <f>"PARTS/PCT#4"</f>
        <v>PARTS/PCT#4</v>
      </c>
      <c r="F473" s="2">
        <v>836.24</v>
      </c>
      <c r="G473" t="str">
        <f>"PARTS/PCT#4"</f>
        <v>PARTS/PCT#4</v>
      </c>
    </row>
    <row r="474" spans="1:7" x14ac:dyDescent="0.25">
      <c r="E474" t="str">
        <f>"VEHICLE PARTS/PCT#4"</f>
        <v>VEHICLE PARTS/PCT#4</v>
      </c>
      <c r="F474" s="2">
        <v>1193.2</v>
      </c>
      <c r="G474" t="str">
        <f>"VEHICLE PARTS/PCT#4"</f>
        <v>VEHICLE PARTS/PCT#4</v>
      </c>
    </row>
    <row r="475" spans="1:7" x14ac:dyDescent="0.25">
      <c r="A475" t="s">
        <v>149</v>
      </c>
      <c r="B475">
        <v>84230</v>
      </c>
      <c r="C475" s="2">
        <v>61</v>
      </c>
      <c r="D475" s="1">
        <v>43753</v>
      </c>
      <c r="E475" t="str">
        <f>"REIMBURSE DL FEE/PCT#2"</f>
        <v>REIMBURSE DL FEE/PCT#2</v>
      </c>
      <c r="F475" s="2">
        <v>61</v>
      </c>
      <c r="G475" t="str">
        <f>"REIMBURSE DL FEE/PCT#2"</f>
        <v>REIMBURSE DL FEE/PCT#2</v>
      </c>
    </row>
    <row r="476" spans="1:7" x14ac:dyDescent="0.25">
      <c r="A476" t="s">
        <v>150</v>
      </c>
      <c r="B476">
        <v>1620</v>
      </c>
      <c r="C476" s="2">
        <v>2950</v>
      </c>
      <c r="D476" s="1">
        <v>43754</v>
      </c>
      <c r="E476" t="str">
        <f>"02-1206-7"</f>
        <v>02-1206-7</v>
      </c>
      <c r="F476" s="2">
        <v>400</v>
      </c>
      <c r="G476" t="str">
        <f>"02-1206-7"</f>
        <v>02-1206-7</v>
      </c>
    </row>
    <row r="477" spans="1:7" x14ac:dyDescent="0.25">
      <c r="E477" t="str">
        <f>"16949  18504276"</f>
        <v>16949  18504276</v>
      </c>
      <c r="F477" s="2">
        <v>600</v>
      </c>
      <c r="G477" t="str">
        <f>"16949  18504276"</f>
        <v>16949  18504276</v>
      </c>
    </row>
    <row r="478" spans="1:7" x14ac:dyDescent="0.25">
      <c r="E478" t="str">
        <f>"J-3188"</f>
        <v>J-3188</v>
      </c>
      <c r="F478" s="2">
        <v>250</v>
      </c>
      <c r="G478" t="str">
        <f>"J-3188"</f>
        <v>J-3188</v>
      </c>
    </row>
    <row r="479" spans="1:7" x14ac:dyDescent="0.25">
      <c r="E479" t="str">
        <f>"18-19299"</f>
        <v>18-19299</v>
      </c>
      <c r="F479" s="2">
        <v>100</v>
      </c>
      <c r="G479" t="str">
        <f>"18-19299"</f>
        <v>18-19299</v>
      </c>
    </row>
    <row r="480" spans="1:7" x14ac:dyDescent="0.25">
      <c r="E480" t="str">
        <f>"19-19786"</f>
        <v>19-19786</v>
      </c>
      <c r="F480" s="2">
        <v>250</v>
      </c>
      <c r="G480" t="str">
        <f>"19-19786"</f>
        <v>19-19786</v>
      </c>
    </row>
    <row r="481" spans="1:7" x14ac:dyDescent="0.25">
      <c r="E481" t="str">
        <f>"19-19537"</f>
        <v>19-19537</v>
      </c>
      <c r="F481" s="2">
        <v>212.5</v>
      </c>
      <c r="G481" t="str">
        <f>"19-19537"</f>
        <v>19-19537</v>
      </c>
    </row>
    <row r="482" spans="1:7" x14ac:dyDescent="0.25">
      <c r="E482" t="str">
        <f>"09-13569"</f>
        <v>09-13569</v>
      </c>
      <c r="F482" s="2">
        <v>137.5</v>
      </c>
      <c r="G482" t="str">
        <f>"09-13569"</f>
        <v>09-13569</v>
      </c>
    </row>
    <row r="483" spans="1:7" x14ac:dyDescent="0.25">
      <c r="E483" t="str">
        <f>"AC20190719"</f>
        <v>AC20190719</v>
      </c>
      <c r="F483" s="2">
        <v>250</v>
      </c>
      <c r="G483" t="str">
        <f>"AC20190719"</f>
        <v>AC20190719</v>
      </c>
    </row>
    <row r="484" spans="1:7" x14ac:dyDescent="0.25">
      <c r="E484" t="str">
        <f>"56980"</f>
        <v>56980</v>
      </c>
      <c r="F484" s="2">
        <v>250</v>
      </c>
      <c r="G484" t="str">
        <f>"56980"</f>
        <v>56980</v>
      </c>
    </row>
    <row r="485" spans="1:7" x14ac:dyDescent="0.25">
      <c r="E485" t="str">
        <f>"57021"</f>
        <v>57021</v>
      </c>
      <c r="F485" s="2">
        <v>250</v>
      </c>
      <c r="G485" t="str">
        <f>"57021"</f>
        <v>57021</v>
      </c>
    </row>
    <row r="486" spans="1:7" x14ac:dyDescent="0.25">
      <c r="E486" t="str">
        <f>"57132"</f>
        <v>57132</v>
      </c>
      <c r="F486" s="2">
        <v>250</v>
      </c>
      <c r="G486" t="str">
        <f>"57132"</f>
        <v>57132</v>
      </c>
    </row>
    <row r="487" spans="1:7" x14ac:dyDescent="0.25">
      <c r="A487" t="s">
        <v>150</v>
      </c>
      <c r="B487">
        <v>1690</v>
      </c>
      <c r="C487" s="2">
        <v>3225</v>
      </c>
      <c r="D487" s="1">
        <v>43767</v>
      </c>
      <c r="E487" t="str">
        <f>"16573"</f>
        <v>16573</v>
      </c>
      <c r="F487" s="2">
        <v>600</v>
      </c>
      <c r="G487" t="str">
        <f>"16573"</f>
        <v>16573</v>
      </c>
    </row>
    <row r="488" spans="1:7" x14ac:dyDescent="0.25">
      <c r="E488" t="str">
        <f>"16161"</f>
        <v>16161</v>
      </c>
      <c r="F488" s="2">
        <v>400</v>
      </c>
      <c r="G488" t="str">
        <f>"16161"</f>
        <v>16161</v>
      </c>
    </row>
    <row r="489" spans="1:7" x14ac:dyDescent="0.25">
      <c r="E489" t="str">
        <f>"CC20190727"</f>
        <v>CC20190727</v>
      </c>
      <c r="F489" s="2">
        <v>400</v>
      </c>
      <c r="G489" t="str">
        <f>"CC20190727"</f>
        <v>CC20190727</v>
      </c>
    </row>
    <row r="490" spans="1:7" x14ac:dyDescent="0.25">
      <c r="E490" t="str">
        <f>"16955  16853  409179-1"</f>
        <v>16955  16853  409179-1</v>
      </c>
      <c r="F490" s="2">
        <v>800</v>
      </c>
      <c r="G490" t="str">
        <f>"16955  16853  409179-1"</f>
        <v>16955  16853  409179-1</v>
      </c>
    </row>
    <row r="491" spans="1:7" x14ac:dyDescent="0.25">
      <c r="E491" t="str">
        <f>"16214"</f>
        <v>16214</v>
      </c>
      <c r="F491" s="2">
        <v>400</v>
      </c>
      <c r="G491" t="str">
        <f>"16214"</f>
        <v>16214</v>
      </c>
    </row>
    <row r="492" spans="1:7" x14ac:dyDescent="0.25">
      <c r="E492" t="str">
        <f>"56273"</f>
        <v>56273</v>
      </c>
      <c r="F492" s="2">
        <v>250</v>
      </c>
      <c r="G492" t="str">
        <f>"56273"</f>
        <v>56273</v>
      </c>
    </row>
    <row r="493" spans="1:7" x14ac:dyDescent="0.25">
      <c r="E493" t="str">
        <f>"02-0903-5  02-0903-7"</f>
        <v>02-0903-5  02-0903-7</v>
      </c>
      <c r="F493" s="2">
        <v>375</v>
      </c>
      <c r="G493" t="str">
        <f>"02-0903-5  02-0903-7"</f>
        <v>02-0903-5  02-0903-7</v>
      </c>
    </row>
    <row r="494" spans="1:7" x14ac:dyDescent="0.25">
      <c r="A494" t="s">
        <v>151</v>
      </c>
      <c r="B494">
        <v>84231</v>
      </c>
      <c r="C494" s="2">
        <v>2500</v>
      </c>
      <c r="D494" s="1">
        <v>43753</v>
      </c>
      <c r="E494" t="str">
        <f>"EASY CAMPAIGN/FINANCE/ELECTION"</f>
        <v>EASY CAMPAIGN/FINANCE/ELECTION</v>
      </c>
      <c r="F494" s="2">
        <v>2500</v>
      </c>
    </row>
    <row r="495" spans="1:7" x14ac:dyDescent="0.25">
      <c r="A495" t="s">
        <v>152</v>
      </c>
      <c r="B495">
        <v>1591</v>
      </c>
      <c r="C495" s="2">
        <v>773.14</v>
      </c>
      <c r="D495" s="1">
        <v>43754</v>
      </c>
      <c r="E495" t="str">
        <f>"INV 6251656784"</f>
        <v>INV 6251656784</v>
      </c>
      <c r="F495" s="2">
        <v>773.14</v>
      </c>
      <c r="G495" t="str">
        <f>"INV 6251656784"</f>
        <v>INV 6251656784</v>
      </c>
    </row>
    <row r="496" spans="1:7" x14ac:dyDescent="0.25">
      <c r="A496" t="s">
        <v>152</v>
      </c>
      <c r="B496">
        <v>1662</v>
      </c>
      <c r="C496" s="2">
        <v>891.62</v>
      </c>
      <c r="D496" s="1">
        <v>43767</v>
      </c>
      <c r="E496" t="str">
        <f>"INV 6252088822"</f>
        <v>INV 6252088822</v>
      </c>
      <c r="F496" s="2">
        <v>891.62</v>
      </c>
      <c r="G496" t="str">
        <f>"INV 6252088822"</f>
        <v>INV 6252088822</v>
      </c>
    </row>
    <row r="497" spans="1:7" x14ac:dyDescent="0.25">
      <c r="A497" t="s">
        <v>153</v>
      </c>
      <c r="B497">
        <v>84232</v>
      </c>
      <c r="C497" s="2">
        <v>174</v>
      </c>
      <c r="D497" s="1">
        <v>43753</v>
      </c>
      <c r="E497" t="str">
        <f>"INV 1461"</f>
        <v>INV 1461</v>
      </c>
      <c r="F497" s="2">
        <v>174</v>
      </c>
      <c r="G497" t="str">
        <f>"INV 1461"</f>
        <v>INV 1461</v>
      </c>
    </row>
    <row r="498" spans="1:7" x14ac:dyDescent="0.25">
      <c r="A498" t="s">
        <v>154</v>
      </c>
      <c r="B498">
        <v>84233</v>
      </c>
      <c r="C498" s="2">
        <v>22734.080000000002</v>
      </c>
      <c r="D498" s="1">
        <v>43753</v>
      </c>
      <c r="E498" t="str">
        <f>"ACCT#B06875/ELECTIONS"</f>
        <v>ACCT#B06875/ELECTIONS</v>
      </c>
      <c r="F498" s="2">
        <v>14475</v>
      </c>
      <c r="G498" t="str">
        <f>"ACCT#B06875/ELECTIONS"</f>
        <v>ACCT#B06875/ELECTIONS</v>
      </c>
    </row>
    <row r="499" spans="1:7" x14ac:dyDescent="0.25">
      <c r="E499" t="str">
        <f>"ACCT#B06875/ELECTIONS"</f>
        <v>ACCT#B06875/ELECTIONS</v>
      </c>
      <c r="F499" s="2">
        <v>330.75</v>
      </c>
      <c r="G499" t="str">
        <f>"ACCT#B06875/ELECTIONS"</f>
        <v>ACCT#B06875/ELECTIONS</v>
      </c>
    </row>
    <row r="500" spans="1:7" x14ac:dyDescent="0.25">
      <c r="E500" t="str">
        <f>"ACCT#B06875/ELECTIONS"</f>
        <v>ACCT#B06875/ELECTIONS</v>
      </c>
      <c r="F500" s="2">
        <v>2311.5</v>
      </c>
      <c r="G500" t="str">
        <f>"ACCT#B06875/ELECTIONS"</f>
        <v>ACCT#B06875/ELECTIONS</v>
      </c>
    </row>
    <row r="501" spans="1:7" x14ac:dyDescent="0.25">
      <c r="E501" t="str">
        <f>"ACCT#B06875/ELECTIONS"</f>
        <v>ACCT#B06875/ELECTIONS</v>
      </c>
      <c r="F501" s="2">
        <v>2162.63</v>
      </c>
      <c r="G501" t="str">
        <f>"ACCT#B06875/ELECTIONS"</f>
        <v>ACCT#B06875/ELECTIONS</v>
      </c>
    </row>
    <row r="502" spans="1:7" x14ac:dyDescent="0.25">
      <c r="E502" t="str">
        <f>"ACCT#B06875/BALLOTS"</f>
        <v>ACCT#B06875/BALLOTS</v>
      </c>
      <c r="F502" s="2">
        <v>1883.85</v>
      </c>
      <c r="G502" t="str">
        <f>"ACCT#B06875/BALLOTS"</f>
        <v>ACCT#B06875/BALLOTS</v>
      </c>
    </row>
    <row r="503" spans="1:7" x14ac:dyDescent="0.25">
      <c r="E503" t="str">
        <f>"ACCT#B06875/BALLOTS"</f>
        <v>ACCT#B06875/BALLOTS</v>
      </c>
      <c r="F503" s="2">
        <v>1382.89</v>
      </c>
      <c r="G503" t="str">
        <f>"ACCT#B06875/BALLOTS"</f>
        <v>ACCT#B06875/BALLOTS</v>
      </c>
    </row>
    <row r="504" spans="1:7" x14ac:dyDescent="0.25">
      <c r="E504" t="str">
        <f>"ACCT#B06875/MEDIA"</f>
        <v>ACCT#B06875/MEDIA</v>
      </c>
      <c r="F504" s="2">
        <v>112.46</v>
      </c>
      <c r="G504" t="str">
        <f>"ACCT#B06875/MEDIA"</f>
        <v>ACCT#B06875/MEDIA</v>
      </c>
    </row>
    <row r="505" spans="1:7" x14ac:dyDescent="0.25">
      <c r="E505" t="str">
        <f>"ACCT#B06875/MEDIA"</f>
        <v>ACCT#B06875/MEDIA</v>
      </c>
      <c r="F505" s="2">
        <v>75</v>
      </c>
      <c r="G505" t="str">
        <f>"ACCT#B06875/MEDIA"</f>
        <v>ACCT#B06875/MEDIA</v>
      </c>
    </row>
    <row r="506" spans="1:7" x14ac:dyDescent="0.25">
      <c r="A506" t="s">
        <v>154</v>
      </c>
      <c r="B506">
        <v>84526</v>
      </c>
      <c r="C506" s="2">
        <v>1076.78</v>
      </c>
      <c r="D506" s="1">
        <v>43766</v>
      </c>
      <c r="E506" t="str">
        <f>"ACCT#B06875/ACTIVATION CARD"</f>
        <v>ACCT#B06875/ACTIVATION CARD</v>
      </c>
      <c r="F506" s="2">
        <v>1076.78</v>
      </c>
      <c r="G506" t="str">
        <f>"ACCT#B06875/ACTIVATION CARD"</f>
        <v>ACCT#B06875/ACTIVATION CARD</v>
      </c>
    </row>
    <row r="507" spans="1:7" x14ac:dyDescent="0.25">
      <c r="A507" t="s">
        <v>155</v>
      </c>
      <c r="B507">
        <v>84527</v>
      </c>
      <c r="C507" s="2">
        <v>150</v>
      </c>
      <c r="D507" s="1">
        <v>43766</v>
      </c>
      <c r="E507" t="str">
        <f>"PER DIEM"</f>
        <v>PER DIEM</v>
      </c>
      <c r="F507" s="2">
        <v>150</v>
      </c>
      <c r="G507" t="str">
        <f>"PER DIEM"</f>
        <v>PER DIEM</v>
      </c>
    </row>
    <row r="508" spans="1:7" x14ac:dyDescent="0.25">
      <c r="A508" t="s">
        <v>156</v>
      </c>
      <c r="B508">
        <v>84528</v>
      </c>
      <c r="C508" s="2">
        <v>245</v>
      </c>
      <c r="D508" s="1">
        <v>43766</v>
      </c>
      <c r="E508" t="str">
        <f>"SVC CALL/LABOR/PCT#4"</f>
        <v>SVC CALL/LABOR/PCT#4</v>
      </c>
      <c r="F508" s="2">
        <v>245</v>
      </c>
      <c r="G508" t="str">
        <f>"SVC CALL/LABOR/PCT#4"</f>
        <v>SVC CALL/LABOR/PCT#4</v>
      </c>
    </row>
    <row r="509" spans="1:7" x14ac:dyDescent="0.25">
      <c r="A509" t="s">
        <v>157</v>
      </c>
      <c r="B509">
        <v>84529</v>
      </c>
      <c r="C509" s="2">
        <v>7000</v>
      </c>
      <c r="D509" s="1">
        <v>43766</v>
      </c>
      <c r="E509" t="str">
        <f>"FY2019-2020  FUNDS"</f>
        <v>FY2019-2020  FUNDS</v>
      </c>
      <c r="F509" s="2">
        <v>7000</v>
      </c>
      <c r="G509" t="str">
        <f>"FY2019-2020  FUNDS"</f>
        <v>FY2019-2020  FUNDS</v>
      </c>
    </row>
    <row r="510" spans="1:7" x14ac:dyDescent="0.25">
      <c r="A510" t="s">
        <v>158</v>
      </c>
      <c r="B510">
        <v>1590</v>
      </c>
      <c r="C510" s="2">
        <v>886.5</v>
      </c>
      <c r="D510" s="1">
        <v>43754</v>
      </c>
      <c r="E510" t="str">
        <f>"Public Notice"</f>
        <v>Public Notice</v>
      </c>
      <c r="F510" s="2">
        <v>39</v>
      </c>
      <c r="G510" t="str">
        <f>"Public Notice"</f>
        <v>Public Notice</v>
      </c>
    </row>
    <row r="511" spans="1:7" x14ac:dyDescent="0.25">
      <c r="E511" t="str">
        <f>"RFB 19BCP09A"</f>
        <v>RFB 19BCP09A</v>
      </c>
      <c r="F511" s="2">
        <v>250</v>
      </c>
      <c r="G511" t="str">
        <f>"RFB 19BCP09A"</f>
        <v>RFB 19BCP09A</v>
      </c>
    </row>
    <row r="512" spans="1:7" x14ac:dyDescent="0.25">
      <c r="E512" t="str">
        <f>"Officials 19-20 Salaries"</f>
        <v>Officials 19-20 Salaries</v>
      </c>
      <c r="F512" s="2">
        <v>312.5</v>
      </c>
      <c r="G512" t="str">
        <f>"payment"</f>
        <v>payment</v>
      </c>
    </row>
    <row r="513" spans="1:7" x14ac:dyDescent="0.25">
      <c r="E513" t="str">
        <f>"Emergency Management Depu"</f>
        <v>Emergency Management Depu</v>
      </c>
      <c r="F513" s="2">
        <v>95</v>
      </c>
      <c r="G513" t="str">
        <f>"price"</f>
        <v>price</v>
      </c>
    </row>
    <row r="514" spans="1:7" x14ac:dyDescent="0.25">
      <c r="E514" t="str">
        <f>"Public Notice RFB19BCP06C"</f>
        <v>Public Notice RFB19BCP06C</v>
      </c>
      <c r="F514" s="2">
        <v>190</v>
      </c>
      <c r="G514" t="str">
        <f>"PUB NTC RFB19BCP06C"</f>
        <v>PUB NTC RFB19BCP06C</v>
      </c>
    </row>
    <row r="515" spans="1:7" x14ac:dyDescent="0.25">
      <c r="A515" t="s">
        <v>159</v>
      </c>
      <c r="B515">
        <v>84530</v>
      </c>
      <c r="C515" s="2">
        <v>350</v>
      </c>
      <c r="D515" s="1">
        <v>43766</v>
      </c>
      <c r="E515" t="str">
        <f>"TRANSPORT-B.K. HERRON"</f>
        <v>TRANSPORT-B.K. HERRON</v>
      </c>
      <c r="F515" s="2">
        <v>350</v>
      </c>
      <c r="G515" t="str">
        <f>"TRANSPORT-B.K. HERRON"</f>
        <v>TRANSPORT-B.K. HERRON</v>
      </c>
    </row>
    <row r="516" spans="1:7" x14ac:dyDescent="0.25">
      <c r="A516" t="s">
        <v>160</v>
      </c>
      <c r="B516">
        <v>84234</v>
      </c>
      <c r="C516" s="2">
        <v>97.47</v>
      </c>
      <c r="D516" s="1">
        <v>43753</v>
      </c>
      <c r="E516" t="str">
        <f>"STATEMENT#12909/PCT#4"</f>
        <v>STATEMENT#12909/PCT#4</v>
      </c>
      <c r="F516" s="2">
        <v>97.47</v>
      </c>
      <c r="G516" t="str">
        <f>"STATEMENT#12909/PCT#4"</f>
        <v>STATEMENT#12909/PCT#4</v>
      </c>
    </row>
    <row r="517" spans="1:7" x14ac:dyDescent="0.25">
      <c r="A517" t="s">
        <v>161</v>
      </c>
      <c r="B517">
        <v>84531</v>
      </c>
      <c r="C517" s="2">
        <v>11.71</v>
      </c>
      <c r="D517" s="1">
        <v>43766</v>
      </c>
      <c r="E517" t="str">
        <f>"ARREST FEES 07/01-09/30"</f>
        <v>ARREST FEES 07/01-09/30</v>
      </c>
      <c r="F517" s="2">
        <v>11.71</v>
      </c>
      <c r="G517" t="str">
        <f>"ARREST FEES 07/01-09/30"</f>
        <v>ARREST FEES 07/01-09/30</v>
      </c>
    </row>
    <row r="518" spans="1:7" x14ac:dyDescent="0.25">
      <c r="A518" t="s">
        <v>162</v>
      </c>
      <c r="B518">
        <v>84157</v>
      </c>
      <c r="C518" s="2">
        <v>1638.7</v>
      </c>
      <c r="D518" s="1">
        <v>43742</v>
      </c>
      <c r="E518" t="str">
        <f>"ACCT#007-0008410-002/09302019"</f>
        <v>ACCT#007-0008410-002/09302019</v>
      </c>
      <c r="F518" s="2">
        <v>207.49</v>
      </c>
      <c r="G518" t="str">
        <f>"ACCT#007-0008410-002/09302019"</f>
        <v>ACCT#007-0008410-002/09302019</v>
      </c>
    </row>
    <row r="519" spans="1:7" x14ac:dyDescent="0.25">
      <c r="E519" t="str">
        <f>"ACCT#007-0011501-000/09302019"</f>
        <v>ACCT#007-0011501-000/09302019</v>
      </c>
      <c r="F519" s="2">
        <v>369.04</v>
      </c>
      <c r="G519" t="str">
        <f>"ACCT#007-0011501-000/09302019"</f>
        <v>ACCT#007-0011501-000/09302019</v>
      </c>
    </row>
    <row r="520" spans="1:7" x14ac:dyDescent="0.25">
      <c r="E520" t="str">
        <f>"ACCT#007-0011510-000/09302019"</f>
        <v>ACCT#007-0011510-000/09302019</v>
      </c>
      <c r="F520" s="2">
        <v>235.91</v>
      </c>
      <c r="G520" t="str">
        <f>"ACCT#007-0011510-000/09302019"</f>
        <v>ACCT#007-0011510-000/09302019</v>
      </c>
    </row>
    <row r="521" spans="1:7" x14ac:dyDescent="0.25">
      <c r="E521" t="str">
        <f>"ACCT#007-0011530-000/09302019"</f>
        <v>ACCT#007-0011530-000/09302019</v>
      </c>
      <c r="F521" s="2">
        <v>97.4</v>
      </c>
      <c r="G521" t="str">
        <f>"ACCT#007-0011530-000/09302019"</f>
        <v>ACCT#007-0011530-000/09302019</v>
      </c>
    </row>
    <row r="522" spans="1:7" x14ac:dyDescent="0.25">
      <c r="E522" t="str">
        <f>"ACCT#007-0011534-001/09302019"</f>
        <v>ACCT#007-0011534-001/09302019</v>
      </c>
      <c r="F522" s="2">
        <v>166.88</v>
      </c>
      <c r="G522" t="str">
        <f>"ACCT#007-0011534-001/09302019"</f>
        <v>ACCT#007-0011534-001/09302019</v>
      </c>
    </row>
    <row r="523" spans="1:7" x14ac:dyDescent="0.25">
      <c r="E523" t="str">
        <f>"ACCT#007-0011535-000/09302019"</f>
        <v>ACCT#007-0011535-000/09302019</v>
      </c>
      <c r="F523" s="2">
        <v>395.73</v>
      </c>
      <c r="G523" t="str">
        <f>"ACCT#007-0011535-000/09302019"</f>
        <v>ACCT#007-0011535-000/09302019</v>
      </c>
    </row>
    <row r="524" spans="1:7" x14ac:dyDescent="0.25">
      <c r="E524" t="str">
        <f>"ACCT#007-0011544-001/09302019"</f>
        <v>ACCT#007-0011544-001/09302019</v>
      </c>
      <c r="F524" s="2">
        <v>129.66999999999999</v>
      </c>
      <c r="G524" t="str">
        <f>"ACCT#007-0011544-001/09302019"</f>
        <v>ACCT#007-0011544-001/09302019</v>
      </c>
    </row>
    <row r="525" spans="1:7" x14ac:dyDescent="0.25">
      <c r="E525" t="str">
        <f>"ACCT#007-0071128-001/09302019"</f>
        <v>ACCT#007-0071128-001/09302019</v>
      </c>
      <c r="F525" s="2">
        <v>36.58</v>
      </c>
      <c r="G525" t="str">
        <f>"ACCT#007-0071128-001/09302019"</f>
        <v>ACCT#007-0071128-001/09302019</v>
      </c>
    </row>
    <row r="526" spans="1:7" x14ac:dyDescent="0.25">
      <c r="A526" t="s">
        <v>163</v>
      </c>
      <c r="B526">
        <v>84235</v>
      </c>
      <c r="C526" s="2">
        <v>2541.96</v>
      </c>
      <c r="D526" s="1">
        <v>43753</v>
      </c>
      <c r="E526" t="str">
        <f>"CUST#0888336"</f>
        <v>CUST#0888336</v>
      </c>
      <c r="F526" s="2">
        <v>-22.22</v>
      </c>
      <c r="G526" t="str">
        <f>"CUST#0888336"</f>
        <v>CUST#0888336</v>
      </c>
    </row>
    <row r="527" spans="1:7" x14ac:dyDescent="0.25">
      <c r="E527" t="str">
        <f>"CUST#0888336"</f>
        <v>CUST#0888336</v>
      </c>
      <c r="F527" s="2">
        <v>2267.69</v>
      </c>
      <c r="G527" t="str">
        <f>"CUST#0888336"</f>
        <v>CUST#0888336</v>
      </c>
    </row>
    <row r="528" spans="1:7" x14ac:dyDescent="0.25">
      <c r="E528" t="str">
        <f>"CUST#0888336"</f>
        <v>CUST#0888336</v>
      </c>
      <c r="F528" s="2">
        <v>296.49</v>
      </c>
      <c r="G528" t="str">
        <f>"CUST#0888336"</f>
        <v>CUST#0888336</v>
      </c>
    </row>
    <row r="529" spans="1:7" x14ac:dyDescent="0.25">
      <c r="A529" t="s">
        <v>163</v>
      </c>
      <c r="B529">
        <v>84532</v>
      </c>
      <c r="C529" s="2">
        <v>291.10000000000002</v>
      </c>
      <c r="D529" s="1">
        <v>43766</v>
      </c>
      <c r="E529" t="str">
        <f>"CUST#0888336/LED/GEN SVCS"</f>
        <v>CUST#0888336/LED/GEN SVCS</v>
      </c>
      <c r="F529" s="2">
        <v>162</v>
      </c>
      <c r="G529" t="str">
        <f>"CUST#0888336/LED/GEN SVCS"</f>
        <v>CUST#0888336/LED/GEN SVCS</v>
      </c>
    </row>
    <row r="530" spans="1:7" x14ac:dyDescent="0.25">
      <c r="E530" t="str">
        <f>"INV 145-32143-01"</f>
        <v>INV 145-32143-01</v>
      </c>
      <c r="F530" s="2">
        <v>129.1</v>
      </c>
      <c r="G530" t="str">
        <f>"INV 145-32143-01"</f>
        <v>INV 145-32143-01</v>
      </c>
    </row>
    <row r="531" spans="1:7" x14ac:dyDescent="0.25">
      <c r="A531" t="s">
        <v>164</v>
      </c>
      <c r="B531">
        <v>84533</v>
      </c>
      <c r="C531" s="2">
        <v>588.41999999999996</v>
      </c>
      <c r="D531" s="1">
        <v>43766</v>
      </c>
      <c r="E531" t="str">
        <f>"LODGING"</f>
        <v>LODGING</v>
      </c>
      <c r="F531" s="2">
        <v>588.41999999999996</v>
      </c>
      <c r="G531" t="str">
        <f>"LODGING"</f>
        <v>LODGING</v>
      </c>
    </row>
    <row r="532" spans="1:7" x14ac:dyDescent="0.25">
      <c r="A532" t="s">
        <v>165</v>
      </c>
      <c r="B532">
        <v>84236</v>
      </c>
      <c r="C532" s="2">
        <v>160461.67000000001</v>
      </c>
      <c r="D532" s="1">
        <v>43753</v>
      </c>
      <c r="E532" t="str">
        <f>"ACCT#912904/BOL#25535/PCT#2"</f>
        <v>ACCT#912904/BOL#25535/PCT#2</v>
      </c>
      <c r="F532" s="2">
        <v>7831.29</v>
      </c>
      <c r="G532" t="str">
        <f>"ACCT#912904/BOL#25535/PCT#2"</f>
        <v>ACCT#912904/BOL#25535/PCT#2</v>
      </c>
    </row>
    <row r="533" spans="1:7" x14ac:dyDescent="0.25">
      <c r="E533" t="str">
        <f>"ACCT#912923/BOL#25563/PCT#4"</f>
        <v>ACCT#912923/BOL#25563/PCT#4</v>
      </c>
      <c r="F533" s="2">
        <v>4164.05</v>
      </c>
      <c r="G533" t="str">
        <f>"ACCT#912923/BOL#25563/PCT#4"</f>
        <v>ACCT#912923/BOL#25563/PCT#4</v>
      </c>
    </row>
    <row r="534" spans="1:7" x14ac:dyDescent="0.25">
      <c r="E534" t="str">
        <f>"ACCT#912923/BOL#25568/PCT#4"</f>
        <v>ACCT#912923/BOL#25568/PCT#4</v>
      </c>
      <c r="F534" s="2">
        <v>4729.54</v>
      </c>
      <c r="G534" t="str">
        <f>"ACCT#912923/BOL#25568/PCT#4"</f>
        <v>ACCT#912923/BOL#25568/PCT#4</v>
      </c>
    </row>
    <row r="535" spans="1:7" x14ac:dyDescent="0.25">
      <c r="E535" t="str">
        <f>"ACCT#912897/BOL#25567/PCT#3"</f>
        <v>ACCT#912897/BOL#25567/PCT#3</v>
      </c>
      <c r="F535" s="2">
        <v>14748.72</v>
      </c>
      <c r="G535" t="str">
        <f>"ACCT#912897/BOL#25567/PCT#3"</f>
        <v>ACCT#912897/BOL#25567/PCT#3</v>
      </c>
    </row>
    <row r="536" spans="1:7" x14ac:dyDescent="0.25">
      <c r="E536" t="str">
        <f>"ACCT#912923/BOL#25586/PCT#4"</f>
        <v>ACCT#912923/BOL#25586/PCT#4</v>
      </c>
      <c r="F536" s="2">
        <v>4398.24</v>
      </c>
      <c r="G536" t="str">
        <f>"ACCT#912923/BOL#25586/PCT#4"</f>
        <v>ACCT#912923/BOL#25586/PCT#4</v>
      </c>
    </row>
    <row r="537" spans="1:7" x14ac:dyDescent="0.25">
      <c r="E537" t="str">
        <f>"ACCT#912923/BOL#25590/PCT#4"</f>
        <v>ACCT#912923/BOL#25590/PCT#4</v>
      </c>
      <c r="F537" s="2">
        <v>4626.72</v>
      </c>
      <c r="G537" t="str">
        <f>"ACCT#912923/BOL#25590/PCT#4"</f>
        <v>ACCT#912923/BOL#25590/PCT#4</v>
      </c>
    </row>
    <row r="538" spans="1:7" x14ac:dyDescent="0.25">
      <c r="E538" t="str">
        <f>"ACCT#912897/BOL#25594/PCT#3"</f>
        <v>ACCT#912897/BOL#25594/PCT#3</v>
      </c>
      <c r="F538" s="2">
        <v>17578.07</v>
      </c>
      <c r="G538" t="str">
        <f>"ACCT#912897/BOL#25594/PCT#3"</f>
        <v>ACCT#912897/BOL#25594/PCT#3</v>
      </c>
    </row>
    <row r="539" spans="1:7" x14ac:dyDescent="0.25">
      <c r="E539" t="str">
        <f>"ACCT#912897/BOL#25606/PCT#3"</f>
        <v>ACCT#912897/BOL#25606/PCT#3</v>
      </c>
      <c r="F539" s="2">
        <v>16935.3</v>
      </c>
      <c r="G539" t="str">
        <f>"ACCT#912897/BOL#25606/PCT#3"</f>
        <v>ACCT#912897/BOL#25606/PCT#3</v>
      </c>
    </row>
    <row r="540" spans="1:7" x14ac:dyDescent="0.25">
      <c r="E540" t="str">
        <f>"ACCT#912897/BOL#25601/PCT#3"</f>
        <v>ACCT#912897/BOL#25601/PCT#3</v>
      </c>
      <c r="F540" s="2">
        <v>16590.23</v>
      </c>
      <c r="G540" t="str">
        <f>"ACCT#912897/BOL#25601/PCT#3"</f>
        <v>ACCT#912897/BOL#25601/PCT#3</v>
      </c>
    </row>
    <row r="541" spans="1:7" x14ac:dyDescent="0.25">
      <c r="E541" t="str">
        <f>"ACCT#912923/BOL#25610/PCT#4"</f>
        <v>ACCT#912923/BOL#25610/PCT#4</v>
      </c>
      <c r="F541" s="2">
        <v>4575.3100000000004</v>
      </c>
      <c r="G541" t="str">
        <f>"ACCT#912923/BOL#25610/PCT#4"</f>
        <v>ACCT#912923/BOL#25610/PCT#4</v>
      </c>
    </row>
    <row r="542" spans="1:7" x14ac:dyDescent="0.25">
      <c r="E542" t="str">
        <f>"ACCT#912897/BOL#25617/PCT#3"</f>
        <v>ACCT#912897/BOL#25617/PCT#3</v>
      </c>
      <c r="F542" s="2">
        <v>17185.64</v>
      </c>
      <c r="G542" t="str">
        <f>"ACCT#912897/BOL#25617/PCT#3"</f>
        <v>ACCT#912897/BOL#25617/PCT#3</v>
      </c>
    </row>
    <row r="543" spans="1:7" x14ac:dyDescent="0.25">
      <c r="E543" t="str">
        <f>"ACCT#912922/BOL#25616/PCT#1"</f>
        <v>ACCT#912922/BOL#25616/PCT#1</v>
      </c>
      <c r="F543" s="2">
        <v>12720.52</v>
      </c>
      <c r="G543" t="str">
        <f>"ACCT#912922/BOL#25616/PCT#1"</f>
        <v>ACCT#912922/BOL#25616/PCT#1</v>
      </c>
    </row>
    <row r="544" spans="1:7" x14ac:dyDescent="0.25">
      <c r="E544" t="str">
        <f>"ACCT#912897/BOL#25626/PCT#3"</f>
        <v>ACCT#912897/BOL#25626/PCT#3</v>
      </c>
      <c r="F544" s="2">
        <v>16874.400000000001</v>
      </c>
      <c r="G544" t="str">
        <f>"ACCT#912897/BOL#25626/PCT#3"</f>
        <v>ACCT#912897/BOL#25626/PCT#3</v>
      </c>
    </row>
    <row r="545" spans="1:7" x14ac:dyDescent="0.25">
      <c r="E545" t="str">
        <f>"ACCT#912897/BOL#25619/PCT#3"</f>
        <v>ACCT#912897/BOL#25619/PCT#3</v>
      </c>
      <c r="F545" s="2">
        <v>17503.64</v>
      </c>
      <c r="G545" t="str">
        <f>"ACCT#912897/BOL#25619/PCT#3"</f>
        <v>ACCT#912897/BOL#25619/PCT#3</v>
      </c>
    </row>
    <row r="546" spans="1:7" x14ac:dyDescent="0.25">
      <c r="A546" t="s">
        <v>165</v>
      </c>
      <c r="B546">
        <v>84534</v>
      </c>
      <c r="C546" s="2">
        <v>45496.86</v>
      </c>
      <c r="D546" s="1">
        <v>43766</v>
      </c>
      <c r="E546" t="str">
        <f>"ACCT#912922/BOL#25667/PCT#1"</f>
        <v>ACCT#912922/BOL#25667/PCT#1</v>
      </c>
      <c r="F546" s="2">
        <v>5262.89</v>
      </c>
      <c r="G546" t="str">
        <f>"ACCT#912922/BOL#25667/PCT#1"</f>
        <v>ACCT#912922/BOL#25667/PCT#1</v>
      </c>
    </row>
    <row r="547" spans="1:7" x14ac:dyDescent="0.25">
      <c r="E547" t="str">
        <f>"ACCT#912897/BOL#25685/PCT#3"</f>
        <v>ACCT#912897/BOL#25685/PCT#3</v>
      </c>
      <c r="F547" s="2">
        <v>18017.86</v>
      </c>
      <c r="G547" t="str">
        <f>"ACCT#912897/BOL#25685/PCT#3"</f>
        <v>ACCT#912897/BOL#25685/PCT#3</v>
      </c>
    </row>
    <row r="548" spans="1:7" x14ac:dyDescent="0.25">
      <c r="E548" t="str">
        <f>"ACCT#912923/BOL#25683/PCT#4"</f>
        <v>ACCT#912923/BOL#25683/PCT#4</v>
      </c>
      <c r="F548" s="2">
        <v>6741.93</v>
      </c>
      <c r="G548" t="str">
        <f>"ACCT#912923/BOL#25683/PCT#4"</f>
        <v>ACCT#912923/BOL#25683/PCT#4</v>
      </c>
    </row>
    <row r="549" spans="1:7" x14ac:dyDescent="0.25">
      <c r="E549" t="str">
        <f>"ACCT#912923/PCT#4"</f>
        <v>ACCT#912923/PCT#4</v>
      </c>
      <c r="F549" s="2">
        <v>90</v>
      </c>
      <c r="G549" t="str">
        <f>"ACCT#912923/PCT#4"</f>
        <v>ACCT#912923/PCT#4</v>
      </c>
    </row>
    <row r="550" spans="1:7" x14ac:dyDescent="0.25">
      <c r="E550" t="str">
        <f>"ACCT#912897/BOL#25739/PCT#3"</f>
        <v>ACCT#912897/BOL#25739/PCT#3</v>
      </c>
      <c r="F550" s="2">
        <v>15384.18</v>
      </c>
      <c r="G550" t="str">
        <f>"ACCT#912897/BOL#25739/PCT#3"</f>
        <v>ACCT#912897/BOL#25739/PCT#3</v>
      </c>
    </row>
    <row r="551" spans="1:7" x14ac:dyDescent="0.25">
      <c r="A551" t="s">
        <v>166</v>
      </c>
      <c r="B551">
        <v>84237</v>
      </c>
      <c r="C551" s="2">
        <v>41.76</v>
      </c>
      <c r="D551" s="1">
        <v>43753</v>
      </c>
      <c r="E551" t="str">
        <f>"MILEAGE REIMBURSEMENT"</f>
        <v>MILEAGE REIMBURSEMENT</v>
      </c>
      <c r="F551" s="2">
        <v>41.76</v>
      </c>
      <c r="G551" t="str">
        <f>"MILEAGE REIMBURSEMENT"</f>
        <v>MILEAGE REIMBURSEMENT</v>
      </c>
    </row>
    <row r="552" spans="1:7" x14ac:dyDescent="0.25">
      <c r="A552" t="s">
        <v>167</v>
      </c>
      <c r="B552">
        <v>84238</v>
      </c>
      <c r="C552" s="2">
        <v>82.71</v>
      </c>
      <c r="D552" s="1">
        <v>43753</v>
      </c>
      <c r="E552" t="str">
        <f>"REIMBURSE MILEAGE"</f>
        <v>REIMBURSE MILEAGE</v>
      </c>
      <c r="F552" s="2">
        <v>82.71</v>
      </c>
      <c r="G552" t="str">
        <f>"REIMBURSE MILEAGE/DINNER"</f>
        <v>REIMBURSE MILEAGE/DINNER</v>
      </c>
    </row>
    <row r="553" spans="1:7" x14ac:dyDescent="0.25">
      <c r="A553" t="s">
        <v>168</v>
      </c>
      <c r="B553">
        <v>1583</v>
      </c>
      <c r="C553" s="2">
        <v>4399.78</v>
      </c>
      <c r="D553" s="1">
        <v>43754</v>
      </c>
      <c r="E553" t="str">
        <f>"WORK WITH CT MEMBERS/STAFF"</f>
        <v>WORK WITH CT MEMBERS/STAFF</v>
      </c>
      <c r="F553" s="2">
        <v>4399.78</v>
      </c>
      <c r="G553" t="str">
        <f>"WORK WITH CT MEMBERS/STAFF"</f>
        <v>WORK WITH CT MEMBERS/STAFF</v>
      </c>
    </row>
    <row r="554" spans="1:7" x14ac:dyDescent="0.25">
      <c r="A554" t="s">
        <v>169</v>
      </c>
      <c r="B554">
        <v>84535</v>
      </c>
      <c r="C554" s="2">
        <v>420.08</v>
      </c>
      <c r="D554" s="1">
        <v>43766</v>
      </c>
      <c r="E554" t="str">
        <f>"LABOR/MILEAGE/PCT#3"</f>
        <v>LABOR/MILEAGE/PCT#3</v>
      </c>
      <c r="F554" s="2">
        <v>420.08</v>
      </c>
      <c r="G554" t="str">
        <f>"LABOR/MILEAGE/PCT#3"</f>
        <v>LABOR/MILEAGE/PCT#3</v>
      </c>
    </row>
    <row r="555" spans="1:7" x14ac:dyDescent="0.25">
      <c r="A555" t="s">
        <v>170</v>
      </c>
      <c r="B555">
        <v>1556</v>
      </c>
      <c r="C555" s="2">
        <v>4149</v>
      </c>
      <c r="D555" s="1">
        <v>43754</v>
      </c>
      <c r="E555" t="str">
        <f>"Invoice # : 07910728"</f>
        <v>Invoice # : 07910728</v>
      </c>
      <c r="F555" s="2">
        <v>4149</v>
      </c>
      <c r="G555" t="str">
        <f>"Annual Fee (Bastrop"</f>
        <v>Annual Fee (Bastrop</v>
      </c>
    </row>
    <row r="556" spans="1:7" x14ac:dyDescent="0.25">
      <c r="E556" t="str">
        <f>""</f>
        <v/>
      </c>
      <c r="G556" t="str">
        <f>" Fee for Mobile app"</f>
        <v xml:space="preserve"> Fee for Mobile app</v>
      </c>
    </row>
    <row r="557" spans="1:7" x14ac:dyDescent="0.25">
      <c r="A557" t="s">
        <v>171</v>
      </c>
      <c r="B557">
        <v>1592</v>
      </c>
      <c r="C557" s="2">
        <v>12241.12</v>
      </c>
      <c r="D557" s="1">
        <v>43754</v>
      </c>
      <c r="E557" t="str">
        <f>"GRANT REIMBURSEMENT"</f>
        <v>GRANT REIMBURSEMENT</v>
      </c>
      <c r="F557" s="2">
        <v>12241.12</v>
      </c>
      <c r="G557" t="str">
        <f>"GRANT REIMBURSEMENT"</f>
        <v>GRANT REIMBURSEMENT</v>
      </c>
    </row>
    <row r="558" spans="1:7" x14ac:dyDescent="0.25">
      <c r="A558" t="s">
        <v>172</v>
      </c>
      <c r="B558">
        <v>84536</v>
      </c>
      <c r="C558" s="2">
        <v>313.68</v>
      </c>
      <c r="D558" s="1">
        <v>43766</v>
      </c>
      <c r="E558" t="str">
        <f>"INDIGENT HEALTH"</f>
        <v>INDIGENT HEALTH</v>
      </c>
      <c r="F558" s="2">
        <v>313.68</v>
      </c>
      <c r="G558" t="str">
        <f>"INDIGENT HEALTH"</f>
        <v>INDIGENT HEALTH</v>
      </c>
    </row>
    <row r="559" spans="1:7" x14ac:dyDescent="0.25">
      <c r="A559" t="s">
        <v>173</v>
      </c>
      <c r="B559">
        <v>84537</v>
      </c>
      <c r="C559" s="2">
        <v>32</v>
      </c>
      <c r="D559" s="1">
        <v>43766</v>
      </c>
      <c r="E559" t="str">
        <f>"Deep Freeze Maintenance R"</f>
        <v>Deep Freeze Maintenance R</v>
      </c>
      <c r="F559" s="2">
        <v>32</v>
      </c>
      <c r="G559" t="str">
        <f>"DFS0.NA1LA.MR1.W01.S"</f>
        <v>DFS0.NA1LA.MR1.W01.S</v>
      </c>
    </row>
    <row r="560" spans="1:7" x14ac:dyDescent="0.25">
      <c r="A560" t="s">
        <v>174</v>
      </c>
      <c r="B560">
        <v>84538</v>
      </c>
      <c r="C560" s="2">
        <v>695</v>
      </c>
      <c r="D560" s="1">
        <v>43766</v>
      </c>
      <c r="E560" t="str">
        <f>"TRAINING"</f>
        <v>TRAINING</v>
      </c>
      <c r="F560" s="2">
        <v>695</v>
      </c>
      <c r="G560" t="str">
        <f>"TRAINING"</f>
        <v>TRAINING</v>
      </c>
    </row>
    <row r="561" spans="1:8" x14ac:dyDescent="0.25">
      <c r="A561" t="s">
        <v>175</v>
      </c>
      <c r="B561">
        <v>84239</v>
      </c>
      <c r="C561" s="2">
        <v>288.89</v>
      </c>
      <c r="D561" s="1">
        <v>43753</v>
      </c>
      <c r="E561" t="str">
        <f>"ACCT#1305-8295-8/CRIMINAL DA"</f>
        <v>ACCT#1305-8295-8/CRIMINAL DA</v>
      </c>
      <c r="F561" s="2">
        <v>42.17</v>
      </c>
      <c r="G561" t="str">
        <f>"ACCT#1305-8295-8/CRIMINAL DA"</f>
        <v>ACCT#1305-8295-8/CRIMINAL DA</v>
      </c>
    </row>
    <row r="562" spans="1:8" x14ac:dyDescent="0.25">
      <c r="E562" t="str">
        <f>"INV 6-741-99448"</f>
        <v>INV 6-741-99448</v>
      </c>
      <c r="F562" s="2">
        <v>80.569999999999993</v>
      </c>
      <c r="G562" t="str">
        <f>"INV 6-741-99448"</f>
        <v>INV 6-741-99448</v>
      </c>
    </row>
    <row r="563" spans="1:8" x14ac:dyDescent="0.25">
      <c r="E563" t="str">
        <f>"ACCT#4702-9210-5/AUDITOR"</f>
        <v>ACCT#4702-9210-5/AUDITOR</v>
      </c>
      <c r="F563" s="2">
        <v>166.15</v>
      </c>
      <c r="G563" t="str">
        <f>"ACCT#4702-9210-5/AUDITOR"</f>
        <v>ACCT#4702-9210-5/AUDITOR</v>
      </c>
    </row>
    <row r="564" spans="1:8" x14ac:dyDescent="0.25">
      <c r="A564" t="s">
        <v>176</v>
      </c>
      <c r="B564">
        <v>84539</v>
      </c>
      <c r="C564" s="2">
        <v>392.62</v>
      </c>
      <c r="D564" s="1">
        <v>43766</v>
      </c>
      <c r="E564" t="str">
        <f>"CUST#46240"</f>
        <v>CUST#46240</v>
      </c>
      <c r="F564" s="2">
        <v>392.62</v>
      </c>
      <c r="G564" t="str">
        <f>"CUST#46240"</f>
        <v>CUST#46240</v>
      </c>
    </row>
    <row r="565" spans="1:8" x14ac:dyDescent="0.25">
      <c r="A565" t="s">
        <v>177</v>
      </c>
      <c r="B565">
        <v>84240</v>
      </c>
      <c r="C565" s="2">
        <v>188.17</v>
      </c>
      <c r="D565" s="1">
        <v>43753</v>
      </c>
      <c r="E565" t="str">
        <f>"ACCT#80975/PCT#2"</f>
        <v>ACCT#80975/PCT#2</v>
      </c>
      <c r="F565" s="2">
        <v>188.17</v>
      </c>
      <c r="G565" t="str">
        <f>"ACCT#80975/PCT#2"</f>
        <v>ACCT#80975/PCT#2</v>
      </c>
    </row>
    <row r="566" spans="1:8" x14ac:dyDescent="0.25">
      <c r="A566" t="s">
        <v>177</v>
      </c>
      <c r="B566">
        <v>84540</v>
      </c>
      <c r="C566" s="2">
        <v>1008.68</v>
      </c>
      <c r="D566" s="1">
        <v>43766</v>
      </c>
      <c r="E566" t="str">
        <f>"ACCT#80975-001/PCT#3"</f>
        <v>ACCT#80975-001/PCT#3</v>
      </c>
      <c r="F566" s="2">
        <v>59.4</v>
      </c>
      <c r="G566" t="str">
        <f>"ACCT#80975-001/PCT#3"</f>
        <v>ACCT#80975-001/PCT#3</v>
      </c>
    </row>
    <row r="567" spans="1:8" x14ac:dyDescent="0.25">
      <c r="E567" t="str">
        <f>"ACCT#80975-001/PCT#3"</f>
        <v>ACCT#80975-001/PCT#3</v>
      </c>
      <c r="F567" s="2">
        <v>844.16</v>
      </c>
      <c r="G567" t="str">
        <f>"ACCT#80975-001/PCT#3"</f>
        <v>ACCT#80975-001/PCT#3</v>
      </c>
    </row>
    <row r="568" spans="1:8" x14ac:dyDescent="0.25">
      <c r="E568" t="str">
        <f>"ACCT#80975-001/PCT#3"</f>
        <v>ACCT#80975-001/PCT#3</v>
      </c>
      <c r="F568" s="2">
        <v>105.12</v>
      </c>
      <c r="G568" t="str">
        <f>"ACCT#80975-001/PCT#3"</f>
        <v>ACCT#80975-001/PCT#3</v>
      </c>
    </row>
    <row r="569" spans="1:8" x14ac:dyDescent="0.25">
      <c r="A569" t="s">
        <v>178</v>
      </c>
      <c r="B569">
        <v>1537</v>
      </c>
      <c r="C569" s="2">
        <v>105</v>
      </c>
      <c r="D569" s="1">
        <v>43754</v>
      </c>
      <c r="E569" t="str">
        <f>"REFUND BAIL BOND COUPONS"</f>
        <v>REFUND BAIL BOND COUPONS</v>
      </c>
      <c r="F569" s="2">
        <v>105</v>
      </c>
      <c r="G569" t="str">
        <f>"REFUND BAIL BOND COUPONS"</f>
        <v>REFUND BAIL BOND COUPONS</v>
      </c>
    </row>
    <row r="570" spans="1:8" x14ac:dyDescent="0.25">
      <c r="A570" t="s">
        <v>179</v>
      </c>
      <c r="B570">
        <v>84241</v>
      </c>
      <c r="C570" s="2">
        <v>100</v>
      </c>
      <c r="D570" s="1">
        <v>43753</v>
      </c>
      <c r="E570" t="s">
        <v>180</v>
      </c>
      <c r="F570" s="2" t="str">
        <f>"RESTITUTION - D. CORKILL"</f>
        <v>RESTITUTION - D. CORKILL</v>
      </c>
      <c r="G570" t="str">
        <f>"210-0000"</f>
        <v>210-0000</v>
      </c>
      <c r="H570" t="str">
        <f>""</f>
        <v/>
      </c>
    </row>
    <row r="571" spans="1:8" x14ac:dyDescent="0.25">
      <c r="E571" t="s">
        <v>181</v>
      </c>
      <c r="F571" s="2" t="str">
        <f>"RESTITUTION-D. CORKILL"</f>
        <v>RESTITUTION-D. CORKILL</v>
      </c>
      <c r="G571" t="str">
        <f>"210-0000"</f>
        <v>210-0000</v>
      </c>
      <c r="H571" t="str">
        <f>""</f>
        <v/>
      </c>
    </row>
    <row r="572" spans="1:8" x14ac:dyDescent="0.25">
      <c r="A572" t="s">
        <v>182</v>
      </c>
      <c r="B572">
        <v>1593</v>
      </c>
      <c r="C572" s="2">
        <v>850</v>
      </c>
      <c r="D572" s="1">
        <v>43754</v>
      </c>
      <c r="E572" t="str">
        <f>"FAIL TO ID"</f>
        <v>FAIL TO ID</v>
      </c>
      <c r="F572" s="2">
        <v>250</v>
      </c>
      <c r="G572" t="str">
        <f>"FAIL TO ID"</f>
        <v>FAIL TO ID</v>
      </c>
    </row>
    <row r="573" spans="1:8" x14ac:dyDescent="0.25">
      <c r="E573" t="str">
        <f>"UNFILED-EVADING ARREST"</f>
        <v>UNFILED-EVADING ARREST</v>
      </c>
      <c r="F573" s="2">
        <v>250</v>
      </c>
      <c r="G573" t="str">
        <f>"UNFILED-EVADING ARREST"</f>
        <v>UNFILED-EVADING ARREST</v>
      </c>
    </row>
    <row r="574" spans="1:8" x14ac:dyDescent="0.25">
      <c r="E574" t="str">
        <f>"56 795"</f>
        <v>56 795</v>
      </c>
      <c r="F574" s="2">
        <v>250</v>
      </c>
      <c r="G574" t="str">
        <f>"56 795"</f>
        <v>56 795</v>
      </c>
    </row>
    <row r="575" spans="1:8" x14ac:dyDescent="0.25">
      <c r="E575" t="str">
        <f>"N/A ASSAULT"</f>
        <v>N/A ASSAULT</v>
      </c>
      <c r="F575" s="2">
        <v>100</v>
      </c>
      <c r="G575" t="str">
        <f>"N/A ASSAULT"</f>
        <v>N/A ASSAULT</v>
      </c>
    </row>
    <row r="576" spans="1:8" x14ac:dyDescent="0.25">
      <c r="A576" t="s">
        <v>182</v>
      </c>
      <c r="B576">
        <v>1663</v>
      </c>
      <c r="C576" s="2">
        <v>100</v>
      </c>
      <c r="D576" s="1">
        <v>43767</v>
      </c>
      <c r="E576" t="str">
        <f>"JP2-02-924-3"</f>
        <v>JP2-02-924-3</v>
      </c>
      <c r="F576" s="2">
        <v>100</v>
      </c>
      <c r="G576" t="str">
        <f>"JP2-02-924-3"</f>
        <v>JP2-02-924-3</v>
      </c>
    </row>
    <row r="577" spans="1:7" x14ac:dyDescent="0.25">
      <c r="A577" t="s">
        <v>183</v>
      </c>
      <c r="B577">
        <v>1441</v>
      </c>
      <c r="C577" s="2">
        <v>330</v>
      </c>
      <c r="D577" s="1">
        <v>43746</v>
      </c>
      <c r="E577" t="str">
        <f>"TRAVEL ADVANCE / TML"</f>
        <v>TRAVEL ADVANCE / TML</v>
      </c>
      <c r="F577" s="2">
        <v>135</v>
      </c>
      <c r="G577" t="str">
        <f>"TRAVEL ADVANCE / TML"</f>
        <v>TRAVEL ADVANCE / TML</v>
      </c>
    </row>
    <row r="578" spans="1:7" x14ac:dyDescent="0.25">
      <c r="E578" t="str">
        <f>"TRAVEL ADVANCE / STATE FAIR"</f>
        <v>TRAVEL ADVANCE / STATE FAIR</v>
      </c>
      <c r="F578" s="2">
        <v>195</v>
      </c>
      <c r="G578" t="str">
        <f>"TRAVEL ADVANCE / STATE FAIR"</f>
        <v>TRAVEL ADVANCE / STATE FAIR</v>
      </c>
    </row>
    <row r="579" spans="1:7" x14ac:dyDescent="0.25">
      <c r="A579" t="s">
        <v>183</v>
      </c>
      <c r="B579">
        <v>1580</v>
      </c>
      <c r="C579" s="2">
        <v>370.14</v>
      </c>
      <c r="D579" s="1">
        <v>43754</v>
      </c>
      <c r="E579" t="str">
        <f>"REIMBURSE - BROCHURES"</f>
        <v>REIMBURSE - BROCHURES</v>
      </c>
      <c r="F579" s="2">
        <v>66.8</v>
      </c>
      <c r="G579" t="str">
        <f>"REIMBURSE - BROCHURES"</f>
        <v>REIMBURSE - BROCHURES</v>
      </c>
    </row>
    <row r="580" spans="1:7" x14ac:dyDescent="0.25">
      <c r="E580" t="str">
        <f>"MILEAGE REIMBURSEMENT"</f>
        <v>MILEAGE REIMBURSEMENT</v>
      </c>
      <c r="F580" s="2">
        <v>303.33999999999997</v>
      </c>
      <c r="G580" t="str">
        <f>"MILEAGE REIMBURSEMENT"</f>
        <v>MILEAGE REIMBURSEMENT</v>
      </c>
    </row>
    <row r="581" spans="1:7" x14ac:dyDescent="0.25">
      <c r="A581" t="s">
        <v>183</v>
      </c>
      <c r="B581">
        <v>1656</v>
      </c>
      <c r="C581" s="2">
        <v>368.88</v>
      </c>
      <c r="D581" s="1">
        <v>43767</v>
      </c>
      <c r="E581" t="str">
        <f>"MILEAGE REIMBURSEMENT"</f>
        <v>MILEAGE REIMBURSEMENT</v>
      </c>
      <c r="F581" s="2">
        <v>368.88</v>
      </c>
      <c r="G581" t="str">
        <f>"MILEAGE REIMBURSEMENT"</f>
        <v>MILEAGE REIMBURSEMENT</v>
      </c>
    </row>
    <row r="582" spans="1:7" x14ac:dyDescent="0.25">
      <c r="A582" t="s">
        <v>184</v>
      </c>
      <c r="B582">
        <v>84242</v>
      </c>
      <c r="C582" s="2">
        <v>200</v>
      </c>
      <c r="D582" s="1">
        <v>43753</v>
      </c>
      <c r="E582" t="str">
        <f>"INV 3892"</f>
        <v>INV 3892</v>
      </c>
      <c r="F582" s="2">
        <v>200</v>
      </c>
      <c r="G582" t="str">
        <f>"INV 3892"</f>
        <v>INV 3892</v>
      </c>
    </row>
    <row r="583" spans="1:7" x14ac:dyDescent="0.25">
      <c r="A583" t="s">
        <v>185</v>
      </c>
      <c r="B583">
        <v>1659</v>
      </c>
      <c r="C583" s="2">
        <v>1094.4000000000001</v>
      </c>
      <c r="D583" s="1">
        <v>43767</v>
      </c>
      <c r="E583" t="str">
        <f>"ACCT#3326/HEADLAMP/PCT#4"</f>
        <v>ACCT#3326/HEADLAMP/PCT#4</v>
      </c>
      <c r="F583" s="2">
        <v>312.16000000000003</v>
      </c>
      <c r="G583" t="str">
        <f>"ACCT#3326/HEADLAMP/PCT#4"</f>
        <v>ACCT#3326/HEADLAMP/PCT#4</v>
      </c>
    </row>
    <row r="584" spans="1:7" x14ac:dyDescent="0.25">
      <c r="E584" t="str">
        <f>"ACCT#3324/BELT/PCT#3"</f>
        <v>ACCT#3324/BELT/PCT#3</v>
      </c>
      <c r="F584" s="2">
        <v>68.430000000000007</v>
      </c>
      <c r="G584" t="str">
        <f>"ACCT#3324/BELT/PCT#3"</f>
        <v>ACCT#3324/BELT/PCT#3</v>
      </c>
    </row>
    <row r="585" spans="1:7" x14ac:dyDescent="0.25">
      <c r="E585" t="str">
        <f>"ACCT#3324/PCT#3"</f>
        <v>ACCT#3324/PCT#3</v>
      </c>
      <c r="F585" s="2">
        <v>108.64</v>
      </c>
      <c r="G585" t="str">
        <f>"ACCT#3324/PCT#3"</f>
        <v>ACCT#3324/PCT#3</v>
      </c>
    </row>
    <row r="586" spans="1:7" x14ac:dyDescent="0.25">
      <c r="E586" t="str">
        <f>"ACCT#3324/PCT#3"</f>
        <v>ACCT#3324/PCT#3</v>
      </c>
      <c r="F586" s="2">
        <v>108.64</v>
      </c>
      <c r="G586" t="str">
        <f>"ACCT#3324/PCT#3"</f>
        <v>ACCT#3324/PCT#3</v>
      </c>
    </row>
    <row r="587" spans="1:7" x14ac:dyDescent="0.25">
      <c r="E587" t="str">
        <f>"ACCT#3326/HEADLAMP/PCT#4"</f>
        <v>ACCT#3326/HEADLAMP/PCT#4</v>
      </c>
      <c r="F587" s="2">
        <v>312.16000000000003</v>
      </c>
      <c r="G587" t="str">
        <f>"ACCT#3326/HEADLAMP/PCT#4"</f>
        <v>ACCT#3326/HEADLAMP/PCT#4</v>
      </c>
    </row>
    <row r="588" spans="1:7" x14ac:dyDescent="0.25">
      <c r="E588" t="str">
        <f>"ACCT#3323/AUTOLINK/PCT#4"</f>
        <v>ACCT#3323/AUTOLINK/PCT#4</v>
      </c>
      <c r="F588" s="2">
        <v>184.37</v>
      </c>
      <c r="G588" t="str">
        <f>"ACCT#3323/AUTOLINK/PCT#4"</f>
        <v>ACCT#3323/AUTOLINK/PCT#4</v>
      </c>
    </row>
    <row r="589" spans="1:7" x14ac:dyDescent="0.25">
      <c r="A589" t="s">
        <v>186</v>
      </c>
      <c r="B589">
        <v>1594</v>
      </c>
      <c r="C589" s="2">
        <v>462.17</v>
      </c>
      <c r="D589" s="1">
        <v>43754</v>
      </c>
      <c r="E589" t="str">
        <f>"WINDOW ENVELOPES/DEVLP SVCS"</f>
        <v>WINDOW ENVELOPES/DEVLP SVCS</v>
      </c>
      <c r="F589" s="2">
        <v>85.98</v>
      </c>
      <c r="G589" t="str">
        <f>"WINDOW ENVELOPES/DEVLP SVCS"</f>
        <v>WINDOW ENVELOPES/DEVLP SVCS</v>
      </c>
    </row>
    <row r="590" spans="1:7" x14ac:dyDescent="0.25">
      <c r="E590" t="str">
        <f>"BUSINESS CARDS-K. MILES REO"</f>
        <v>BUSINESS CARDS-K. MILES REO</v>
      </c>
      <c r="F590" s="2">
        <v>70</v>
      </c>
      <c r="G590" t="str">
        <f>"BUSINESS CARDS-K. MILES REO"</f>
        <v>BUSINESS CARDS-K. MILES REO</v>
      </c>
    </row>
    <row r="591" spans="1:7" x14ac:dyDescent="0.25">
      <c r="E591" t="str">
        <f>"FERAL HOG FLYERS/POSTERS/CLAIM"</f>
        <v>FERAL HOG FLYERS/POSTERS/CLAIM</v>
      </c>
      <c r="F591" s="2">
        <v>90.99</v>
      </c>
      <c r="G591" t="str">
        <f>"FERAL HOG FLYERS/POSTERS/CLAIM"</f>
        <v>FERAL HOG FLYERS/POSTERS/CLAIM</v>
      </c>
    </row>
    <row r="592" spans="1:7" x14ac:dyDescent="0.25">
      <c r="E592" t="str">
        <f>"INV GC 109889"</f>
        <v>INV GC 109889</v>
      </c>
      <c r="F592" s="2">
        <v>215.2</v>
      </c>
      <c r="G592" t="str">
        <f>"INV GC 109889"</f>
        <v>INV GC 109889</v>
      </c>
    </row>
    <row r="593" spans="1:7" x14ac:dyDescent="0.25">
      <c r="A593" t="s">
        <v>186</v>
      </c>
      <c r="B593">
        <v>1664</v>
      </c>
      <c r="C593" s="2">
        <v>3461.24</v>
      </c>
      <c r="D593" s="1">
        <v>43767</v>
      </c>
      <c r="E593" t="str">
        <f>"MAGNET CALENDAR-2020 ELECTIONS"</f>
        <v>MAGNET CALENDAR-2020 ELECTIONS</v>
      </c>
      <c r="F593" s="2">
        <v>3253.05</v>
      </c>
      <c r="G593" t="str">
        <f>"MAGNET CALENDAR-2020 ELECTIONS"</f>
        <v>MAGNET CALENDAR-2020 ELECTIONS</v>
      </c>
    </row>
    <row r="594" spans="1:7" x14ac:dyDescent="0.25">
      <c r="E594" t="str">
        <f>"BALLOTS/CERTIFICATES"</f>
        <v>BALLOTS/CERTIFICATES</v>
      </c>
      <c r="F594" s="2">
        <v>126.27</v>
      </c>
      <c r="G594" t="str">
        <f>"BALLOTS/CERTIFICATES"</f>
        <v>BALLOTS/CERTIFICATES</v>
      </c>
    </row>
    <row r="595" spans="1:7" x14ac:dyDescent="0.25">
      <c r="E595" t="str">
        <f>"INV GC 110032"</f>
        <v>INV GC 110032</v>
      </c>
      <c r="F595" s="2">
        <v>81.92</v>
      </c>
      <c r="G595" t="str">
        <f>"INV GC 110032"</f>
        <v>INV GC 110032</v>
      </c>
    </row>
    <row r="596" spans="1:7" x14ac:dyDescent="0.25">
      <c r="A596" t="s">
        <v>187</v>
      </c>
      <c r="B596">
        <v>84243</v>
      </c>
      <c r="C596" s="2">
        <v>325.04000000000002</v>
      </c>
      <c r="D596" s="1">
        <v>43753</v>
      </c>
      <c r="E596" t="str">
        <f>"INV 013705350"</f>
        <v>INV 013705350</v>
      </c>
      <c r="F596" s="2">
        <v>12</v>
      </c>
      <c r="G596" t="str">
        <f>"INV 013705350"</f>
        <v>INV 013705350</v>
      </c>
    </row>
    <row r="597" spans="1:7" x14ac:dyDescent="0.25">
      <c r="E597" t="str">
        <f>"INV 013744305"</f>
        <v>INV 013744305</v>
      </c>
      <c r="F597" s="2">
        <v>12</v>
      </c>
      <c r="G597" t="str">
        <f>"INV 013744305"</f>
        <v>INV 013744305</v>
      </c>
    </row>
    <row r="598" spans="1:7" x14ac:dyDescent="0.25">
      <c r="E598" t="str">
        <f>"INV 013783426"</f>
        <v>INV 013783426</v>
      </c>
      <c r="F598" s="2">
        <v>271.05</v>
      </c>
      <c r="G598" t="str">
        <f>"INV 013783426"</f>
        <v>INV 013783426</v>
      </c>
    </row>
    <row r="599" spans="1:7" x14ac:dyDescent="0.25">
      <c r="E599" t="str">
        <f>"INV 013835678"</f>
        <v>INV 013835678</v>
      </c>
      <c r="F599" s="2">
        <v>29.99</v>
      </c>
      <c r="G599" t="str">
        <f>"INV 013835678"</f>
        <v>INV 013835678</v>
      </c>
    </row>
    <row r="600" spans="1:7" x14ac:dyDescent="0.25">
      <c r="A600" t="s">
        <v>187</v>
      </c>
      <c r="B600">
        <v>84541</v>
      </c>
      <c r="C600" s="2">
        <v>4242.93</v>
      </c>
      <c r="D600" s="1">
        <v>43766</v>
      </c>
      <c r="E600" t="str">
        <f>"INV 013572096/013523274"</f>
        <v>INV 013572096/013523274</v>
      </c>
      <c r="F600" s="2">
        <v>18.95</v>
      </c>
      <c r="G600" t="str">
        <f>"INV 013572096"</f>
        <v>INV 013572096</v>
      </c>
    </row>
    <row r="601" spans="1:7" x14ac:dyDescent="0.25">
      <c r="E601" t="str">
        <f>""</f>
        <v/>
      </c>
      <c r="G601" t="str">
        <f>"INV 013523274"</f>
        <v>INV 013523274</v>
      </c>
    </row>
    <row r="602" spans="1:7" x14ac:dyDescent="0.25">
      <c r="E602" t="str">
        <f>"INV 013584718"</f>
        <v>INV 013584718</v>
      </c>
      <c r="F602" s="2">
        <v>268.5</v>
      </c>
      <c r="G602" t="str">
        <f>"INV 013584718"</f>
        <v>INV 013584718</v>
      </c>
    </row>
    <row r="603" spans="1:7" x14ac:dyDescent="0.25">
      <c r="E603" t="str">
        <f>"INV 013632846"</f>
        <v>INV 013632846</v>
      </c>
      <c r="F603" s="2">
        <v>24</v>
      </c>
      <c r="G603" t="str">
        <f>"INV 013632846"</f>
        <v>INV 013632846</v>
      </c>
    </row>
    <row r="604" spans="1:7" x14ac:dyDescent="0.25">
      <c r="E604" t="str">
        <f>"INV 013850039"</f>
        <v>INV 013850039</v>
      </c>
      <c r="F604" s="2">
        <v>193</v>
      </c>
      <c r="G604" t="str">
        <f>"INV 013850039"</f>
        <v>INV 013850039</v>
      </c>
    </row>
    <row r="605" spans="1:7" x14ac:dyDescent="0.25">
      <c r="E605" t="str">
        <f>"INV 013850040"</f>
        <v>INV 013850040</v>
      </c>
      <c r="F605" s="2">
        <v>289.5</v>
      </c>
      <c r="G605" t="str">
        <f>"INV 013850040"</f>
        <v>INV 013850040</v>
      </c>
    </row>
    <row r="606" spans="1:7" x14ac:dyDescent="0.25">
      <c r="E606" t="str">
        <f>"INV 013850041"</f>
        <v>INV 013850041</v>
      </c>
      <c r="F606" s="2">
        <v>96.5</v>
      </c>
      <c r="G606" t="str">
        <f>"INV 013850041"</f>
        <v>INV 013850041</v>
      </c>
    </row>
    <row r="607" spans="1:7" x14ac:dyDescent="0.25">
      <c r="E607" t="str">
        <f>"INV 013850042"</f>
        <v>INV 013850042</v>
      </c>
      <c r="F607" s="2">
        <v>289.5</v>
      </c>
      <c r="G607" t="str">
        <f>"INV 013850042"</f>
        <v>INV 013850042</v>
      </c>
    </row>
    <row r="608" spans="1:7" x14ac:dyDescent="0.25">
      <c r="E608" t="str">
        <f>"INV 013850043"</f>
        <v>INV 013850043</v>
      </c>
      <c r="F608" s="2">
        <v>289.5</v>
      </c>
      <c r="G608" t="str">
        <f>"INV 013850043"</f>
        <v>INV 013850043</v>
      </c>
    </row>
    <row r="609" spans="1:7" x14ac:dyDescent="0.25">
      <c r="E609" t="str">
        <f>"INV 013850044/013870662"</f>
        <v>INV 013850044/013870662</v>
      </c>
      <c r="F609" s="2">
        <v>442.5</v>
      </c>
      <c r="G609" t="str">
        <f>"INV 013850044"</f>
        <v>INV 013850044</v>
      </c>
    </row>
    <row r="610" spans="1:7" x14ac:dyDescent="0.25">
      <c r="E610" t="str">
        <f>""</f>
        <v/>
      </c>
      <c r="G610" t="str">
        <f>"INV 013870662"</f>
        <v>INV 013870662</v>
      </c>
    </row>
    <row r="611" spans="1:7" x14ac:dyDescent="0.25">
      <c r="E611" t="str">
        <f>"INV 013850045/013870663"</f>
        <v>INV 013850045/013870663</v>
      </c>
      <c r="F611" s="2">
        <v>166</v>
      </c>
      <c r="G611" t="str">
        <f>"INV 013850045"</f>
        <v>INV 013850045</v>
      </c>
    </row>
    <row r="612" spans="1:7" x14ac:dyDescent="0.25">
      <c r="E612" t="str">
        <f>""</f>
        <v/>
      </c>
      <c r="G612" t="str">
        <f>"INV 013870663"</f>
        <v>INV 013870663</v>
      </c>
    </row>
    <row r="613" spans="1:7" x14ac:dyDescent="0.25">
      <c r="E613" t="str">
        <f>"INV 013850046"</f>
        <v>INV 013850046</v>
      </c>
      <c r="F613" s="2">
        <v>193</v>
      </c>
      <c r="G613" t="str">
        <f>"INV 013850046"</f>
        <v>INV 013850046</v>
      </c>
    </row>
    <row r="614" spans="1:7" x14ac:dyDescent="0.25">
      <c r="E614" t="str">
        <f>"INV 013870660"</f>
        <v>INV 013870660</v>
      </c>
      <c r="F614" s="2">
        <v>193</v>
      </c>
      <c r="G614" t="str">
        <f>"INV 013870660"</f>
        <v>INV 013870660</v>
      </c>
    </row>
    <row r="615" spans="1:7" x14ac:dyDescent="0.25">
      <c r="E615" t="str">
        <f>"INV 013870661/013870717/0"</f>
        <v>INV 013870661/013870717/0</v>
      </c>
      <c r="F615" s="2">
        <v>208.93</v>
      </c>
      <c r="G615" t="str">
        <f>"INV 013870661"</f>
        <v>INV 013870661</v>
      </c>
    </row>
    <row r="616" spans="1:7" x14ac:dyDescent="0.25">
      <c r="E616" t="str">
        <f>""</f>
        <v/>
      </c>
      <c r="G616" t="str">
        <f>"INV 013870717"</f>
        <v>INV 013870717</v>
      </c>
    </row>
    <row r="617" spans="1:7" x14ac:dyDescent="0.25">
      <c r="E617" t="str">
        <f>""</f>
        <v/>
      </c>
      <c r="G617" t="str">
        <f>"INV 013943639"</f>
        <v>INV 013943639</v>
      </c>
    </row>
    <row r="618" spans="1:7" x14ac:dyDescent="0.25">
      <c r="E618" t="str">
        <f>"INV 013870664"</f>
        <v>INV 013870664</v>
      </c>
      <c r="F618" s="2">
        <v>625.5</v>
      </c>
      <c r="G618" t="str">
        <f>"INV 013870664"</f>
        <v>INV 013870664</v>
      </c>
    </row>
    <row r="619" spans="1:7" x14ac:dyDescent="0.25">
      <c r="E619" t="str">
        <f>"INV 013870665"</f>
        <v>INV 013870665</v>
      </c>
      <c r="F619" s="2">
        <v>410.05</v>
      </c>
      <c r="G619" t="str">
        <f>"INV 013870665"</f>
        <v>INV 013870665</v>
      </c>
    </row>
    <row r="620" spans="1:7" x14ac:dyDescent="0.25">
      <c r="E620" t="str">
        <f>"INV 013880963"</f>
        <v>INV 013880963</v>
      </c>
      <c r="F620" s="2">
        <v>208.5</v>
      </c>
      <c r="G620" t="str">
        <f>"INV 013880963"</f>
        <v>INV 013880963</v>
      </c>
    </row>
    <row r="621" spans="1:7" x14ac:dyDescent="0.25">
      <c r="E621" t="str">
        <f>"013891432"</f>
        <v>013891432</v>
      </c>
      <c r="F621" s="2">
        <v>326</v>
      </c>
      <c r="G621" t="str">
        <f>"INV 013891432"</f>
        <v>INV 013891432</v>
      </c>
    </row>
    <row r="622" spans="1:7" x14ac:dyDescent="0.25">
      <c r="E622" t="str">
        <f>""</f>
        <v/>
      </c>
      <c r="G622" t="str">
        <f>"INV 013880968"</f>
        <v>INV 013880968</v>
      </c>
    </row>
    <row r="623" spans="1:7" x14ac:dyDescent="0.25">
      <c r="A623" t="s">
        <v>188</v>
      </c>
      <c r="B623">
        <v>1612</v>
      </c>
      <c r="C623" s="2">
        <v>23.19</v>
      </c>
      <c r="D623" s="1">
        <v>43754</v>
      </c>
      <c r="E623" t="str">
        <f>"CUST#02141/ORD#S52192"</f>
        <v>CUST#02141/ORD#S52192</v>
      </c>
      <c r="F623" s="2">
        <v>23.19</v>
      </c>
      <c r="G623" t="str">
        <f>"CUST#02141/ORD#S52192"</f>
        <v>CUST#02141/ORD#S52192</v>
      </c>
    </row>
    <row r="624" spans="1:7" x14ac:dyDescent="0.25">
      <c r="A624" t="s">
        <v>188</v>
      </c>
      <c r="B624">
        <v>1682</v>
      </c>
      <c r="C624" s="2">
        <v>389.02</v>
      </c>
      <c r="D624" s="1">
        <v>43767</v>
      </c>
      <c r="E624" t="str">
        <f>"CUST#02260/ORD#S53302/ANIMAL S"</f>
        <v>CUST#02260/ORD#S53302/ANIMAL S</v>
      </c>
      <c r="F624" s="2">
        <v>389.02</v>
      </c>
      <c r="G624" t="str">
        <f>"CUST#02260/ORD#S53302/ANIMAL S"</f>
        <v>CUST#02260/ORD#S53302/ANIMAL S</v>
      </c>
    </row>
    <row r="625" spans="1:7" x14ac:dyDescent="0.25">
      <c r="A625" t="s">
        <v>189</v>
      </c>
      <c r="B625">
        <v>84244</v>
      </c>
      <c r="C625" s="2">
        <v>10553.72</v>
      </c>
      <c r="D625" s="1">
        <v>43753</v>
      </c>
      <c r="E625" t="str">
        <f>"15 914"</f>
        <v>15 914</v>
      </c>
      <c r="F625" s="2">
        <v>10553.72</v>
      </c>
      <c r="G625" t="str">
        <f>"15 914"</f>
        <v>15 914</v>
      </c>
    </row>
    <row r="626" spans="1:7" x14ac:dyDescent="0.25">
      <c r="A626" t="s">
        <v>190</v>
      </c>
      <c r="B626">
        <v>84245</v>
      </c>
      <c r="C626" s="2">
        <v>575</v>
      </c>
      <c r="D626" s="1">
        <v>43753</v>
      </c>
      <c r="E626" t="str">
        <f>"TRANSPORT-T.A. JONES II"</f>
        <v>TRANSPORT-T.A. JONES II</v>
      </c>
      <c r="F626" s="2">
        <v>575</v>
      </c>
      <c r="G626" t="str">
        <f>"TRANSPORT-T.A. JONES II"</f>
        <v>TRANSPORT-T.A. JONES II</v>
      </c>
    </row>
    <row r="627" spans="1:7" x14ac:dyDescent="0.25">
      <c r="A627" t="s">
        <v>191</v>
      </c>
      <c r="B627">
        <v>84246</v>
      </c>
      <c r="C627" s="2">
        <v>1273.9100000000001</v>
      </c>
      <c r="D627" s="1">
        <v>43753</v>
      </c>
      <c r="E627" t="str">
        <f>"INV 9295102983"</f>
        <v>INV 9295102983</v>
      </c>
      <c r="F627" s="2">
        <v>631.98</v>
      </c>
      <c r="G627" t="str">
        <f>"INV 9295102983"</f>
        <v>INV 9295102983</v>
      </c>
    </row>
    <row r="628" spans="1:7" x14ac:dyDescent="0.25">
      <c r="E628" t="str">
        <f>"INV 9295128137"</f>
        <v>INV 9295128137</v>
      </c>
      <c r="F628" s="2">
        <v>585.77</v>
      </c>
      <c r="G628" t="str">
        <f>"INV 9295128137"</f>
        <v>INV 9295128137</v>
      </c>
    </row>
    <row r="629" spans="1:7" x14ac:dyDescent="0.25">
      <c r="E629" t="str">
        <f>"INV 9313883556"</f>
        <v>INV 9313883556</v>
      </c>
      <c r="F629" s="2">
        <v>56.16</v>
      </c>
      <c r="G629" t="str">
        <f>"INV 9313883556"</f>
        <v>INV 9313883556</v>
      </c>
    </row>
    <row r="630" spans="1:7" x14ac:dyDescent="0.25">
      <c r="A630" t="s">
        <v>191</v>
      </c>
      <c r="B630">
        <v>84542</v>
      </c>
      <c r="C630" s="2">
        <v>11.4</v>
      </c>
      <c r="D630" s="1">
        <v>43766</v>
      </c>
      <c r="E630" t="str">
        <f>"INV 9324043729"</f>
        <v>INV 9324043729</v>
      </c>
      <c r="F630" s="2">
        <v>11.4</v>
      </c>
      <c r="G630" t="str">
        <f>"INV 9324043729"</f>
        <v>INV 9324043729</v>
      </c>
    </row>
    <row r="631" spans="1:7" x14ac:dyDescent="0.25">
      <c r="A631" t="s">
        <v>192</v>
      </c>
      <c r="B631">
        <v>84247</v>
      </c>
      <c r="C631" s="2">
        <v>14560</v>
      </c>
      <c r="D631" s="1">
        <v>43753</v>
      </c>
      <c r="E631" t="str">
        <f>"EXPERT SVCS 09/01 - 09/30"</f>
        <v>EXPERT SVCS 09/01 - 09/30</v>
      </c>
      <c r="F631" s="2">
        <v>14560</v>
      </c>
      <c r="G631" t="str">
        <f>"EXPERT SVCS 09/01 - 09/30"</f>
        <v>EXPERT SVCS 09/01 - 09/30</v>
      </c>
    </row>
    <row r="632" spans="1:7" x14ac:dyDescent="0.25">
      <c r="A632" t="s">
        <v>193</v>
      </c>
      <c r="B632">
        <v>84248</v>
      </c>
      <c r="C632" s="2">
        <v>5070</v>
      </c>
      <c r="D632" s="1">
        <v>43753</v>
      </c>
      <c r="E632" t="str">
        <f>"CLIENT 3366/OPEB VAL 19-20 PRO"</f>
        <v>CLIENT 3366/OPEB VAL 19-20 PRO</v>
      </c>
      <c r="F632" s="2">
        <v>5070</v>
      </c>
      <c r="G632" t="str">
        <f>"CLIENT 3366/OPEB VAL 19-20 PRO"</f>
        <v>CLIENT 3366/OPEB VAL 19-20 PRO</v>
      </c>
    </row>
    <row r="633" spans="1:7" x14ac:dyDescent="0.25">
      <c r="A633" t="s">
        <v>194</v>
      </c>
      <c r="B633">
        <v>1595</v>
      </c>
      <c r="C633" s="2">
        <v>5963.57</v>
      </c>
      <c r="D633" s="1">
        <v>43754</v>
      </c>
      <c r="E633" t="str">
        <f>"INV 0728524"</f>
        <v>INV 0728524</v>
      </c>
      <c r="F633" s="2">
        <v>850</v>
      </c>
      <c r="G633" t="str">
        <f>"INV 0728524"</f>
        <v>INV 0728524</v>
      </c>
    </row>
    <row r="634" spans="1:7" x14ac:dyDescent="0.25">
      <c r="E634" t="str">
        <f>""</f>
        <v/>
      </c>
      <c r="G634" t="str">
        <f>"INV 0728524"</f>
        <v>INV 0728524</v>
      </c>
    </row>
    <row r="635" spans="1:7" x14ac:dyDescent="0.25">
      <c r="E635" t="str">
        <f>"INV 0728684"</f>
        <v>INV 0728684</v>
      </c>
      <c r="F635" s="2">
        <v>850</v>
      </c>
      <c r="G635" t="str">
        <f>"INV 0728684"</f>
        <v>INV 0728684</v>
      </c>
    </row>
    <row r="636" spans="1:7" x14ac:dyDescent="0.25">
      <c r="E636" t="str">
        <f>""</f>
        <v/>
      </c>
      <c r="G636" t="str">
        <f>"INV 0728684"</f>
        <v>INV 0728684</v>
      </c>
    </row>
    <row r="637" spans="1:7" x14ac:dyDescent="0.25">
      <c r="E637" t="str">
        <f>"INV 0729164"</f>
        <v>INV 0729164</v>
      </c>
      <c r="F637" s="2">
        <v>1648</v>
      </c>
      <c r="G637" t="str">
        <f>"INV 0729164"</f>
        <v>INV 0729164</v>
      </c>
    </row>
    <row r="638" spans="1:7" x14ac:dyDescent="0.25">
      <c r="E638" t="str">
        <f>"INV 0729192"</f>
        <v>INV 0729192</v>
      </c>
      <c r="F638" s="2">
        <v>850</v>
      </c>
      <c r="G638" t="str">
        <f>"INV 0729192"</f>
        <v>INV 0729192</v>
      </c>
    </row>
    <row r="639" spans="1:7" x14ac:dyDescent="0.25">
      <c r="E639" t="str">
        <f>""</f>
        <v/>
      </c>
      <c r="G639" t="str">
        <f>"INV 0729192"</f>
        <v>INV 0729192</v>
      </c>
    </row>
    <row r="640" spans="1:7" x14ac:dyDescent="0.25">
      <c r="E640" t="str">
        <f>"INV"</f>
        <v>INV</v>
      </c>
      <c r="F640" s="2">
        <v>928.33</v>
      </c>
      <c r="G640" t="str">
        <f>"INV"</f>
        <v>INV</v>
      </c>
    </row>
    <row r="641" spans="1:7" x14ac:dyDescent="0.25">
      <c r="E641" t="str">
        <f>"INV 2022242"</f>
        <v>INV 2022242</v>
      </c>
      <c r="F641" s="2">
        <v>450</v>
      </c>
      <c r="G641" t="str">
        <f>"INV 2022242"</f>
        <v>INV 2022242</v>
      </c>
    </row>
    <row r="642" spans="1:7" x14ac:dyDescent="0.25">
      <c r="E642" t="str">
        <f>"INV0727206"</f>
        <v>INV0727206</v>
      </c>
      <c r="F642" s="2">
        <v>125.37</v>
      </c>
      <c r="G642" t="str">
        <f>"INV0727206"</f>
        <v>INV0727206</v>
      </c>
    </row>
    <row r="643" spans="1:7" x14ac:dyDescent="0.25">
      <c r="E643" t="str">
        <f>"INV0727210"</f>
        <v>INV0727210</v>
      </c>
      <c r="F643" s="2">
        <v>125.37</v>
      </c>
      <c r="G643" t="str">
        <f>"INV0727210"</f>
        <v>INV0727210</v>
      </c>
    </row>
    <row r="644" spans="1:7" x14ac:dyDescent="0.25">
      <c r="E644" t="str">
        <f>"BAdges"</f>
        <v>BAdges</v>
      </c>
      <c r="F644" s="2">
        <v>136.5</v>
      </c>
      <c r="G644" t="str">
        <f>"Item# SMWAR-S527C-G*"</f>
        <v>Item# SMWAR-S527C-G*</v>
      </c>
    </row>
    <row r="645" spans="1:7" x14ac:dyDescent="0.25">
      <c r="E645" t="str">
        <f>""</f>
        <v/>
      </c>
      <c r="G645" t="str">
        <f>"SMWAR-S527C-N*"</f>
        <v>SMWAR-S527C-N*</v>
      </c>
    </row>
    <row r="646" spans="1:7" x14ac:dyDescent="0.25">
      <c r="E646" t="str">
        <f>""</f>
        <v/>
      </c>
      <c r="G646" t="str">
        <f>"FREIGHT"</f>
        <v>FREIGHT</v>
      </c>
    </row>
    <row r="647" spans="1:7" x14ac:dyDescent="0.25">
      <c r="A647" t="s">
        <v>194</v>
      </c>
      <c r="B647">
        <v>1665</v>
      </c>
      <c r="C647" s="2">
        <v>939.5</v>
      </c>
      <c r="D647" s="1">
        <v>43767</v>
      </c>
      <c r="E647" t="str">
        <f>"INV 0732868"</f>
        <v>INV 0732868</v>
      </c>
      <c r="F647" s="2">
        <v>850</v>
      </c>
      <c r="G647" t="str">
        <f>"INV 0732868"</f>
        <v>INV 0732868</v>
      </c>
    </row>
    <row r="648" spans="1:7" x14ac:dyDescent="0.25">
      <c r="E648" t="str">
        <f>""</f>
        <v/>
      </c>
      <c r="G648" t="str">
        <f>"INV 0732868"</f>
        <v>INV 0732868</v>
      </c>
    </row>
    <row r="649" spans="1:7" x14ac:dyDescent="0.25">
      <c r="E649" t="str">
        <f>"Badge Order"</f>
        <v>Badge Order</v>
      </c>
      <c r="F649" s="2">
        <v>89.5</v>
      </c>
      <c r="G649" t="str">
        <f>"Item# SMWAR-S527C-G"</f>
        <v>Item# SMWAR-S527C-G</v>
      </c>
    </row>
    <row r="650" spans="1:7" x14ac:dyDescent="0.25">
      <c r="E650" t="str">
        <f>""</f>
        <v/>
      </c>
      <c r="G650" t="str">
        <f>"Freight"</f>
        <v>Freight</v>
      </c>
    </row>
    <row r="651" spans="1:7" x14ac:dyDescent="0.25">
      <c r="A651" t="s">
        <v>195</v>
      </c>
      <c r="B651">
        <v>1611</v>
      </c>
      <c r="C651" s="2">
        <v>191.18</v>
      </c>
      <c r="D651" s="1">
        <v>43754</v>
      </c>
      <c r="E651" t="str">
        <f>"INV 1736396"</f>
        <v>INV 1736396</v>
      </c>
      <c r="F651" s="2">
        <v>91.98</v>
      </c>
      <c r="G651" t="str">
        <f>"INV 1736396"</f>
        <v>INV 1736396</v>
      </c>
    </row>
    <row r="652" spans="1:7" x14ac:dyDescent="0.25">
      <c r="E652" t="str">
        <f>""</f>
        <v/>
      </c>
      <c r="G652" t="str">
        <f>"INV 1740363"</f>
        <v>INV 1740363</v>
      </c>
    </row>
    <row r="653" spans="1:7" x14ac:dyDescent="0.25">
      <c r="E653" t="str">
        <f>"Gulf Coast Order"</f>
        <v>Gulf Coast Order</v>
      </c>
      <c r="F653" s="2">
        <v>99.2</v>
      </c>
      <c r="G653" t="str">
        <f>"GP19375"</f>
        <v>GP19375</v>
      </c>
    </row>
    <row r="654" spans="1:7" x14ac:dyDescent="0.25">
      <c r="E654" t="str">
        <f>""</f>
        <v/>
      </c>
      <c r="G654" t="str">
        <f>"GP89480"</f>
        <v>GP89480</v>
      </c>
    </row>
    <row r="655" spans="1:7" x14ac:dyDescent="0.25">
      <c r="A655" t="s">
        <v>195</v>
      </c>
      <c r="B655">
        <v>1679</v>
      </c>
      <c r="C655" s="2">
        <v>7794.89</v>
      </c>
      <c r="D655" s="1">
        <v>43767</v>
      </c>
      <c r="E655" t="str">
        <f>"inv# 1742923"</f>
        <v>inv# 1742923</v>
      </c>
      <c r="F655" s="2">
        <v>4068.28</v>
      </c>
      <c r="G655" t="str">
        <f>"inv# 1742923"</f>
        <v>inv# 1742923</v>
      </c>
    </row>
    <row r="656" spans="1:7" x14ac:dyDescent="0.25">
      <c r="E656" t="str">
        <f>"INV 1748685"</f>
        <v>INV 1748685</v>
      </c>
      <c r="F656" s="2">
        <v>183.3</v>
      </c>
      <c r="G656" t="str">
        <f>"INV 1748685"</f>
        <v>INV 1748685</v>
      </c>
    </row>
    <row r="657" spans="1:8" x14ac:dyDescent="0.25">
      <c r="E657" t="str">
        <f>"INV 1748686"</f>
        <v>INV 1748686</v>
      </c>
      <c r="F657" s="2">
        <v>3417.85</v>
      </c>
      <c r="G657" t="str">
        <f>"INV 1748686"</f>
        <v>INV 1748686</v>
      </c>
    </row>
    <row r="658" spans="1:8" x14ac:dyDescent="0.25">
      <c r="E658" t="str">
        <f>"INV 1752568"</f>
        <v>INV 1752568</v>
      </c>
      <c r="F658" s="2">
        <v>125.46</v>
      </c>
      <c r="G658" t="str">
        <f>"INV 1752568"</f>
        <v>INV 1752568</v>
      </c>
    </row>
    <row r="659" spans="1:8" x14ac:dyDescent="0.25">
      <c r="A659" t="s">
        <v>196</v>
      </c>
      <c r="B659">
        <v>1609</v>
      </c>
      <c r="C659" s="2">
        <v>86103.75</v>
      </c>
      <c r="D659" s="1">
        <v>43754</v>
      </c>
      <c r="E659" t="str">
        <f>"PROJECT:035837.001/TWDB WILBAR"</f>
        <v>PROJECT:035837.001/TWDB WILBAR</v>
      </c>
      <c r="F659" s="2">
        <v>86103.75</v>
      </c>
      <c r="G659" t="str">
        <f>"PROJECT:035837.001/TWDB WILBAR"</f>
        <v>PROJECT:035837.001/TWDB WILBAR</v>
      </c>
    </row>
    <row r="660" spans="1:8" x14ac:dyDescent="0.25">
      <c r="A660" t="s">
        <v>196</v>
      </c>
      <c r="B660">
        <v>1676</v>
      </c>
      <c r="C660" s="2">
        <v>63449.5</v>
      </c>
      <c r="D660" s="1">
        <v>43767</v>
      </c>
      <c r="E660" t="str">
        <f>"PROJ#032285.008/PCT#1"</f>
        <v>PROJ#032285.008/PCT#1</v>
      </c>
      <c r="F660" s="2">
        <v>7076</v>
      </c>
      <c r="G660" t="str">
        <f>"PROJ#032285.008/PCT#1"</f>
        <v>PROJ#032285.008/PCT#1</v>
      </c>
    </row>
    <row r="661" spans="1:8" x14ac:dyDescent="0.25">
      <c r="E661" t="str">
        <f>"PROJ#035837.001"</f>
        <v>PROJ#035837.001</v>
      </c>
      <c r="F661" s="2">
        <v>56373.5</v>
      </c>
      <c r="G661" t="str">
        <f>"PROJ#035837.001"</f>
        <v>PROJ#035837.001</v>
      </c>
    </row>
    <row r="662" spans="1:8" x14ac:dyDescent="0.25">
      <c r="A662" t="s">
        <v>197</v>
      </c>
      <c r="B662">
        <v>1666</v>
      </c>
      <c r="C662" s="2">
        <v>192.4</v>
      </c>
      <c r="D662" s="1">
        <v>43767</v>
      </c>
      <c r="E662" t="str">
        <f>"ORD#543013/PCT#1"</f>
        <v>ORD#543013/PCT#1</v>
      </c>
      <c r="F662" s="2">
        <v>192.4</v>
      </c>
      <c r="G662" t="str">
        <f>"ORD#543013/PCT#1"</f>
        <v>ORD#543013/PCT#1</v>
      </c>
    </row>
    <row r="663" spans="1:8" x14ac:dyDescent="0.25">
      <c r="A663" t="s">
        <v>198</v>
      </c>
      <c r="B663">
        <v>84543</v>
      </c>
      <c r="C663" s="2">
        <v>664.6</v>
      </c>
      <c r="D663" s="1">
        <v>43766</v>
      </c>
      <c r="E663" t="str">
        <f>"ORDER 272031"</f>
        <v>ORDER 272031</v>
      </c>
      <c r="F663" s="2">
        <v>664.6</v>
      </c>
      <c r="G663" t="str">
        <f>"ORDER 272031"</f>
        <v>ORDER 272031</v>
      </c>
    </row>
    <row r="664" spans="1:8" x14ac:dyDescent="0.25">
      <c r="A664" t="s">
        <v>199</v>
      </c>
      <c r="B664">
        <v>84544</v>
      </c>
      <c r="C664" s="2">
        <v>60</v>
      </c>
      <c r="D664" s="1">
        <v>43766</v>
      </c>
      <c r="E664" t="str">
        <f>"SERVICE"</f>
        <v>SERVICE</v>
      </c>
      <c r="F664" s="2">
        <v>60</v>
      </c>
      <c r="G664" t="str">
        <f>"SERVICE"</f>
        <v>SERVICE</v>
      </c>
    </row>
    <row r="665" spans="1:8" x14ac:dyDescent="0.25">
      <c r="A665" t="s">
        <v>200</v>
      </c>
      <c r="B665">
        <v>84249</v>
      </c>
      <c r="C665" s="2">
        <v>1098.25</v>
      </c>
      <c r="D665" s="1">
        <v>43753</v>
      </c>
      <c r="E665" t="str">
        <f>"COURT REPORTING SVCS"</f>
        <v>COURT REPORTING SVCS</v>
      </c>
      <c r="F665" s="2">
        <v>1098.25</v>
      </c>
      <c r="G665" t="str">
        <f>"COURT REPORTING SVCS"</f>
        <v>COURT REPORTING SVCS</v>
      </c>
    </row>
    <row r="666" spans="1:8" x14ac:dyDescent="0.25">
      <c r="A666" t="s">
        <v>201</v>
      </c>
      <c r="B666">
        <v>84545</v>
      </c>
      <c r="C666" s="2">
        <v>344.09</v>
      </c>
      <c r="D666" s="1">
        <v>43766</v>
      </c>
      <c r="E666" t="str">
        <f>"Comm Headsets"</f>
        <v>Comm Headsets</v>
      </c>
      <c r="F666" s="2">
        <v>344.09</v>
      </c>
      <c r="G666" t="str">
        <f>"1HW710"</f>
        <v>1HW710</v>
      </c>
    </row>
    <row r="667" spans="1:8" x14ac:dyDescent="0.25">
      <c r="E667" t="str">
        <f>""</f>
        <v/>
      </c>
      <c r="G667" t="str">
        <f>"727708-01"</f>
        <v>727708-01</v>
      </c>
    </row>
    <row r="668" spans="1:8" x14ac:dyDescent="0.25">
      <c r="E668" t="str">
        <f>""</f>
        <v/>
      </c>
      <c r="G668" t="str">
        <f>"780355-01"</f>
        <v>780355-01</v>
      </c>
    </row>
    <row r="669" spans="1:8" x14ac:dyDescent="0.25">
      <c r="E669" t="str">
        <f>""</f>
        <v/>
      </c>
      <c r="G669" t="str">
        <f>"727019-03"</f>
        <v>727019-03</v>
      </c>
    </row>
    <row r="670" spans="1:8" x14ac:dyDescent="0.25">
      <c r="E670" t="str">
        <f>""</f>
        <v/>
      </c>
      <c r="G670" t="str">
        <f>"Freight"</f>
        <v>Freight</v>
      </c>
    </row>
    <row r="671" spans="1:8" x14ac:dyDescent="0.25">
      <c r="A671" t="s">
        <v>202</v>
      </c>
      <c r="B671">
        <v>1532</v>
      </c>
      <c r="C671" s="2">
        <v>295.33</v>
      </c>
      <c r="D671" s="1">
        <v>43754</v>
      </c>
      <c r="E671" t="str">
        <f>"ACCT#002628/PARTS/PCT#2"</f>
        <v>ACCT#002628/PARTS/PCT#2</v>
      </c>
      <c r="F671" s="2">
        <v>295.33</v>
      </c>
      <c r="G671" t="str">
        <f>"ACCT#002628/PARTS/PCT#2"</f>
        <v>ACCT#002628/PARTS/PCT#2</v>
      </c>
    </row>
    <row r="672" spans="1:8" x14ac:dyDescent="0.25">
      <c r="A672" t="s">
        <v>203</v>
      </c>
      <c r="B672">
        <v>84250</v>
      </c>
      <c r="C672" s="2">
        <v>300</v>
      </c>
      <c r="D672" s="1">
        <v>43753</v>
      </c>
      <c r="E672" t="s">
        <v>204</v>
      </c>
      <c r="F672" s="2" t="str">
        <f>"RESTITUTION - M. FELTS"</f>
        <v>RESTITUTION - M. FELTS</v>
      </c>
      <c r="G672" t="str">
        <f>"210-0000"</f>
        <v>210-0000</v>
      </c>
      <c r="H672" t="str">
        <f>""</f>
        <v/>
      </c>
    </row>
    <row r="673" spans="1:8" x14ac:dyDescent="0.25">
      <c r="E673" t="s">
        <v>205</v>
      </c>
      <c r="F673" s="2" t="str">
        <f>"RESTITUTION - M. FELTS"</f>
        <v>RESTITUTION - M. FELTS</v>
      </c>
      <c r="G673" t="str">
        <f>"210-0000"</f>
        <v>210-0000</v>
      </c>
      <c r="H673" t="str">
        <f>""</f>
        <v/>
      </c>
    </row>
    <row r="674" spans="1:8" x14ac:dyDescent="0.25">
      <c r="E674" t="s">
        <v>206</v>
      </c>
      <c r="F674" s="2" t="str">
        <f>"RESTITUTION-M. FELTS"</f>
        <v>RESTITUTION-M. FELTS</v>
      </c>
      <c r="G674" t="str">
        <f>"210-0000"</f>
        <v>210-0000</v>
      </c>
      <c r="H674" t="str">
        <f>""</f>
        <v/>
      </c>
    </row>
    <row r="675" spans="1:8" x14ac:dyDescent="0.25">
      <c r="A675" t="s">
        <v>207</v>
      </c>
      <c r="B675">
        <v>84251</v>
      </c>
      <c r="C675" s="2">
        <v>192</v>
      </c>
      <c r="D675" s="1">
        <v>43753</v>
      </c>
      <c r="E675" t="str">
        <f>"RESERV#J1672046955/#4406059"</f>
        <v>RESERV#J1672046955/#4406059</v>
      </c>
      <c r="F675" s="2">
        <v>192</v>
      </c>
      <c r="G675" t="str">
        <f>"RESERV#J1672046955/#4406059"</f>
        <v>RESERV#J1672046955/#4406059</v>
      </c>
    </row>
    <row r="676" spans="1:8" x14ac:dyDescent="0.25">
      <c r="A676" t="s">
        <v>208</v>
      </c>
      <c r="B676">
        <v>84252</v>
      </c>
      <c r="C676" s="2">
        <v>247.7</v>
      </c>
      <c r="D676" s="1">
        <v>43753</v>
      </c>
      <c r="E676" t="str">
        <f>"ACCT#0083705/PCT#4"</f>
        <v>ACCT#0083705/PCT#4</v>
      </c>
      <c r="F676" s="2">
        <v>247.7</v>
      </c>
      <c r="G676" t="str">
        <f>"ACCT#0083705/PCT#4"</f>
        <v>ACCT#0083705/PCT#4</v>
      </c>
    </row>
    <row r="677" spans="1:8" x14ac:dyDescent="0.25">
      <c r="A677" t="s">
        <v>209</v>
      </c>
      <c r="B677">
        <v>84253</v>
      </c>
      <c r="C677" s="2">
        <v>1066.05</v>
      </c>
      <c r="D677" s="1">
        <v>43753</v>
      </c>
      <c r="E677" t="str">
        <f>"LODGING"</f>
        <v>LODGING</v>
      </c>
      <c r="F677" s="2">
        <v>1066.05</v>
      </c>
      <c r="G677" t="str">
        <f>"LODGING"</f>
        <v>LODGING</v>
      </c>
    </row>
    <row r="678" spans="1:8" x14ac:dyDescent="0.25">
      <c r="A678" t="s">
        <v>209</v>
      </c>
      <c r="B678">
        <v>84546</v>
      </c>
      <c r="C678" s="2">
        <v>710.7</v>
      </c>
      <c r="D678" s="1">
        <v>43766</v>
      </c>
      <c r="E678" t="str">
        <f>"LODGING"</f>
        <v>LODGING</v>
      </c>
      <c r="F678" s="2">
        <v>710.7</v>
      </c>
      <c r="G678" t="str">
        <f>"ELENA CADENA"</f>
        <v>ELENA CADENA</v>
      </c>
    </row>
    <row r="679" spans="1:8" x14ac:dyDescent="0.25">
      <c r="E679" t="str">
        <f>""</f>
        <v/>
      </c>
      <c r="G679" t="str">
        <f>"CONOR BROWN"</f>
        <v>CONOR BROWN</v>
      </c>
    </row>
    <row r="680" spans="1:8" x14ac:dyDescent="0.25">
      <c r="A680" t="s">
        <v>210</v>
      </c>
      <c r="B680">
        <v>1596</v>
      </c>
      <c r="C680" s="2">
        <v>650</v>
      </c>
      <c r="D680" s="1">
        <v>43754</v>
      </c>
      <c r="E680" t="str">
        <f>"BASCOM L HODGES JR"</f>
        <v>BASCOM L HODGES JR</v>
      </c>
      <c r="F680" s="2">
        <v>650</v>
      </c>
      <c r="G680" t="str">
        <f>""</f>
        <v/>
      </c>
    </row>
    <row r="681" spans="1:8" x14ac:dyDescent="0.25">
      <c r="A681" t="s">
        <v>211</v>
      </c>
      <c r="B681">
        <v>84254</v>
      </c>
      <c r="C681" s="2">
        <v>875</v>
      </c>
      <c r="D681" s="1">
        <v>43753</v>
      </c>
      <c r="E681" t="str">
        <f>"423-225"</f>
        <v>423-225</v>
      </c>
      <c r="F681" s="2">
        <v>100</v>
      </c>
      <c r="G681" t="str">
        <f>"423-225"</f>
        <v>423-225</v>
      </c>
    </row>
    <row r="682" spans="1:8" x14ac:dyDescent="0.25">
      <c r="E682" t="str">
        <f>"18-19299"</f>
        <v>18-19299</v>
      </c>
      <c r="F682" s="2">
        <v>100</v>
      </c>
      <c r="G682" t="str">
        <f>"18-19299"</f>
        <v>18-19299</v>
      </c>
    </row>
    <row r="683" spans="1:8" x14ac:dyDescent="0.25">
      <c r="E683" t="str">
        <f>"19-19786"</f>
        <v>19-19786</v>
      </c>
      <c r="F683" s="2">
        <v>175</v>
      </c>
      <c r="G683" t="str">
        <f>"19-19786"</f>
        <v>19-19786</v>
      </c>
    </row>
    <row r="684" spans="1:8" x14ac:dyDescent="0.25">
      <c r="E684" t="str">
        <f>"09-13303"</f>
        <v>09-13303</v>
      </c>
      <c r="F684" s="2">
        <v>100</v>
      </c>
      <c r="G684" t="str">
        <f>"09-13303"</f>
        <v>09-13303</v>
      </c>
    </row>
    <row r="685" spans="1:8" x14ac:dyDescent="0.25">
      <c r="E685" t="str">
        <f>"13-15779"</f>
        <v>13-15779</v>
      </c>
      <c r="F685" s="2">
        <v>100</v>
      </c>
      <c r="G685" t="str">
        <f>"13-15779"</f>
        <v>13-15779</v>
      </c>
    </row>
    <row r="686" spans="1:8" x14ac:dyDescent="0.25">
      <c r="E686" t="str">
        <f>"18-19260"</f>
        <v>18-19260</v>
      </c>
      <c r="F686" s="2">
        <v>100</v>
      </c>
      <c r="G686" t="str">
        <f>"18-19260"</f>
        <v>18-19260</v>
      </c>
    </row>
    <row r="687" spans="1:8" x14ac:dyDescent="0.25">
      <c r="E687" t="str">
        <f>"06-11142"</f>
        <v>06-11142</v>
      </c>
      <c r="F687" s="2">
        <v>100</v>
      </c>
      <c r="G687" t="str">
        <f>"06-11142"</f>
        <v>06-11142</v>
      </c>
    </row>
    <row r="688" spans="1:8" x14ac:dyDescent="0.25">
      <c r="E688" t="str">
        <f>"03-8150"</f>
        <v>03-8150</v>
      </c>
      <c r="F688" s="2">
        <v>100</v>
      </c>
      <c r="G688" t="str">
        <f>"03-8150"</f>
        <v>03-8150</v>
      </c>
    </row>
    <row r="689" spans="1:7" x14ac:dyDescent="0.25">
      <c r="A689" t="s">
        <v>211</v>
      </c>
      <c r="B689">
        <v>84547</v>
      </c>
      <c r="C689" s="2">
        <v>1650</v>
      </c>
      <c r="D689" s="1">
        <v>43766</v>
      </c>
      <c r="E689" t="str">
        <f>"19-19541"</f>
        <v>19-19541</v>
      </c>
      <c r="F689" s="2">
        <v>175</v>
      </c>
      <c r="G689" t="str">
        <f>"19-19541"</f>
        <v>19-19541</v>
      </c>
    </row>
    <row r="690" spans="1:7" x14ac:dyDescent="0.25">
      <c r="E690" t="str">
        <f>"19-19914"</f>
        <v>19-19914</v>
      </c>
      <c r="F690" s="2">
        <v>175</v>
      </c>
      <c r="G690" t="str">
        <f>"19-19914"</f>
        <v>19-19914</v>
      </c>
    </row>
    <row r="691" spans="1:7" x14ac:dyDescent="0.25">
      <c r="E691" t="str">
        <f>"18-19336"</f>
        <v>18-19336</v>
      </c>
      <c r="F691" s="2">
        <v>175</v>
      </c>
      <c r="G691" t="str">
        <f>"18-19336"</f>
        <v>18-19336</v>
      </c>
    </row>
    <row r="692" spans="1:7" x14ac:dyDescent="0.25">
      <c r="E692" t="str">
        <f>"J-3181"</f>
        <v>J-3181</v>
      </c>
      <c r="F692" s="2">
        <v>250</v>
      </c>
      <c r="G692" t="str">
        <f>"J-3181"</f>
        <v>J-3181</v>
      </c>
    </row>
    <row r="693" spans="1:7" x14ac:dyDescent="0.25">
      <c r="E693" t="str">
        <f>"J-3202"</f>
        <v>J-3202</v>
      </c>
      <c r="F693" s="2">
        <v>250</v>
      </c>
      <c r="G693" t="str">
        <f>"J-3202"</f>
        <v>J-3202</v>
      </c>
    </row>
    <row r="694" spans="1:7" x14ac:dyDescent="0.25">
      <c r="E694" t="str">
        <f>"56 971  56 972  57 068"</f>
        <v>56 971  56 972  57 068</v>
      </c>
      <c r="F694" s="2">
        <v>625</v>
      </c>
      <c r="G694" t="str">
        <f>"56 971  56 972  57 068"</f>
        <v>56 971  56 972  57 068</v>
      </c>
    </row>
    <row r="695" spans="1:7" x14ac:dyDescent="0.25">
      <c r="A695" t="s">
        <v>212</v>
      </c>
      <c r="B695">
        <v>84548</v>
      </c>
      <c r="C695" s="2">
        <v>1439.82</v>
      </c>
      <c r="D695" s="1">
        <v>43766</v>
      </c>
      <c r="E695" t="str">
        <f>"CUST#0129150/CORE RETURN/P3"</f>
        <v>CUST#0129150/CORE RETURN/P3</v>
      </c>
      <c r="F695" s="2">
        <v>-389.16</v>
      </c>
      <c r="G695" t="str">
        <f>"CUST#0129150/CORE RETURN/P3"</f>
        <v>CUST#0129150/CORE RETURN/P3</v>
      </c>
    </row>
    <row r="696" spans="1:7" x14ac:dyDescent="0.25">
      <c r="E696" t="str">
        <f>"CUST#0129150/PCT#3"</f>
        <v>CUST#0129150/PCT#3</v>
      </c>
      <c r="F696" s="2">
        <v>1654.44</v>
      </c>
      <c r="G696" t="str">
        <f>"CUST#0129150/PCT#3"</f>
        <v>CUST#0129150/PCT#3</v>
      </c>
    </row>
    <row r="697" spans="1:7" x14ac:dyDescent="0.25">
      <c r="E697" t="str">
        <f>"CUST#0129150/PCT#3"</f>
        <v>CUST#0129150/PCT#3</v>
      </c>
      <c r="F697" s="2">
        <v>108.68</v>
      </c>
      <c r="G697" t="str">
        <f>"CUST#0129150/PCT#3"</f>
        <v>CUST#0129150/PCT#3</v>
      </c>
    </row>
    <row r="698" spans="1:7" x14ac:dyDescent="0.25">
      <c r="E698" t="str">
        <f>"CUST#0129150/PCT#3"</f>
        <v>CUST#0129150/PCT#3</v>
      </c>
      <c r="F698" s="2">
        <v>65.86</v>
      </c>
      <c r="G698" t="str">
        <f>"CUST#0129150/PCT#3"</f>
        <v>CUST#0129150/PCT#3</v>
      </c>
    </row>
    <row r="699" spans="1:7" x14ac:dyDescent="0.25">
      <c r="A699" t="s">
        <v>213</v>
      </c>
      <c r="B699">
        <v>84255</v>
      </c>
      <c r="C699" s="2">
        <v>4052.85</v>
      </c>
      <c r="D699" s="1">
        <v>43753</v>
      </c>
      <c r="E699" t="str">
        <f>"acct# 0130"</f>
        <v>acct# 0130</v>
      </c>
      <c r="F699" s="2">
        <v>1731.83</v>
      </c>
      <c r="G699" t="str">
        <f>"inv# 5540697"</f>
        <v>inv# 5540697</v>
      </c>
    </row>
    <row r="700" spans="1:7" x14ac:dyDescent="0.25">
      <c r="E700" t="str">
        <f>""</f>
        <v/>
      </c>
      <c r="G700" t="str">
        <f>"inv# 20035"</f>
        <v>inv# 20035</v>
      </c>
    </row>
    <row r="701" spans="1:7" x14ac:dyDescent="0.25">
      <c r="E701" t="str">
        <f>""</f>
        <v/>
      </c>
      <c r="G701" t="str">
        <f>"inv# 3021041"</f>
        <v>inv# 3021041</v>
      </c>
    </row>
    <row r="702" spans="1:7" x14ac:dyDescent="0.25">
      <c r="E702" t="str">
        <f>""</f>
        <v/>
      </c>
      <c r="G702" t="str">
        <f>"inv# 6972629"</f>
        <v>inv# 6972629</v>
      </c>
    </row>
    <row r="703" spans="1:7" x14ac:dyDescent="0.25">
      <c r="E703" t="str">
        <f>""</f>
        <v/>
      </c>
      <c r="G703" t="str">
        <f>"inv# 4153256"</f>
        <v>inv# 4153256</v>
      </c>
    </row>
    <row r="704" spans="1:7" x14ac:dyDescent="0.25">
      <c r="E704" t="str">
        <f>""</f>
        <v/>
      </c>
      <c r="G704" t="str">
        <f>"inv# 7153347"</f>
        <v>inv# 7153347</v>
      </c>
    </row>
    <row r="705" spans="5:7" x14ac:dyDescent="0.25">
      <c r="E705" t="str">
        <f>""</f>
        <v/>
      </c>
      <c r="G705" t="str">
        <f>"inv# 8540448"</f>
        <v>inv# 8540448</v>
      </c>
    </row>
    <row r="706" spans="5:7" x14ac:dyDescent="0.25">
      <c r="E706" t="str">
        <f>""</f>
        <v/>
      </c>
      <c r="G706" t="str">
        <f>"inv# 4023320"</f>
        <v>inv# 4023320</v>
      </c>
    </row>
    <row r="707" spans="5:7" x14ac:dyDescent="0.25">
      <c r="E707" t="str">
        <f>""</f>
        <v/>
      </c>
      <c r="G707" t="str">
        <f>"inv# 5972661"</f>
        <v>inv# 5972661</v>
      </c>
    </row>
    <row r="708" spans="5:7" x14ac:dyDescent="0.25">
      <c r="E708" t="str">
        <f>""</f>
        <v/>
      </c>
      <c r="G708" t="str">
        <f>"inv# 4153363"</f>
        <v>inv# 4153363</v>
      </c>
    </row>
    <row r="709" spans="5:7" x14ac:dyDescent="0.25">
      <c r="E709" t="str">
        <f>""</f>
        <v/>
      </c>
      <c r="G709" t="str">
        <f>"inv# 3152942"</f>
        <v>inv# 3152942</v>
      </c>
    </row>
    <row r="710" spans="5:7" x14ac:dyDescent="0.25">
      <c r="E710" t="str">
        <f>""</f>
        <v/>
      </c>
      <c r="G710" t="str">
        <f>"inv# 4011730"</f>
        <v>inv# 4011730</v>
      </c>
    </row>
    <row r="711" spans="5:7" x14ac:dyDescent="0.25">
      <c r="E711" t="str">
        <f>""</f>
        <v/>
      </c>
      <c r="G711" t="str">
        <f>"inv# 3583123"</f>
        <v>inv# 3583123</v>
      </c>
    </row>
    <row r="712" spans="5:7" x14ac:dyDescent="0.25">
      <c r="E712" t="str">
        <f>""</f>
        <v/>
      </c>
      <c r="G712" t="str">
        <f>"inv# 3583123(Tax)"</f>
        <v>inv# 3583123(Tax)</v>
      </c>
    </row>
    <row r="713" spans="5:7" x14ac:dyDescent="0.25">
      <c r="E713" t="str">
        <f>""</f>
        <v/>
      </c>
      <c r="G713" t="str">
        <f>"inv# 2572370"</f>
        <v>inv# 2572370</v>
      </c>
    </row>
    <row r="714" spans="5:7" x14ac:dyDescent="0.25">
      <c r="E714" t="str">
        <f>""</f>
        <v/>
      </c>
      <c r="G714" t="str">
        <f>"inv# 2572370(tax)"</f>
        <v>inv# 2572370(tax)</v>
      </c>
    </row>
    <row r="715" spans="5:7" x14ac:dyDescent="0.25">
      <c r="E715" t="str">
        <f>""</f>
        <v/>
      </c>
      <c r="G715" t="str">
        <f>"inv# 2583164"</f>
        <v>inv# 2583164</v>
      </c>
    </row>
    <row r="716" spans="5:7" x14ac:dyDescent="0.25">
      <c r="E716" t="str">
        <f>""</f>
        <v/>
      </c>
      <c r="G716" t="str">
        <f>"inv# 2583164(tax)"</f>
        <v>inv# 2583164(tax)</v>
      </c>
    </row>
    <row r="717" spans="5:7" x14ac:dyDescent="0.25">
      <c r="E717" t="str">
        <f>""</f>
        <v/>
      </c>
      <c r="G717" t="str">
        <f>"inv# 2104326"</f>
        <v>inv# 2104326</v>
      </c>
    </row>
    <row r="718" spans="5:7" x14ac:dyDescent="0.25">
      <c r="E718" t="str">
        <f>""</f>
        <v/>
      </c>
      <c r="G718" t="str">
        <f>"inv# 3104312"</f>
        <v>inv# 3104312</v>
      </c>
    </row>
    <row r="719" spans="5:7" x14ac:dyDescent="0.25">
      <c r="E719" t="str">
        <f>""</f>
        <v/>
      </c>
      <c r="G719" t="str">
        <f>"inv# 2025021"</f>
        <v>inv# 2025021</v>
      </c>
    </row>
    <row r="720" spans="5:7" x14ac:dyDescent="0.25">
      <c r="E720" t="str">
        <f>""</f>
        <v/>
      </c>
      <c r="G720" t="str">
        <f>"inv# 20014"</f>
        <v>inv# 20014</v>
      </c>
    </row>
    <row r="721" spans="5:7" x14ac:dyDescent="0.25">
      <c r="E721" t="str">
        <f>""</f>
        <v/>
      </c>
      <c r="G721" t="str">
        <f>"inv# 4122688"</f>
        <v>inv# 4122688</v>
      </c>
    </row>
    <row r="722" spans="5:7" x14ac:dyDescent="0.25">
      <c r="E722" t="str">
        <f>""</f>
        <v/>
      </c>
      <c r="G722" t="str">
        <f>"inv# 6540613"</f>
        <v>inv# 6540613</v>
      </c>
    </row>
    <row r="723" spans="5:7" x14ac:dyDescent="0.25">
      <c r="E723" t="str">
        <f>""</f>
        <v/>
      </c>
      <c r="G723" t="str">
        <f>"inv# 511013"</f>
        <v>inv# 511013</v>
      </c>
    </row>
    <row r="724" spans="5:7" x14ac:dyDescent="0.25">
      <c r="E724" t="str">
        <f>""</f>
        <v/>
      </c>
      <c r="G724" t="str">
        <f>"inv# 541011"</f>
        <v>inv# 541011</v>
      </c>
    </row>
    <row r="725" spans="5:7" x14ac:dyDescent="0.25">
      <c r="E725" t="str">
        <f>""</f>
        <v/>
      </c>
      <c r="G725" t="str">
        <f>"inv# 9511082"</f>
        <v>inv# 9511082</v>
      </c>
    </row>
    <row r="726" spans="5:7" x14ac:dyDescent="0.25">
      <c r="E726" t="str">
        <f>"acct# 0130"</f>
        <v>acct# 0130</v>
      </c>
      <c r="F726" s="2">
        <v>2321.02</v>
      </c>
      <c r="G726" t="str">
        <f>"Inv# 3023482"</f>
        <v>Inv# 3023482</v>
      </c>
    </row>
    <row r="727" spans="5:7" x14ac:dyDescent="0.25">
      <c r="E727" t="str">
        <f>""</f>
        <v/>
      </c>
      <c r="G727" t="str">
        <f>"Inv# 1511636"</f>
        <v>Inv# 1511636</v>
      </c>
    </row>
    <row r="728" spans="5:7" x14ac:dyDescent="0.25">
      <c r="E728" t="str">
        <f>""</f>
        <v/>
      </c>
      <c r="G728" t="str">
        <f>"Inv# 5153479"</f>
        <v>Inv# 5153479</v>
      </c>
    </row>
    <row r="729" spans="5:7" x14ac:dyDescent="0.25">
      <c r="E729" t="str">
        <f>""</f>
        <v/>
      </c>
      <c r="G729" t="str">
        <f>"Inv# 4012260"</f>
        <v>Inv# 4012260</v>
      </c>
    </row>
    <row r="730" spans="5:7" x14ac:dyDescent="0.25">
      <c r="E730" t="str">
        <f>""</f>
        <v/>
      </c>
      <c r="G730" t="str">
        <f>"Inv# 6024337"</f>
        <v>Inv# 6024337</v>
      </c>
    </row>
    <row r="731" spans="5:7" x14ac:dyDescent="0.25">
      <c r="E731" t="str">
        <f>""</f>
        <v/>
      </c>
      <c r="G731" t="str">
        <f>"Inv# 5013481"</f>
        <v>Inv# 5013481</v>
      </c>
    </row>
    <row r="732" spans="5:7" x14ac:dyDescent="0.25">
      <c r="E732" t="str">
        <f>""</f>
        <v/>
      </c>
      <c r="G732" t="str">
        <f>"Inv# 4513139"</f>
        <v>Inv# 4513139</v>
      </c>
    </row>
    <row r="733" spans="5:7" x14ac:dyDescent="0.25">
      <c r="E733" t="str">
        <f>""</f>
        <v/>
      </c>
      <c r="G733" t="str">
        <f>"Inv# 7201511"</f>
        <v>Inv# 7201511</v>
      </c>
    </row>
    <row r="734" spans="5:7" x14ac:dyDescent="0.25">
      <c r="E734" t="str">
        <f>""</f>
        <v/>
      </c>
      <c r="G734" t="str">
        <f>"Inv# 7301564"</f>
        <v>Inv# 7301564</v>
      </c>
    </row>
    <row r="735" spans="5:7" x14ac:dyDescent="0.25">
      <c r="E735" t="str">
        <f>""</f>
        <v/>
      </c>
      <c r="G735" t="str">
        <f>"Inv# 2882177"</f>
        <v>Inv# 2882177</v>
      </c>
    </row>
    <row r="736" spans="5:7" x14ac:dyDescent="0.25">
      <c r="E736" t="str">
        <f>""</f>
        <v/>
      </c>
      <c r="G736" t="str">
        <f>"Inv# 3153551"</f>
        <v>Inv# 3153551</v>
      </c>
    </row>
    <row r="737" spans="1:7" x14ac:dyDescent="0.25">
      <c r="E737" t="str">
        <f>""</f>
        <v/>
      </c>
      <c r="G737" t="str">
        <f>"Inv# 3153551(Tax)"</f>
        <v>Inv# 3153551(Tax)</v>
      </c>
    </row>
    <row r="738" spans="1:7" x14ac:dyDescent="0.25">
      <c r="E738" t="str">
        <f>""</f>
        <v/>
      </c>
      <c r="G738" t="str">
        <f>"Inv# 3090033"</f>
        <v>Inv# 3090033</v>
      </c>
    </row>
    <row r="739" spans="1:7" x14ac:dyDescent="0.25">
      <c r="E739" t="str">
        <f>""</f>
        <v/>
      </c>
      <c r="G739" t="str">
        <f>"Inv# 3100574"</f>
        <v>Inv# 3100574</v>
      </c>
    </row>
    <row r="740" spans="1:7" x14ac:dyDescent="0.25">
      <c r="E740" t="str">
        <f>""</f>
        <v/>
      </c>
      <c r="G740" t="str">
        <f>"Inv# 1511605"</f>
        <v>Inv# 1511605</v>
      </c>
    </row>
    <row r="741" spans="1:7" x14ac:dyDescent="0.25">
      <c r="E741" t="str">
        <f>""</f>
        <v/>
      </c>
      <c r="G741" t="str">
        <f>"Inv# 7024083"</f>
        <v>Inv# 7024083</v>
      </c>
    </row>
    <row r="742" spans="1:7" x14ac:dyDescent="0.25">
      <c r="E742" t="str">
        <f>""</f>
        <v/>
      </c>
      <c r="G742" t="str">
        <f>"Inv# 9542734"</f>
        <v>Inv# 9542734</v>
      </c>
    </row>
    <row r="743" spans="1:7" x14ac:dyDescent="0.25">
      <c r="E743" t="str">
        <f>""</f>
        <v/>
      </c>
      <c r="G743" t="str">
        <f>"Inv# 8025263"</f>
        <v>Inv# 8025263</v>
      </c>
    </row>
    <row r="744" spans="1:7" x14ac:dyDescent="0.25">
      <c r="E744" t="str">
        <f>""</f>
        <v/>
      </c>
      <c r="G744" t="str">
        <f>"Inv# 8512300"</f>
        <v>Inv# 8512300</v>
      </c>
    </row>
    <row r="745" spans="1:7" x14ac:dyDescent="0.25">
      <c r="E745" t="str">
        <f>""</f>
        <v/>
      </c>
      <c r="G745" t="str">
        <f>"Inv# 7532106"</f>
        <v>Inv# 7532106</v>
      </c>
    </row>
    <row r="746" spans="1:7" x14ac:dyDescent="0.25">
      <c r="E746" t="str">
        <f>""</f>
        <v/>
      </c>
      <c r="G746" t="str">
        <f>"Inv# 1543352"</f>
        <v>Inv# 1543352</v>
      </c>
    </row>
    <row r="747" spans="1:7" x14ac:dyDescent="0.25">
      <c r="E747" t="str">
        <f>""</f>
        <v/>
      </c>
      <c r="G747" t="str">
        <f>"Inv# 6021008"</f>
        <v>Inv# 6021008</v>
      </c>
    </row>
    <row r="748" spans="1:7" x14ac:dyDescent="0.25">
      <c r="E748" t="str">
        <f>""</f>
        <v/>
      </c>
      <c r="G748" t="str">
        <f>"Inv# 5124951"</f>
        <v>Inv# 5124951</v>
      </c>
    </row>
    <row r="749" spans="1:7" x14ac:dyDescent="0.25">
      <c r="A749" t="s">
        <v>214</v>
      </c>
      <c r="B749">
        <v>84256</v>
      </c>
      <c r="C749" s="2">
        <v>433.92</v>
      </c>
      <c r="D749" s="1">
        <v>43753</v>
      </c>
      <c r="E749" t="str">
        <f>"LODGING"</f>
        <v>LODGING</v>
      </c>
      <c r="F749" s="2">
        <v>433.92</v>
      </c>
      <c r="G749" t="str">
        <f>"LODGING"</f>
        <v>LODGING</v>
      </c>
    </row>
    <row r="750" spans="1:7" x14ac:dyDescent="0.25">
      <c r="A750" t="s">
        <v>215</v>
      </c>
      <c r="B750">
        <v>84549</v>
      </c>
      <c r="C750" s="2">
        <v>430</v>
      </c>
      <c r="D750" s="1">
        <v>43766</v>
      </c>
      <c r="E750" t="str">
        <f>"CUST#212645/RENTAL//601 COOL W"</f>
        <v>CUST#212645/RENTAL//601 COOL W</v>
      </c>
      <c r="F750" s="2">
        <v>215</v>
      </c>
      <c r="G750" t="str">
        <f>"CUST#212645/RENTAL//601 COOL W"</f>
        <v>CUST#212645/RENTAL//601 COOL W</v>
      </c>
    </row>
    <row r="751" spans="1:7" x14ac:dyDescent="0.25">
      <c r="E751" t="str">
        <f>"CUST#212645/PCT#1"</f>
        <v>CUST#212645/PCT#1</v>
      </c>
      <c r="F751" s="2">
        <v>215</v>
      </c>
      <c r="G751" t="str">
        <f>"CUST#212645/PCT#1"</f>
        <v>CUST#212645/PCT#1</v>
      </c>
    </row>
    <row r="752" spans="1:7" x14ac:dyDescent="0.25">
      <c r="A752" t="s">
        <v>216</v>
      </c>
      <c r="B752">
        <v>84257</v>
      </c>
      <c r="C752" s="2">
        <v>1360</v>
      </c>
      <c r="D752" s="1">
        <v>43753</v>
      </c>
      <c r="E752" t="str">
        <f>"NOBIVAC/ANIMAL SERVICES"</f>
        <v>NOBIVAC/ANIMAL SERVICES</v>
      </c>
      <c r="F752" s="2">
        <v>1360</v>
      </c>
      <c r="G752" t="str">
        <f>"NOBIVAC/ANIMAL SERVICES"</f>
        <v>NOBIVAC/ANIMAL SERVICES</v>
      </c>
    </row>
    <row r="753" spans="1:8" x14ac:dyDescent="0.25">
      <c r="A753" t="s">
        <v>216</v>
      </c>
      <c r="B753">
        <v>84550</v>
      </c>
      <c r="C753" s="2">
        <v>2100</v>
      </c>
      <c r="D753" s="1">
        <v>43766</v>
      </c>
      <c r="E753" t="str">
        <f>"MICROCHIPS/ANIMAL SVCS"</f>
        <v>MICROCHIPS/ANIMAL SVCS</v>
      </c>
      <c r="F753" s="2">
        <v>2100</v>
      </c>
      <c r="G753" t="str">
        <f>"MICROCHIPS/ANIMAL SVCS"</f>
        <v>MICROCHIPS/ANIMAL SVCS</v>
      </c>
    </row>
    <row r="754" spans="1:8" x14ac:dyDescent="0.25">
      <c r="A754" t="s">
        <v>217</v>
      </c>
      <c r="B754">
        <v>84258</v>
      </c>
      <c r="C754" s="2">
        <v>592.5</v>
      </c>
      <c r="D754" s="1">
        <v>43753</v>
      </c>
      <c r="E754" t="str">
        <f>"SHELTERLUV SOFTWARE"</f>
        <v>SHELTERLUV SOFTWARE</v>
      </c>
      <c r="F754" s="2">
        <v>592.5</v>
      </c>
      <c r="G754" t="str">
        <f>"SHELTERLUV SOFTWARE"</f>
        <v>SHELTERLUV SOFTWARE</v>
      </c>
    </row>
    <row r="755" spans="1:8" x14ac:dyDescent="0.25">
      <c r="A755" t="s">
        <v>218</v>
      </c>
      <c r="B755">
        <v>1640</v>
      </c>
      <c r="C755" s="2">
        <v>382.1</v>
      </c>
      <c r="D755" s="1">
        <v>43767</v>
      </c>
      <c r="E755" t="str">
        <f>"WIRE BRAID HOSE/PCT#3"</f>
        <v>WIRE BRAID HOSE/PCT#3</v>
      </c>
      <c r="F755" s="2">
        <v>98.33</v>
      </c>
      <c r="G755" t="str">
        <f>"WIRE BRAID HOSE/PCT#3"</f>
        <v>WIRE BRAID HOSE/PCT#3</v>
      </c>
    </row>
    <row r="756" spans="1:8" x14ac:dyDescent="0.25">
      <c r="E756" t="str">
        <f>"WIRE BRAID HOSE/PCT#3"</f>
        <v>WIRE BRAID HOSE/PCT#3</v>
      </c>
      <c r="F756" s="2">
        <v>172.74</v>
      </c>
      <c r="G756" t="str">
        <f>"WIRE BRAID HOSE/PCT#3"</f>
        <v>WIRE BRAID HOSE/PCT#3</v>
      </c>
    </row>
    <row r="757" spans="1:8" x14ac:dyDescent="0.25">
      <c r="E757" t="str">
        <f>"WIRE BRAID HOSE/PCT#3"</f>
        <v>WIRE BRAID HOSE/PCT#3</v>
      </c>
      <c r="F757" s="2">
        <v>111.03</v>
      </c>
      <c r="G757" t="str">
        <f>"WIRE BRAID HOSE/PCT#3"</f>
        <v>WIRE BRAID HOSE/PCT#3</v>
      </c>
    </row>
    <row r="758" spans="1:8" x14ac:dyDescent="0.25">
      <c r="A758" t="s">
        <v>219</v>
      </c>
      <c r="B758">
        <v>1673</v>
      </c>
      <c r="C758" s="2">
        <v>2430</v>
      </c>
      <c r="D758" s="1">
        <v>43767</v>
      </c>
      <c r="E758" t="str">
        <f>"PROF SVCS-NOVEMBER 2019"</f>
        <v>PROF SVCS-NOVEMBER 2019</v>
      </c>
      <c r="F758" s="2">
        <v>2430</v>
      </c>
      <c r="G758" t="str">
        <f>"PROF SVCS-NOVEMBER 2019"</f>
        <v>PROF SVCS-NOVEMBER 2019</v>
      </c>
    </row>
    <row r="759" spans="1:8" x14ac:dyDescent="0.25">
      <c r="E759" t="str">
        <f>""</f>
        <v/>
      </c>
      <c r="G759" t="str">
        <f>"PROF SVCS-NOVEMBER 2019"</f>
        <v>PROF SVCS-NOVEMBER 2019</v>
      </c>
    </row>
    <row r="760" spans="1:8" x14ac:dyDescent="0.25">
      <c r="A760" t="s">
        <v>220</v>
      </c>
      <c r="B760">
        <v>1579</v>
      </c>
      <c r="C760" s="2">
        <v>200</v>
      </c>
      <c r="D760" s="1">
        <v>43754</v>
      </c>
      <c r="E760" t="str">
        <f>"MEETING REGISTRATION FEE"</f>
        <v>MEETING REGISTRATION FEE</v>
      </c>
      <c r="F760" s="2">
        <v>200</v>
      </c>
      <c r="G760" t="str">
        <f>"MEETING REGISTRATION FEE"</f>
        <v>MEETING REGISTRATION FEE</v>
      </c>
    </row>
    <row r="761" spans="1:8" x14ac:dyDescent="0.25">
      <c r="A761" t="s">
        <v>221</v>
      </c>
      <c r="B761">
        <v>84551</v>
      </c>
      <c r="C761" s="2">
        <v>475</v>
      </c>
      <c r="D761" s="1">
        <v>43766</v>
      </c>
      <c r="E761" t="str">
        <f>"TRAINING"</f>
        <v>TRAINING</v>
      </c>
      <c r="F761" s="2">
        <v>475</v>
      </c>
      <c r="G761" t="str">
        <f>"TRAINING"</f>
        <v>TRAINING</v>
      </c>
    </row>
    <row r="762" spans="1:8" x14ac:dyDescent="0.25">
      <c r="A762" t="s">
        <v>222</v>
      </c>
      <c r="B762">
        <v>84259</v>
      </c>
      <c r="C762" s="2">
        <v>100</v>
      </c>
      <c r="D762" s="1">
        <v>43753</v>
      </c>
      <c r="E762" t="str">
        <f>"ORD#1107316393/ANIMAL SVCS"</f>
        <v>ORD#1107316393/ANIMAL SVCS</v>
      </c>
      <c r="F762" s="2">
        <v>100</v>
      </c>
      <c r="G762" t="str">
        <f>"ORD#1107316393/ANIMAL SVCS"</f>
        <v>ORD#1107316393/ANIMAL SVCS</v>
      </c>
    </row>
    <row r="763" spans="1:8" x14ac:dyDescent="0.25">
      <c r="A763" t="s">
        <v>223</v>
      </c>
      <c r="B763">
        <v>84260</v>
      </c>
      <c r="C763" s="2">
        <v>79.03</v>
      </c>
      <c r="D763" s="1">
        <v>43753</v>
      </c>
      <c r="E763" t="str">
        <f>"CUST ID:AX773/COUNTY CLERK"</f>
        <v>CUST ID:AX773/COUNTY CLERK</v>
      </c>
      <c r="F763" s="2">
        <v>79.03</v>
      </c>
      <c r="G763" t="str">
        <f>"CUST ID:AX773/COUNTY CLERK"</f>
        <v>CUST ID:AX773/COUNTY CLERK</v>
      </c>
    </row>
    <row r="764" spans="1:8" x14ac:dyDescent="0.25">
      <c r="A764" t="s">
        <v>224</v>
      </c>
      <c r="B764">
        <v>84261</v>
      </c>
      <c r="C764" s="2">
        <v>50</v>
      </c>
      <c r="D764" s="1">
        <v>43753</v>
      </c>
      <c r="E764" t="str">
        <f>"REFUNDACCESSORY DVLPMNT PERMIT"</f>
        <v>REFUNDACCESSORY DVLPMNT PERMIT</v>
      </c>
      <c r="F764" s="2">
        <v>50</v>
      </c>
      <c r="G764" t="str">
        <f>"REFUNDACCESSORY DVLPMNT PERMIT"</f>
        <v>REFUNDACCESSORY DVLPMNT PERMIT</v>
      </c>
    </row>
    <row r="765" spans="1:8" x14ac:dyDescent="0.25">
      <c r="A765" t="s">
        <v>225</v>
      </c>
      <c r="B765">
        <v>1571</v>
      </c>
      <c r="C765" s="2">
        <v>95.12</v>
      </c>
      <c r="D765" s="1">
        <v>43754</v>
      </c>
      <c r="E765" t="str">
        <f>"MILEAGE REIMBURSEMENT"</f>
        <v>MILEAGE REIMBURSEMENT</v>
      </c>
      <c r="F765" s="2">
        <v>95.12</v>
      </c>
      <c r="G765" t="str">
        <f>"MILEAGE REIMBURSEMENT"</f>
        <v>MILEAGE REIMBURSEMENT</v>
      </c>
    </row>
    <row r="766" spans="1:8" x14ac:dyDescent="0.25">
      <c r="A766" t="s">
        <v>225</v>
      </c>
      <c r="B766">
        <v>1648</v>
      </c>
      <c r="C766" s="2">
        <v>95.12</v>
      </c>
      <c r="D766" s="1">
        <v>43767</v>
      </c>
      <c r="E766" t="str">
        <f>"REIMBURSEMENT - MILEAGE"</f>
        <v>REIMBURSEMENT - MILEAGE</v>
      </c>
      <c r="F766" s="2">
        <v>95.12</v>
      </c>
      <c r="G766" t="str">
        <f>"REIMBURSEMENT - MILEAGE"</f>
        <v>REIMBURSEMENT - MILEAGE</v>
      </c>
    </row>
    <row r="767" spans="1:8" x14ac:dyDescent="0.25">
      <c r="A767" t="s">
        <v>226</v>
      </c>
      <c r="B767">
        <v>84262</v>
      </c>
      <c r="C767" s="2">
        <v>122.5</v>
      </c>
      <c r="D767" s="1">
        <v>43753</v>
      </c>
      <c r="E767" t="s">
        <v>227</v>
      </c>
      <c r="F767" s="2" t="str">
        <f>"RESTITUTION - Z. PALUCH"</f>
        <v>RESTITUTION - Z. PALUCH</v>
      </c>
      <c r="G767" t="str">
        <f>"210-0000"</f>
        <v>210-0000</v>
      </c>
      <c r="H767" t="str">
        <f>""</f>
        <v/>
      </c>
    </row>
    <row r="768" spans="1:8" x14ac:dyDescent="0.25">
      <c r="E768" t="s">
        <v>228</v>
      </c>
      <c r="F768" s="2" t="str">
        <f>"RESTITUTION-Z. PALUCH"</f>
        <v>RESTITUTION-Z. PALUCH</v>
      </c>
      <c r="G768" t="str">
        <f>"210-0000"</f>
        <v>210-0000</v>
      </c>
      <c r="H768" t="str">
        <f>""</f>
        <v/>
      </c>
    </row>
    <row r="769" spans="1:7" x14ac:dyDescent="0.25">
      <c r="A769" t="s">
        <v>229</v>
      </c>
      <c r="B769">
        <v>84263</v>
      </c>
      <c r="C769" s="2">
        <v>500</v>
      </c>
      <c r="D769" s="1">
        <v>43753</v>
      </c>
      <c r="E769" t="str">
        <f>"56 741"</f>
        <v>56 741</v>
      </c>
      <c r="F769" s="2">
        <v>250</v>
      </c>
      <c r="G769" t="str">
        <f>"56 741"</f>
        <v>56 741</v>
      </c>
    </row>
    <row r="770" spans="1:7" x14ac:dyDescent="0.25">
      <c r="E770" t="str">
        <f>"57 028"</f>
        <v>57 028</v>
      </c>
      <c r="F770" s="2">
        <v>250</v>
      </c>
      <c r="G770" t="str">
        <f>"57 028"</f>
        <v>57 028</v>
      </c>
    </row>
    <row r="771" spans="1:7" x14ac:dyDescent="0.25">
      <c r="A771" t="s">
        <v>229</v>
      </c>
      <c r="B771">
        <v>84552</v>
      </c>
      <c r="C771" s="2">
        <v>750</v>
      </c>
      <c r="D771" s="1">
        <v>43766</v>
      </c>
      <c r="E771" t="str">
        <f>"57 085"</f>
        <v>57 085</v>
      </c>
      <c r="F771" s="2">
        <v>250</v>
      </c>
      <c r="G771" t="str">
        <f>"57 085"</f>
        <v>57 085</v>
      </c>
    </row>
    <row r="772" spans="1:7" x14ac:dyDescent="0.25">
      <c r="E772" t="str">
        <f>"JP108282019"</f>
        <v>JP108282019</v>
      </c>
      <c r="F772" s="2">
        <v>250</v>
      </c>
      <c r="G772" t="str">
        <f>"JP108282019"</f>
        <v>JP108282019</v>
      </c>
    </row>
    <row r="773" spans="1:7" x14ac:dyDescent="0.25">
      <c r="E773" t="str">
        <f>"4082197"</f>
        <v>4082197</v>
      </c>
      <c r="F773" s="2">
        <v>250</v>
      </c>
      <c r="G773" t="str">
        <f>"4082197"</f>
        <v>4082197</v>
      </c>
    </row>
    <row r="774" spans="1:7" x14ac:dyDescent="0.25">
      <c r="A774" t="s">
        <v>230</v>
      </c>
      <c r="B774">
        <v>1577</v>
      </c>
      <c r="C774" s="2">
        <v>983.97</v>
      </c>
      <c r="D774" s="1">
        <v>43754</v>
      </c>
      <c r="E774" t="str">
        <f>"REIMBURSE SURGICAL GLOVES"</f>
        <v>REIMBURSE SURGICAL GLOVES</v>
      </c>
      <c r="F774" s="2">
        <v>263.97000000000003</v>
      </c>
      <c r="G774" t="str">
        <f>"REIMBURSE SURGICAL GLOVES"</f>
        <v>REIMBURSE SURGICAL GLOVES</v>
      </c>
    </row>
    <row r="775" spans="1:7" x14ac:dyDescent="0.25">
      <c r="E775" t="str">
        <f>"REIMBURSE EFFITIX"</f>
        <v>REIMBURSE EFFITIX</v>
      </c>
      <c r="F775" s="2">
        <v>720</v>
      </c>
      <c r="G775" t="str">
        <f>"REIMBURSE EFFITIX"</f>
        <v>REIMBURSE EFFITIX</v>
      </c>
    </row>
    <row r="776" spans="1:7" x14ac:dyDescent="0.25">
      <c r="A776" t="s">
        <v>231</v>
      </c>
      <c r="B776">
        <v>84553</v>
      </c>
      <c r="C776" s="2">
        <v>441.76</v>
      </c>
      <c r="D776" s="1">
        <v>43766</v>
      </c>
      <c r="E776" t="str">
        <f>"PER DIEM/MILEAGE"</f>
        <v>PER DIEM/MILEAGE</v>
      </c>
      <c r="F776" s="2">
        <v>441.76</v>
      </c>
      <c r="G776" t="str">
        <f>"PER DIEM/MILEAGE"</f>
        <v>PER DIEM/MILEAGE</v>
      </c>
    </row>
    <row r="777" spans="1:7" x14ac:dyDescent="0.25">
      <c r="A777" t="s">
        <v>232</v>
      </c>
      <c r="B777">
        <v>84264</v>
      </c>
      <c r="C777" s="2">
        <v>21</v>
      </c>
      <c r="D777" s="1">
        <v>43753</v>
      </c>
      <c r="E777" t="str">
        <f>"CUST ID:08176/PCT#4"</f>
        <v>CUST ID:08176/PCT#4</v>
      </c>
      <c r="F777" s="2">
        <v>21</v>
      </c>
      <c r="G777" t="str">
        <f>"CUST ID:08176/PCT#4"</f>
        <v>CUST ID:08176/PCT#4</v>
      </c>
    </row>
    <row r="778" spans="1:7" x14ac:dyDescent="0.25">
      <c r="A778" t="s">
        <v>233</v>
      </c>
      <c r="B778">
        <v>84554</v>
      </c>
      <c r="C778" s="2">
        <v>250</v>
      </c>
      <c r="D778" s="1">
        <v>43766</v>
      </c>
      <c r="E778" t="str">
        <f>"ANIMAL SVCS LOGO-CREATION"</f>
        <v>ANIMAL SVCS LOGO-CREATION</v>
      </c>
      <c r="F778" s="2">
        <v>250</v>
      </c>
      <c r="G778" t="str">
        <f>"ANIMAL SVCS LOGO-CREATION"</f>
        <v>ANIMAL SVCS LOGO-CREATION</v>
      </c>
    </row>
    <row r="779" spans="1:7" x14ac:dyDescent="0.25">
      <c r="A779" t="s">
        <v>234</v>
      </c>
      <c r="B779">
        <v>84397</v>
      </c>
      <c r="C779" s="2">
        <v>1</v>
      </c>
      <c r="D779" s="1">
        <v>43755</v>
      </c>
      <c r="E779" t="str">
        <f>"TEST &amp; VOID INCODE CHECK"</f>
        <v>TEST &amp; VOID INCODE CHECK</v>
      </c>
      <c r="F779" s="2">
        <v>1</v>
      </c>
    </row>
    <row r="780" spans="1:7" x14ac:dyDescent="0.25">
      <c r="A780" t="s">
        <v>234</v>
      </c>
      <c r="B780">
        <v>84397</v>
      </c>
      <c r="C780" s="2">
        <v>1</v>
      </c>
      <c r="D780" s="1">
        <v>43755</v>
      </c>
      <c r="E780" t="str">
        <f>""</f>
        <v/>
      </c>
      <c r="F780" s="2">
        <v>1</v>
      </c>
    </row>
    <row r="781" spans="1:7" x14ac:dyDescent="0.25">
      <c r="A781" t="s">
        <v>235</v>
      </c>
      <c r="B781">
        <v>1616</v>
      </c>
      <c r="C781" s="2">
        <v>1900</v>
      </c>
      <c r="D781" s="1">
        <v>43754</v>
      </c>
      <c r="E781" t="str">
        <f>"JP1070719U  19-S-03596"</f>
        <v>JP1070719U  19-S-03596</v>
      </c>
      <c r="F781" s="2">
        <v>250</v>
      </c>
      <c r="G781" t="str">
        <f>"JP1070719U  19-S-03596"</f>
        <v>JP1070719U  19-S-03596</v>
      </c>
    </row>
    <row r="782" spans="1:7" x14ac:dyDescent="0.25">
      <c r="E782" t="str">
        <f>"16-17913"</f>
        <v>16-17913</v>
      </c>
      <c r="F782" s="2">
        <v>100</v>
      </c>
      <c r="G782" t="str">
        <f>"16-17913"</f>
        <v>16-17913</v>
      </c>
    </row>
    <row r="783" spans="1:7" x14ac:dyDescent="0.25">
      <c r="E783" t="str">
        <f>"J-3168"</f>
        <v>J-3168</v>
      </c>
      <c r="F783" s="2">
        <v>250</v>
      </c>
      <c r="G783" t="str">
        <f>"J-3168"</f>
        <v>J-3168</v>
      </c>
    </row>
    <row r="784" spans="1:7" x14ac:dyDescent="0.25">
      <c r="E784" t="str">
        <f>"J-3192"</f>
        <v>J-3192</v>
      </c>
      <c r="F784" s="2">
        <v>250</v>
      </c>
      <c r="G784" t="str">
        <f>"J-3192"</f>
        <v>J-3192</v>
      </c>
    </row>
    <row r="785" spans="1:7" x14ac:dyDescent="0.25">
      <c r="E785" t="str">
        <f>"57 022"</f>
        <v>57 022</v>
      </c>
      <c r="F785" s="2">
        <v>250</v>
      </c>
      <c r="G785" t="str">
        <f>"57 022"</f>
        <v>57 022</v>
      </c>
    </row>
    <row r="786" spans="1:7" x14ac:dyDescent="0.25">
      <c r="E786" t="str">
        <f>"18-18974"</f>
        <v>18-18974</v>
      </c>
      <c r="F786" s="2">
        <v>100</v>
      </c>
      <c r="G786" t="str">
        <f>"18-18974"</f>
        <v>18-18974</v>
      </c>
    </row>
    <row r="787" spans="1:7" x14ac:dyDescent="0.25">
      <c r="E787" t="str">
        <f>"17-5-06420"</f>
        <v>17-5-06420</v>
      </c>
      <c r="F787" s="2">
        <v>250</v>
      </c>
      <c r="G787" t="str">
        <f>"17-5-06420"</f>
        <v>17-5-06420</v>
      </c>
    </row>
    <row r="788" spans="1:7" x14ac:dyDescent="0.25">
      <c r="E788" t="str">
        <f>"19-19889"</f>
        <v>19-19889</v>
      </c>
      <c r="F788" s="2">
        <v>100</v>
      </c>
      <c r="G788" t="str">
        <f>"19-19889"</f>
        <v>19-19889</v>
      </c>
    </row>
    <row r="789" spans="1:7" x14ac:dyDescent="0.25">
      <c r="E789" t="str">
        <f>"JUVENILE DETENTION HEARING"</f>
        <v>JUVENILE DETENTION HEARING</v>
      </c>
      <c r="F789" s="2">
        <v>100</v>
      </c>
      <c r="G789" t="str">
        <f>"JUVENILE DETENTION HEARING"</f>
        <v>JUVENILE DETENTION HEARING</v>
      </c>
    </row>
    <row r="790" spans="1:7" x14ac:dyDescent="0.25">
      <c r="E790" t="str">
        <f>"17-S-06420"</f>
        <v>17-S-06420</v>
      </c>
      <c r="F790" s="2">
        <v>250</v>
      </c>
      <c r="G790" t="str">
        <f>"17-S-06420"</f>
        <v>17-S-06420</v>
      </c>
    </row>
    <row r="791" spans="1:7" x14ac:dyDescent="0.25">
      <c r="A791" t="s">
        <v>235</v>
      </c>
      <c r="B791">
        <v>1686</v>
      </c>
      <c r="C791" s="2">
        <v>800</v>
      </c>
      <c r="D791" s="1">
        <v>43767</v>
      </c>
      <c r="E791" t="str">
        <f>"56 735"</f>
        <v>56 735</v>
      </c>
      <c r="F791" s="2">
        <v>250</v>
      </c>
      <c r="G791" t="str">
        <f>"56 735"</f>
        <v>56 735</v>
      </c>
    </row>
    <row r="792" spans="1:7" x14ac:dyDescent="0.25">
      <c r="E792" t="str">
        <f>"55 371"</f>
        <v>55 371</v>
      </c>
      <c r="F792" s="2">
        <v>250</v>
      </c>
      <c r="G792" t="str">
        <f>"55 371"</f>
        <v>55 371</v>
      </c>
    </row>
    <row r="793" spans="1:7" x14ac:dyDescent="0.25">
      <c r="E793" t="str">
        <f>"18-19240"</f>
        <v>18-19240</v>
      </c>
      <c r="F793" s="2">
        <v>100</v>
      </c>
      <c r="G793" t="str">
        <f>"18-19240"</f>
        <v>18-19240</v>
      </c>
    </row>
    <row r="794" spans="1:7" x14ac:dyDescent="0.25">
      <c r="E794" t="str">
        <f>"18-19410"</f>
        <v>18-19410</v>
      </c>
      <c r="F794" s="2">
        <v>100</v>
      </c>
      <c r="G794" t="str">
        <f>"18-19410"</f>
        <v>18-19410</v>
      </c>
    </row>
    <row r="795" spans="1:7" x14ac:dyDescent="0.25">
      <c r="E795" t="str">
        <f>"19-19889"</f>
        <v>19-19889</v>
      </c>
      <c r="F795" s="2">
        <v>100</v>
      </c>
      <c r="G795" t="str">
        <f>"19-19889"</f>
        <v>19-19889</v>
      </c>
    </row>
    <row r="796" spans="1:7" x14ac:dyDescent="0.25">
      <c r="A796" t="s">
        <v>236</v>
      </c>
      <c r="B796">
        <v>84265</v>
      </c>
      <c r="C796" s="2">
        <v>8211.99</v>
      </c>
      <c r="D796" s="1">
        <v>43753</v>
      </c>
      <c r="E796" t="str">
        <f>"INV 1167 / UNIT 3858"</f>
        <v>INV 1167 / UNIT 3858</v>
      </c>
      <c r="F796" s="2">
        <v>1685.99</v>
      </c>
      <c r="G796" t="str">
        <f>"INV 1167 / UNIT 3858"</f>
        <v>INV 1167 / UNIT 3858</v>
      </c>
    </row>
    <row r="797" spans="1:7" x14ac:dyDescent="0.25">
      <c r="E797" t="str">
        <f>"INV 1113"</f>
        <v>INV 1113</v>
      </c>
      <c r="F797" s="2">
        <v>6526</v>
      </c>
      <c r="G797" t="str">
        <f>"INV 1113"</f>
        <v>INV 1113</v>
      </c>
    </row>
    <row r="798" spans="1:7" x14ac:dyDescent="0.25">
      <c r="A798" t="s">
        <v>237</v>
      </c>
      <c r="B798">
        <v>1647</v>
      </c>
      <c r="C798" s="2">
        <v>66.900000000000006</v>
      </c>
      <c r="D798" s="1">
        <v>43767</v>
      </c>
      <c r="E798" t="str">
        <f>"MILEAGE/PARKING REIMBURSEMENT"</f>
        <v>MILEAGE/PARKING REIMBURSEMENT</v>
      </c>
      <c r="F798" s="2">
        <v>66.900000000000006</v>
      </c>
      <c r="G798" t="str">
        <f>"MILEAGE/PARKING REIMBURSEMENT"</f>
        <v>MILEAGE/PARKING REIMBURSEMENT</v>
      </c>
    </row>
    <row r="799" spans="1:7" x14ac:dyDescent="0.25">
      <c r="A799" t="s">
        <v>238</v>
      </c>
      <c r="B799">
        <v>84266</v>
      </c>
      <c r="C799" s="2">
        <v>75</v>
      </c>
      <c r="D799" s="1">
        <v>43753</v>
      </c>
      <c r="E799" t="str">
        <f>"REIMBURSEMENT"</f>
        <v>REIMBURSEMENT</v>
      </c>
      <c r="F799" s="2">
        <v>75</v>
      </c>
      <c r="G799" t="str">
        <f>"REIMBURSEMENT"</f>
        <v>REIMBURSEMENT</v>
      </c>
    </row>
    <row r="800" spans="1:7" x14ac:dyDescent="0.25">
      <c r="A800" t="s">
        <v>239</v>
      </c>
      <c r="B800">
        <v>84555</v>
      </c>
      <c r="C800" s="2">
        <v>872.68</v>
      </c>
      <c r="D800" s="1">
        <v>43766</v>
      </c>
      <c r="E800" t="str">
        <f>"DEERE CREDIT SERVICES INC"</f>
        <v>DEERE CREDIT SERVICES INC</v>
      </c>
      <c r="F800" s="2">
        <v>872.68</v>
      </c>
      <c r="G800" t="str">
        <f>"Tractor Maintenance"</f>
        <v>Tractor Maintenance</v>
      </c>
    </row>
    <row r="801" spans="1:8" x14ac:dyDescent="0.25">
      <c r="A801" t="s">
        <v>240</v>
      </c>
      <c r="B801">
        <v>84556</v>
      </c>
      <c r="C801" s="2">
        <v>1763.25</v>
      </c>
      <c r="D801" s="1">
        <v>43766</v>
      </c>
      <c r="E801" t="str">
        <f>"ACCT#8850283308/PCT#2"</f>
        <v>ACCT#8850283308/PCT#2</v>
      </c>
      <c r="F801" s="2">
        <v>1763.2</v>
      </c>
      <c r="G801" t="str">
        <f>"ACCT#8850283308/PCT#2"</f>
        <v>ACCT#8850283308/PCT#2</v>
      </c>
    </row>
    <row r="802" spans="1:8" x14ac:dyDescent="0.25">
      <c r="E802" t="str">
        <f>"ACCT#8850283308/PCT#1"</f>
        <v>ACCT#8850283308/PCT#1</v>
      </c>
      <c r="F802" s="2">
        <v>0.05</v>
      </c>
      <c r="G802" t="str">
        <f>"ACCT#8850283308/PCT#1"</f>
        <v>ACCT#8850283308/PCT#1</v>
      </c>
    </row>
    <row r="803" spans="1:8" x14ac:dyDescent="0.25">
      <c r="A803" t="s">
        <v>241</v>
      </c>
      <c r="B803">
        <v>84267</v>
      </c>
      <c r="C803" s="2">
        <v>105</v>
      </c>
      <c r="D803" s="1">
        <v>43753</v>
      </c>
      <c r="E803" t="str">
        <f>"PER DIEM"</f>
        <v>PER DIEM</v>
      </c>
      <c r="F803" s="2">
        <v>105</v>
      </c>
      <c r="G803" t="str">
        <f>"PER DIEM"</f>
        <v>PER DIEM</v>
      </c>
    </row>
    <row r="804" spans="1:8" x14ac:dyDescent="0.25">
      <c r="A804" t="s">
        <v>241</v>
      </c>
      <c r="B804">
        <v>84557</v>
      </c>
      <c r="C804" s="2">
        <v>20</v>
      </c>
      <c r="D804" s="1">
        <v>43766</v>
      </c>
      <c r="E804" t="str">
        <f>"PER DIEM"</f>
        <v>PER DIEM</v>
      </c>
      <c r="F804" s="2">
        <v>20</v>
      </c>
      <c r="G804" t="str">
        <f>"PER DIEM"</f>
        <v>PER DIEM</v>
      </c>
    </row>
    <row r="805" spans="1:8" x14ac:dyDescent="0.25">
      <c r="A805" t="s">
        <v>242</v>
      </c>
      <c r="B805">
        <v>84268</v>
      </c>
      <c r="C805" s="2">
        <v>125</v>
      </c>
      <c r="D805" s="1">
        <v>43753</v>
      </c>
      <c r="E805" t="s">
        <v>59</v>
      </c>
      <c r="F805" s="2" t="str">
        <f>"SERVICE"</f>
        <v>SERVICE</v>
      </c>
      <c r="G805" t="str">
        <f>"995-4110"</f>
        <v>995-4110</v>
      </c>
      <c r="H805" t="str">
        <f>""</f>
        <v/>
      </c>
    </row>
    <row r="806" spans="1:8" x14ac:dyDescent="0.25">
      <c r="A806" t="s">
        <v>243</v>
      </c>
      <c r="B806">
        <v>84269</v>
      </c>
      <c r="C806" s="2">
        <v>912.5</v>
      </c>
      <c r="D806" s="1">
        <v>43753</v>
      </c>
      <c r="E806" t="str">
        <f>"19-19680"</f>
        <v>19-19680</v>
      </c>
      <c r="F806" s="2">
        <v>225</v>
      </c>
      <c r="G806" t="str">
        <f>"19-19680"</f>
        <v>19-19680</v>
      </c>
    </row>
    <row r="807" spans="1:8" x14ac:dyDescent="0.25">
      <c r="E807" t="str">
        <f>"19-19862"</f>
        <v>19-19862</v>
      </c>
      <c r="F807" s="2">
        <v>100</v>
      </c>
      <c r="G807" t="str">
        <f>"19-19862"</f>
        <v>19-19862</v>
      </c>
    </row>
    <row r="808" spans="1:8" x14ac:dyDescent="0.25">
      <c r="E808" t="str">
        <f>"19-19537"</f>
        <v>19-19537</v>
      </c>
      <c r="F808" s="2">
        <v>287.5</v>
      </c>
      <c r="G808" t="str">
        <f>"19-19537"</f>
        <v>19-19537</v>
      </c>
    </row>
    <row r="809" spans="1:8" x14ac:dyDescent="0.25">
      <c r="E809" t="str">
        <f>"19-19632"</f>
        <v>19-19632</v>
      </c>
      <c r="F809" s="2">
        <v>150</v>
      </c>
      <c r="G809" t="str">
        <f>"19-19632"</f>
        <v>19-19632</v>
      </c>
    </row>
    <row r="810" spans="1:8" x14ac:dyDescent="0.25">
      <c r="E810" t="str">
        <f>"19-19862"</f>
        <v>19-19862</v>
      </c>
      <c r="F810" s="2">
        <v>150</v>
      </c>
      <c r="G810" t="str">
        <f>"19-19862"</f>
        <v>19-19862</v>
      </c>
    </row>
    <row r="811" spans="1:8" x14ac:dyDescent="0.25">
      <c r="A811" t="s">
        <v>243</v>
      </c>
      <c r="B811">
        <v>84558</v>
      </c>
      <c r="C811" s="2">
        <v>1800</v>
      </c>
      <c r="D811" s="1">
        <v>43766</v>
      </c>
      <c r="E811" t="str">
        <f>"50 983  020615-8"</f>
        <v>50 983  020615-8</v>
      </c>
      <c r="F811" s="2">
        <v>375</v>
      </c>
      <c r="G811" t="str">
        <f>"50 983  020615-8"</f>
        <v>50 983  020615-8</v>
      </c>
    </row>
    <row r="812" spans="1:8" x14ac:dyDescent="0.25">
      <c r="E812" t="str">
        <f>"56 775"</f>
        <v>56 775</v>
      </c>
      <c r="F812" s="2">
        <v>250</v>
      </c>
      <c r="G812" t="str">
        <f>"56 775"</f>
        <v>56 775</v>
      </c>
    </row>
    <row r="813" spans="1:8" x14ac:dyDescent="0.25">
      <c r="E813" t="str">
        <f>"19-19862"</f>
        <v>19-19862</v>
      </c>
      <c r="F813" s="2">
        <v>150</v>
      </c>
      <c r="G813" t="str">
        <f>"19-19862"</f>
        <v>19-19862</v>
      </c>
    </row>
    <row r="814" spans="1:8" x14ac:dyDescent="0.25">
      <c r="E814" t="str">
        <f>"19-19680"</f>
        <v>19-19680</v>
      </c>
      <c r="F814" s="2">
        <v>225</v>
      </c>
      <c r="G814" t="str">
        <f>"19-19680"</f>
        <v>19-19680</v>
      </c>
    </row>
    <row r="815" spans="1:8" x14ac:dyDescent="0.25">
      <c r="E815" t="str">
        <f>"19-19632"</f>
        <v>19-19632</v>
      </c>
      <c r="F815" s="2">
        <v>262.5</v>
      </c>
      <c r="G815" t="str">
        <f>"19-19632"</f>
        <v>19-19632</v>
      </c>
    </row>
    <row r="816" spans="1:8" x14ac:dyDescent="0.25">
      <c r="E816" t="str">
        <f>"19-19862"</f>
        <v>19-19862</v>
      </c>
      <c r="F816" s="2">
        <v>287.5</v>
      </c>
      <c r="G816" t="str">
        <f>"19-19862"</f>
        <v>19-19862</v>
      </c>
    </row>
    <row r="817" spans="1:7" x14ac:dyDescent="0.25">
      <c r="E817" t="str">
        <f>"19-19537"</f>
        <v>19-19537</v>
      </c>
      <c r="F817" s="2">
        <v>250</v>
      </c>
      <c r="G817" t="str">
        <f>"19-19537"</f>
        <v>19-19537</v>
      </c>
    </row>
    <row r="818" spans="1:7" x14ac:dyDescent="0.25">
      <c r="A818" t="s">
        <v>244</v>
      </c>
      <c r="B818">
        <v>1597</v>
      </c>
      <c r="C818" s="2">
        <v>369.61</v>
      </c>
      <c r="D818" s="1">
        <v>43754</v>
      </c>
      <c r="E818" t="str">
        <f>"MILEAGE REIMBURSEMENT"</f>
        <v>MILEAGE REIMBURSEMENT</v>
      </c>
      <c r="F818" s="2">
        <v>369.61</v>
      </c>
      <c r="G818" t="str">
        <f>"MILEAGE REIMBURSEMENT"</f>
        <v>MILEAGE REIMBURSEMENT</v>
      </c>
    </row>
    <row r="819" spans="1:7" x14ac:dyDescent="0.25">
      <c r="A819" t="s">
        <v>245</v>
      </c>
      <c r="B819">
        <v>1610</v>
      </c>
      <c r="C819" s="2">
        <v>3450</v>
      </c>
      <c r="D819" s="1">
        <v>43754</v>
      </c>
      <c r="E819" t="str">
        <f>"16906  1JP1-1005"</f>
        <v>16906  1JP1-1005</v>
      </c>
      <c r="F819" s="2">
        <v>600</v>
      </c>
      <c r="G819" t="str">
        <f>"16906  1JP1-1005"</f>
        <v>16906  1JP1-1005</v>
      </c>
    </row>
    <row r="820" spans="1:7" x14ac:dyDescent="0.25">
      <c r="E820" t="str">
        <f>"311172018A"</f>
        <v>311172018A</v>
      </c>
      <c r="F820" s="2">
        <v>400</v>
      </c>
      <c r="G820" t="str">
        <f>"311172018A"</f>
        <v>311172018A</v>
      </c>
    </row>
    <row r="821" spans="1:7" x14ac:dyDescent="0.25">
      <c r="E821" t="str">
        <f>"57131  57130  57129"</f>
        <v>57131  57130  57129</v>
      </c>
      <c r="F821" s="2">
        <v>500</v>
      </c>
      <c r="G821" t="str">
        <f>"57131  57130  57129"</f>
        <v>57131  57130  57129</v>
      </c>
    </row>
    <row r="822" spans="1:7" x14ac:dyDescent="0.25">
      <c r="E822" t="str">
        <f>"56815  56816  1JP11005A"</f>
        <v>56815  56816  1JP11005A</v>
      </c>
      <c r="F822" s="2">
        <v>500</v>
      </c>
      <c r="G822" t="str">
        <f>"56815  56816  1JP11005A"</f>
        <v>56815  56816  1JP11005A</v>
      </c>
    </row>
    <row r="823" spans="1:7" x14ac:dyDescent="0.25">
      <c r="E823" t="str">
        <f>"56866  20190226  20120226B"</f>
        <v>56866  20190226  20120226B</v>
      </c>
      <c r="F823" s="2">
        <v>500</v>
      </c>
      <c r="G823" t="str">
        <f>"56866  20190226  20120226B"</f>
        <v>56866  20190226  20120226B</v>
      </c>
    </row>
    <row r="824" spans="1:7" x14ac:dyDescent="0.25">
      <c r="E824" t="str">
        <f>"311172018B"</f>
        <v>311172018B</v>
      </c>
      <c r="F824" s="2">
        <v>250</v>
      </c>
      <c r="G824" t="str">
        <f>"311172018B"</f>
        <v>311172018B</v>
      </c>
    </row>
    <row r="825" spans="1:7" x14ac:dyDescent="0.25">
      <c r="E825" t="str">
        <f>"423-6838 423-6837 1304-335 130"</f>
        <v>423-6838 423-6837 1304-335 130</v>
      </c>
      <c r="F825" s="2">
        <v>400</v>
      </c>
      <c r="G825" t="str">
        <f>"423-6838 423-6837 1304-335 130"</f>
        <v>423-6838 423-6837 1304-335 130</v>
      </c>
    </row>
    <row r="826" spans="1:7" x14ac:dyDescent="0.25">
      <c r="E826" t="str">
        <f>"DCPC-19-074 DCPC-19-075 DCPC-1"</f>
        <v>DCPC-19-074 DCPC-19-075 DCPC-1</v>
      </c>
      <c r="F826" s="2">
        <v>300</v>
      </c>
      <c r="G826" t="str">
        <f>"DCPC-19-074 DCPC-19-075 DCPC-1"</f>
        <v>DCPC-19-074 DCPC-19-075 DCPC-1</v>
      </c>
    </row>
    <row r="827" spans="1:7" x14ac:dyDescent="0.25">
      <c r="A827" t="s">
        <v>245</v>
      </c>
      <c r="B827">
        <v>1677</v>
      </c>
      <c r="C827" s="2">
        <v>4225</v>
      </c>
      <c r="D827" s="1">
        <v>43767</v>
      </c>
      <c r="E827" t="str">
        <f>"1JP1718G   1JP1718N   4121781"</f>
        <v>1JP1718G   1JP1718N   4121781</v>
      </c>
      <c r="F827" s="2">
        <v>600</v>
      </c>
      <c r="G827" t="str">
        <f>"1JP1718G   1JP1718N   4121781"</f>
        <v>1JP1718G   1JP1718N   4121781</v>
      </c>
    </row>
    <row r="828" spans="1:7" x14ac:dyDescent="0.25">
      <c r="E828" t="str">
        <f>"16752  1JP1718N  1JP1718L"</f>
        <v>16752  1JP1718N  1JP1718L</v>
      </c>
      <c r="F828" s="2">
        <v>800</v>
      </c>
      <c r="G828" t="str">
        <f>"16752  1JP1718N  1JP1718L"</f>
        <v>16752  1JP1718N  1JP1718L</v>
      </c>
    </row>
    <row r="829" spans="1:7" x14ac:dyDescent="0.25">
      <c r="E829" t="str">
        <f>"CH-20160331B"</f>
        <v>CH-20160331B</v>
      </c>
      <c r="F829" s="2">
        <v>400</v>
      </c>
      <c r="G829" t="str">
        <f>"CH-20160331B"</f>
        <v>CH-20160331B</v>
      </c>
    </row>
    <row r="830" spans="1:7" x14ac:dyDescent="0.25">
      <c r="E830" t="str">
        <f>"16774"</f>
        <v>16774</v>
      </c>
      <c r="F830" s="2">
        <v>400</v>
      </c>
      <c r="G830" t="str">
        <f>"16774"</f>
        <v>16774</v>
      </c>
    </row>
    <row r="831" spans="1:7" x14ac:dyDescent="0.25">
      <c r="E831" t="str">
        <f>"423-6857"</f>
        <v>423-6857</v>
      </c>
      <c r="F831" s="2">
        <v>100</v>
      </c>
      <c r="G831" t="str">
        <f>"423-6857"</f>
        <v>423-6857</v>
      </c>
    </row>
    <row r="832" spans="1:7" x14ac:dyDescent="0.25">
      <c r="E832" t="str">
        <f>"16708"</f>
        <v>16708</v>
      </c>
      <c r="F832" s="2">
        <v>400</v>
      </c>
      <c r="G832" t="str">
        <f>"16708"</f>
        <v>16708</v>
      </c>
    </row>
    <row r="833" spans="1:8" x14ac:dyDescent="0.25">
      <c r="E833" t="str">
        <f>"1318-335  1313-21"</f>
        <v>1318-335  1313-21</v>
      </c>
      <c r="F833" s="2">
        <v>200</v>
      </c>
      <c r="G833" t="str">
        <f>"1318-335  1313-21"</f>
        <v>1318-335  1313-21</v>
      </c>
    </row>
    <row r="834" spans="1:8" x14ac:dyDescent="0.25">
      <c r="E834" t="str">
        <f>"55998  309032017F"</f>
        <v>55998  309032017F</v>
      </c>
      <c r="F834" s="2">
        <v>375</v>
      </c>
      <c r="G834" t="str">
        <f>"55998  309032017F"</f>
        <v>55998  309032017F</v>
      </c>
    </row>
    <row r="835" spans="1:8" x14ac:dyDescent="0.25">
      <c r="E835" t="str">
        <f>"57001  AC2018.1109D"</f>
        <v>57001  AC2018.1109D</v>
      </c>
      <c r="F835" s="2">
        <v>375</v>
      </c>
      <c r="G835" t="str">
        <f>"57001  AC2018.1109D"</f>
        <v>57001  AC2018.1109D</v>
      </c>
    </row>
    <row r="836" spans="1:8" x14ac:dyDescent="0.25">
      <c r="E836" t="str">
        <f>"JP4-411037.2    412178-2"</f>
        <v>JP4-411037.2    412178-2</v>
      </c>
      <c r="F836" s="2">
        <v>375</v>
      </c>
      <c r="G836" t="str">
        <f>"JP4-411037.2    412178-2"</f>
        <v>JP4-411037.2    412178-2</v>
      </c>
    </row>
    <row r="837" spans="1:8" x14ac:dyDescent="0.25">
      <c r="E837" t="str">
        <f>"19-19912"</f>
        <v>19-19912</v>
      </c>
      <c r="F837" s="2">
        <v>100</v>
      </c>
      <c r="G837" t="str">
        <f>"19-19912"</f>
        <v>19-19912</v>
      </c>
    </row>
    <row r="838" spans="1:8" x14ac:dyDescent="0.25">
      <c r="E838" t="str">
        <f>"19-19907"</f>
        <v>19-19907</v>
      </c>
      <c r="F838" s="2">
        <v>100</v>
      </c>
      <c r="G838" t="str">
        <f>"19-19907"</f>
        <v>19-19907</v>
      </c>
    </row>
    <row r="839" spans="1:8" x14ac:dyDescent="0.25">
      <c r="A839" t="s">
        <v>246</v>
      </c>
      <c r="B839">
        <v>84270</v>
      </c>
      <c r="C839" s="2">
        <v>153.99</v>
      </c>
      <c r="D839" s="1">
        <v>43753</v>
      </c>
      <c r="E839" t="str">
        <f>"CHAIN &amp; CABLE LUBE/PCT#1"</f>
        <v>CHAIN &amp; CABLE LUBE/PCT#1</v>
      </c>
      <c r="F839" s="2">
        <v>153.99</v>
      </c>
      <c r="G839" t="str">
        <f>"CHAIN &amp; CABLE LUBE/PCT#1"</f>
        <v>CHAIN &amp; CABLE LUBE/PCT#1</v>
      </c>
    </row>
    <row r="840" spans="1:8" x14ac:dyDescent="0.25">
      <c r="A840" t="s">
        <v>247</v>
      </c>
      <c r="B840">
        <v>84271</v>
      </c>
      <c r="C840" s="2">
        <v>25</v>
      </c>
      <c r="D840" s="1">
        <v>43753</v>
      </c>
      <c r="E840" t="s">
        <v>248</v>
      </c>
      <c r="F840" s="2" t="str">
        <f>"RESTITUTION - J. HOFFMAN"</f>
        <v>RESTITUTION - J. HOFFMAN</v>
      </c>
      <c r="G840" t="str">
        <f>"210-0000"</f>
        <v>210-0000</v>
      </c>
      <c r="H840" t="str">
        <f>""</f>
        <v/>
      </c>
    </row>
    <row r="841" spans="1:8" x14ac:dyDescent="0.25">
      <c r="A841" t="s">
        <v>249</v>
      </c>
      <c r="B841">
        <v>84559</v>
      </c>
      <c r="C841" s="2">
        <v>500</v>
      </c>
      <c r="D841" s="1">
        <v>43766</v>
      </c>
      <c r="E841" t="str">
        <f>"VETERINARY SURG SVCS 09/21"</f>
        <v>VETERINARY SURG SVCS 09/21</v>
      </c>
      <c r="F841" s="2">
        <v>500</v>
      </c>
      <c r="G841" t="str">
        <f>"VETERINARY SURG SVCS 09/21"</f>
        <v>VETERINARY SURG SVCS 09/21</v>
      </c>
    </row>
    <row r="842" spans="1:8" x14ac:dyDescent="0.25">
      <c r="A842" t="s">
        <v>250</v>
      </c>
      <c r="B842">
        <v>84272</v>
      </c>
      <c r="C842" s="2">
        <v>2335.9</v>
      </c>
      <c r="D842" s="1">
        <v>43753</v>
      </c>
      <c r="E842" t="str">
        <f>"18-19299"</f>
        <v>18-19299</v>
      </c>
      <c r="F842" s="2">
        <v>992.5</v>
      </c>
      <c r="G842" t="str">
        <f>"18-19299"</f>
        <v>18-19299</v>
      </c>
    </row>
    <row r="843" spans="1:8" x14ac:dyDescent="0.25">
      <c r="E843" t="str">
        <f>"18-19237"</f>
        <v>18-19237</v>
      </c>
      <c r="F843" s="2">
        <v>45</v>
      </c>
      <c r="G843" t="str">
        <f>"18-19237"</f>
        <v>18-19237</v>
      </c>
    </row>
    <row r="844" spans="1:8" x14ac:dyDescent="0.25">
      <c r="E844" t="str">
        <f>"18-19240"</f>
        <v>18-19240</v>
      </c>
      <c r="F844" s="2">
        <v>236.4</v>
      </c>
      <c r="G844" t="str">
        <f>"18-19240"</f>
        <v>18-19240</v>
      </c>
    </row>
    <row r="845" spans="1:8" x14ac:dyDescent="0.25">
      <c r="E845" t="str">
        <f>"19-19739"</f>
        <v>19-19739</v>
      </c>
      <c r="F845" s="2">
        <v>296.39999999999998</v>
      </c>
      <c r="G845" t="str">
        <f>"19-19739"</f>
        <v>19-19739</v>
      </c>
    </row>
    <row r="846" spans="1:8" x14ac:dyDescent="0.25">
      <c r="E846" t="str">
        <f>"423-5815"</f>
        <v>423-5815</v>
      </c>
      <c r="F846" s="2">
        <v>362.5</v>
      </c>
      <c r="G846" t="str">
        <f>"423-5815"</f>
        <v>423-5815</v>
      </c>
    </row>
    <row r="847" spans="1:8" x14ac:dyDescent="0.25">
      <c r="E847" t="str">
        <f>"423-2327"</f>
        <v>423-2327</v>
      </c>
      <c r="F847" s="2">
        <v>403.1</v>
      </c>
      <c r="G847" t="str">
        <f>"423-2327"</f>
        <v>423-2327</v>
      </c>
    </row>
    <row r="848" spans="1:8" x14ac:dyDescent="0.25">
      <c r="A848" t="s">
        <v>251</v>
      </c>
      <c r="B848">
        <v>84273</v>
      </c>
      <c r="C848" s="2">
        <v>447.59</v>
      </c>
      <c r="D848" s="1">
        <v>43753</v>
      </c>
      <c r="E848" t="str">
        <f>"REIMBURSE HOTEL/MILEAGE"</f>
        <v>REIMBURSE HOTEL/MILEAGE</v>
      </c>
      <c r="F848" s="2">
        <v>447.59</v>
      </c>
      <c r="G848" t="str">
        <f>"REIMBURSE HOTEL/MILEAGE"</f>
        <v>REIMBURSE HOTEL/MILEAGE</v>
      </c>
    </row>
    <row r="849" spans="1:8" x14ac:dyDescent="0.25">
      <c r="E849" t="str">
        <f>""</f>
        <v/>
      </c>
      <c r="G849" t="str">
        <f>"REIMBURSE HOTEL/MILEAGE"</f>
        <v>REIMBURSE HOTEL/MILEAGE</v>
      </c>
    </row>
    <row r="850" spans="1:8" x14ac:dyDescent="0.25">
      <c r="A850" t="s">
        <v>252</v>
      </c>
      <c r="B850">
        <v>84560</v>
      </c>
      <c r="C850" s="2">
        <v>75</v>
      </c>
      <c r="D850" s="1">
        <v>43766</v>
      </c>
      <c r="E850" t="str">
        <f>"SERVICE"</f>
        <v>SERVICE</v>
      </c>
      <c r="F850" s="2">
        <v>75</v>
      </c>
      <c r="G850" t="str">
        <f>"SERVICE"</f>
        <v>SERVICE</v>
      </c>
    </row>
    <row r="851" spans="1:8" x14ac:dyDescent="0.25">
      <c r="A851" t="s">
        <v>253</v>
      </c>
      <c r="B851">
        <v>84274</v>
      </c>
      <c r="C851" s="2">
        <v>310</v>
      </c>
      <c r="D851" s="1">
        <v>43753</v>
      </c>
      <c r="E851" t="str">
        <f>"TRASH PICK UP/PCT#1"</f>
        <v>TRASH PICK UP/PCT#1</v>
      </c>
      <c r="F851" s="2">
        <v>310</v>
      </c>
      <c r="G851" t="str">
        <f>"TRASH PICK UP/PCT#1"</f>
        <v>TRASH PICK UP/PCT#1</v>
      </c>
    </row>
    <row r="852" spans="1:8" x14ac:dyDescent="0.25">
      <c r="A852" t="s">
        <v>254</v>
      </c>
      <c r="B852">
        <v>84275</v>
      </c>
      <c r="C852" s="2">
        <v>50</v>
      </c>
      <c r="D852" s="1">
        <v>43753</v>
      </c>
      <c r="E852" t="s">
        <v>255</v>
      </c>
      <c r="F852" s="2" t="str">
        <f>"RESTITUTION - C. FERRIS"</f>
        <v>RESTITUTION - C. FERRIS</v>
      </c>
      <c r="G852" t="str">
        <f>"210-0000"</f>
        <v>210-0000</v>
      </c>
      <c r="H852" t="str">
        <f>""</f>
        <v/>
      </c>
    </row>
    <row r="853" spans="1:8" x14ac:dyDescent="0.25">
      <c r="A853" t="s">
        <v>256</v>
      </c>
      <c r="B853">
        <v>1598</v>
      </c>
      <c r="C853" s="2">
        <v>2617</v>
      </c>
      <c r="D853" s="1">
        <v>43754</v>
      </c>
      <c r="E853" t="str">
        <f>"TOWER RENT-OCTOBER"</f>
        <v>TOWER RENT-OCTOBER</v>
      </c>
      <c r="F853" s="2">
        <v>2617</v>
      </c>
      <c r="G853" t="str">
        <f>"TOWER RENT-OCTOBER"</f>
        <v>TOWER RENT-OCTOBER</v>
      </c>
    </row>
    <row r="854" spans="1:8" x14ac:dyDescent="0.25">
      <c r="A854" t="s">
        <v>257</v>
      </c>
      <c r="B854">
        <v>84561</v>
      </c>
      <c r="C854" s="2">
        <v>38.520000000000003</v>
      </c>
      <c r="D854" s="1">
        <v>43766</v>
      </c>
      <c r="E854" t="str">
        <f>"REIMBURSE MEAL/PARKING"</f>
        <v>REIMBURSE MEAL/PARKING</v>
      </c>
      <c r="F854" s="2">
        <v>38.520000000000003</v>
      </c>
      <c r="G854" t="str">
        <f>"REIMBURSE MEAL/PARKING"</f>
        <v>REIMBURSE MEAL/PARKING</v>
      </c>
    </row>
    <row r="855" spans="1:8" x14ac:dyDescent="0.25">
      <c r="A855" t="s">
        <v>258</v>
      </c>
      <c r="B855">
        <v>84276</v>
      </c>
      <c r="C855" s="2">
        <v>180</v>
      </c>
      <c r="D855" s="1">
        <v>43753</v>
      </c>
      <c r="E855" t="str">
        <f>"PORTABLE TOILET/HANDICAP"</f>
        <v>PORTABLE TOILET/HANDICAP</v>
      </c>
      <c r="F855" s="2">
        <v>180</v>
      </c>
      <c r="G855" t="str">
        <f>"PORTABLE TOILET/HANDICAP"</f>
        <v>PORTABLE TOILET/HANDICAP</v>
      </c>
    </row>
    <row r="856" spans="1:8" x14ac:dyDescent="0.25">
      <c r="A856" t="s">
        <v>259</v>
      </c>
      <c r="B856">
        <v>84562</v>
      </c>
      <c r="C856" s="2">
        <v>1580.96</v>
      </c>
      <c r="D856" s="1">
        <v>43766</v>
      </c>
      <c r="E856" t="str">
        <f>"ACCT#BASCO1/PCT#1"</f>
        <v>ACCT#BASCO1/PCT#1</v>
      </c>
      <c r="F856" s="2">
        <v>1580.96</v>
      </c>
      <c r="G856" t="str">
        <f>"ACCT#BASCO1/PCT#1"</f>
        <v>ACCT#BASCO1/PCT#1</v>
      </c>
    </row>
    <row r="857" spans="1:8" x14ac:dyDescent="0.25">
      <c r="A857" t="s">
        <v>260</v>
      </c>
      <c r="B857">
        <v>84563</v>
      </c>
      <c r="C857" s="2">
        <v>244.92</v>
      </c>
      <c r="D857" s="1">
        <v>43766</v>
      </c>
      <c r="E857" t="str">
        <f>"CUST#10222/IT DEPT"</f>
        <v>CUST#10222/IT DEPT</v>
      </c>
      <c r="F857" s="2">
        <v>244.92</v>
      </c>
      <c r="G857" t="str">
        <f>"CUST#10222/IT DEPT"</f>
        <v>CUST#10222/IT DEPT</v>
      </c>
    </row>
    <row r="858" spans="1:8" x14ac:dyDescent="0.25">
      <c r="A858" t="s">
        <v>261</v>
      </c>
      <c r="B858">
        <v>1689</v>
      </c>
      <c r="C858" s="2">
        <v>484.76</v>
      </c>
      <c r="D858" s="1">
        <v>43767</v>
      </c>
      <c r="E858" t="str">
        <f>"TRAVEL REIMBURSEMENT-MILEAGE/F"</f>
        <v>TRAVEL REIMBURSEMENT-MILEAGE/F</v>
      </c>
      <c r="F858" s="2">
        <v>484.76</v>
      </c>
      <c r="G858" t="str">
        <f>"TRAVEL REIMBURSEMENT-MILEAGE/F"</f>
        <v>TRAVEL REIMBURSEMENT-MILEAGE/F</v>
      </c>
    </row>
    <row r="859" spans="1:8" x14ac:dyDescent="0.25">
      <c r="A859" t="s">
        <v>262</v>
      </c>
      <c r="B859">
        <v>84277</v>
      </c>
      <c r="C859" s="2">
        <v>1260.52</v>
      </c>
      <c r="D859" s="1">
        <v>43753</v>
      </c>
      <c r="E859" t="str">
        <f>"ACCT#104992/PCT#1"</f>
        <v>ACCT#104992/PCT#1</v>
      </c>
      <c r="F859" s="2">
        <v>-722.39</v>
      </c>
      <c r="G859" t="str">
        <f>"ACCT#104992/PCT#1"</f>
        <v>ACCT#104992/PCT#1</v>
      </c>
    </row>
    <row r="860" spans="1:8" x14ac:dyDescent="0.25">
      <c r="E860" t="str">
        <f>"ACCT#104992/PCT#1"</f>
        <v>ACCT#104992/PCT#1</v>
      </c>
      <c r="F860" s="2">
        <v>-63.41</v>
      </c>
      <c r="G860" t="str">
        <f>"ACCT#104992/PCT#1"</f>
        <v>ACCT#104992/PCT#1</v>
      </c>
    </row>
    <row r="861" spans="1:8" x14ac:dyDescent="0.25">
      <c r="E861" t="str">
        <f>"ACCT#104992/PCT#1"</f>
        <v>ACCT#104992/PCT#1</v>
      </c>
      <c r="F861" s="2">
        <v>1967.38</v>
      </c>
      <c r="G861" t="str">
        <f>"ACCT#104992/PCT#1"</f>
        <v>ACCT#104992/PCT#1</v>
      </c>
    </row>
    <row r="862" spans="1:8" x14ac:dyDescent="0.25">
      <c r="E862" t="str">
        <f>"ACCT#104992/PCT#1"</f>
        <v>ACCT#104992/PCT#1</v>
      </c>
      <c r="F862" s="2">
        <v>78.94</v>
      </c>
      <c r="G862" t="str">
        <f>"ACCT#104992/PCT#1"</f>
        <v>ACCT#104992/PCT#1</v>
      </c>
    </row>
    <row r="863" spans="1:8" x14ac:dyDescent="0.25">
      <c r="A863" t="s">
        <v>263</v>
      </c>
      <c r="B863">
        <v>84278</v>
      </c>
      <c r="C863" s="2">
        <v>456.86</v>
      </c>
      <c r="D863" s="1">
        <v>43753</v>
      </c>
      <c r="E863" t="str">
        <f>"CUST#1650/GEN SVCS"</f>
        <v>CUST#1650/GEN SVCS</v>
      </c>
      <c r="F863" s="2">
        <v>-172.53</v>
      </c>
      <c r="G863" t="str">
        <f>"CUST#1650/GEN SVCS"</f>
        <v>CUST#1650/GEN SVCS</v>
      </c>
    </row>
    <row r="864" spans="1:8" x14ac:dyDescent="0.25">
      <c r="E864" t="str">
        <f>"CUST#1650/PCT#1"</f>
        <v>CUST#1650/PCT#1</v>
      </c>
      <c r="F864" s="2">
        <v>444.71</v>
      </c>
      <c r="G864" t="str">
        <f>"CUST#1650/PCT#1"</f>
        <v>CUST#1650/PCT#1</v>
      </c>
    </row>
    <row r="865" spans="1:7" x14ac:dyDescent="0.25">
      <c r="E865" t="str">
        <f>"ACCT#1750/PCT#3"</f>
        <v>ACCT#1750/PCT#3</v>
      </c>
      <c r="F865" s="2">
        <v>10.86</v>
      </c>
      <c r="G865" t="str">
        <f>"ACCT#1750/PCT#3"</f>
        <v>ACCT#1750/PCT#3</v>
      </c>
    </row>
    <row r="866" spans="1:7" x14ac:dyDescent="0.25">
      <c r="E866" t="str">
        <f>"ACCT#1162/GENERAL SVCS"</f>
        <v>ACCT#1162/GENERAL SVCS</v>
      </c>
      <c r="F866" s="2">
        <v>17.87</v>
      </c>
      <c r="G866" t="str">
        <f>"ACCT#1162/GENERAL SVCS"</f>
        <v>ACCT#1162/GENERAL SVCS</v>
      </c>
    </row>
    <row r="867" spans="1:7" x14ac:dyDescent="0.25">
      <c r="E867" t="str">
        <f>""</f>
        <v/>
      </c>
      <c r="G867" t="str">
        <f>"ACCT#1162/GENERAL SVCS"</f>
        <v>ACCT#1162/GENERAL SVCS</v>
      </c>
    </row>
    <row r="868" spans="1:7" x14ac:dyDescent="0.25">
      <c r="E868" t="str">
        <f>"CUST#1650/GEN SVCS"</f>
        <v>CUST#1650/GEN SVCS</v>
      </c>
      <c r="F868" s="2">
        <v>155.94999999999999</v>
      </c>
      <c r="G868" t="str">
        <f>"CUST#1650/GEN SVCS"</f>
        <v>CUST#1650/GEN SVCS</v>
      </c>
    </row>
    <row r="869" spans="1:7" x14ac:dyDescent="0.25">
      <c r="A869" t="s">
        <v>263</v>
      </c>
      <c r="B869">
        <v>84564</v>
      </c>
      <c r="C869" s="2">
        <v>728.77</v>
      </c>
      <c r="D869" s="1">
        <v>43766</v>
      </c>
      <c r="E869" t="str">
        <f>"CUST#1650/PCT#1"</f>
        <v>CUST#1650/PCT#1</v>
      </c>
      <c r="F869" s="2">
        <v>728.77</v>
      </c>
      <c r="G869" t="str">
        <f>"CUST#1650/PCT#1"</f>
        <v>CUST#1650/PCT#1</v>
      </c>
    </row>
    <row r="870" spans="1:7" x14ac:dyDescent="0.25">
      <c r="A870" t="s">
        <v>264</v>
      </c>
      <c r="B870">
        <v>84279</v>
      </c>
      <c r="C870" s="2">
        <v>3342.61</v>
      </c>
      <c r="D870" s="1">
        <v>43753</v>
      </c>
      <c r="E870" t="str">
        <f>"INV 09181383"</f>
        <v>INV 09181383</v>
      </c>
      <c r="F870" s="2">
        <v>2123.4</v>
      </c>
      <c r="G870" t="str">
        <f>"INV 09181383"</f>
        <v>INV 09181383</v>
      </c>
    </row>
    <row r="871" spans="1:7" x14ac:dyDescent="0.25">
      <c r="E871" t="str">
        <f>""</f>
        <v/>
      </c>
      <c r="G871" t="str">
        <f>"INV 09252277"</f>
        <v>INV 09252277</v>
      </c>
    </row>
    <row r="872" spans="1:7" x14ac:dyDescent="0.25">
      <c r="E872" t="str">
        <f>"INV 10023038"</f>
        <v>INV 10023038</v>
      </c>
      <c r="F872" s="2">
        <v>1219.21</v>
      </c>
      <c r="G872" t="str">
        <f>"INV 10023038"</f>
        <v>INV 10023038</v>
      </c>
    </row>
    <row r="873" spans="1:7" x14ac:dyDescent="0.25">
      <c r="A873" t="s">
        <v>264</v>
      </c>
      <c r="B873">
        <v>84565</v>
      </c>
      <c r="C873" s="2">
        <v>2138.12</v>
      </c>
      <c r="D873" s="1">
        <v>43766</v>
      </c>
      <c r="E873" t="str">
        <f>"INV 10093816"</f>
        <v>INV 10093816</v>
      </c>
      <c r="F873" s="2">
        <v>2138.12</v>
      </c>
      <c r="G873" t="str">
        <f>"INV 10093816"</f>
        <v>INV 10093816</v>
      </c>
    </row>
    <row r="874" spans="1:7" x14ac:dyDescent="0.25">
      <c r="E874" t="str">
        <f>""</f>
        <v/>
      </c>
      <c r="G874" t="str">
        <f>"INV 10163479"</f>
        <v>INV 10163479</v>
      </c>
    </row>
    <row r="875" spans="1:7" x14ac:dyDescent="0.25">
      <c r="A875" t="s">
        <v>265</v>
      </c>
      <c r="B875">
        <v>1581</v>
      </c>
      <c r="C875" s="2">
        <v>150</v>
      </c>
      <c r="D875" s="1">
        <v>43754</v>
      </c>
      <c r="E875" t="str">
        <f>"CLEANING SVC/PCT#2"</f>
        <v>CLEANING SVC/PCT#2</v>
      </c>
      <c r="F875" s="2">
        <v>150</v>
      </c>
      <c r="G875" t="str">
        <f>"CLEANING SVC/PCT#2"</f>
        <v>CLEANING SVC/PCT#2</v>
      </c>
    </row>
    <row r="876" spans="1:7" x14ac:dyDescent="0.25">
      <c r="A876" t="s">
        <v>265</v>
      </c>
      <c r="B876">
        <v>1657</v>
      </c>
      <c r="C876" s="2">
        <v>300</v>
      </c>
      <c r="D876" s="1">
        <v>43767</v>
      </c>
      <c r="E876" t="str">
        <f>"CLEANING SVCS 10/19/19"</f>
        <v>CLEANING SVCS 10/19/19</v>
      </c>
      <c r="F876" s="2">
        <v>150</v>
      </c>
      <c r="G876" t="str">
        <f>"CLEANING SVCS 10/19/19"</f>
        <v>CLEANING SVCS 10/19/19</v>
      </c>
    </row>
    <row r="877" spans="1:7" x14ac:dyDescent="0.25">
      <c r="E877" t="str">
        <f>"CLEANING SVCS 10/11/19"</f>
        <v>CLEANING SVCS 10/11/19</v>
      </c>
      <c r="F877" s="2">
        <v>150</v>
      </c>
      <c r="G877" t="str">
        <f>"CLEANING SVCS 10/11/19"</f>
        <v>CLEANING SVCS 10/11/19</v>
      </c>
    </row>
    <row r="878" spans="1:7" x14ac:dyDescent="0.25">
      <c r="A878" t="s">
        <v>266</v>
      </c>
      <c r="B878">
        <v>84280</v>
      </c>
      <c r="C878" s="2">
        <v>590</v>
      </c>
      <c r="D878" s="1">
        <v>43753</v>
      </c>
      <c r="E878" t="str">
        <f>"REGISTRATION"</f>
        <v>REGISTRATION</v>
      </c>
      <c r="F878" s="2">
        <v>590</v>
      </c>
      <c r="G878" t="str">
        <f>"Z. CARTER"</f>
        <v>Z. CARTER</v>
      </c>
    </row>
    <row r="879" spans="1:7" x14ac:dyDescent="0.25">
      <c r="E879" t="str">
        <f>""</f>
        <v/>
      </c>
      <c r="G879" t="str">
        <f>"D. HEMINGER"</f>
        <v>D. HEMINGER</v>
      </c>
    </row>
    <row r="880" spans="1:7" x14ac:dyDescent="0.25">
      <c r="A880" t="s">
        <v>267</v>
      </c>
      <c r="B880">
        <v>1546</v>
      </c>
      <c r="C880" s="2">
        <v>4010</v>
      </c>
      <c r="D880" s="1">
        <v>43754</v>
      </c>
      <c r="E880" t="str">
        <f>"10-13841"</f>
        <v>10-13841</v>
      </c>
      <c r="F880" s="2">
        <v>425</v>
      </c>
      <c r="G880" t="str">
        <f>"10-13841"</f>
        <v>10-13841</v>
      </c>
    </row>
    <row r="881" spans="1:7" x14ac:dyDescent="0.25">
      <c r="E881" t="str">
        <f>"12-15464"</f>
        <v>12-15464</v>
      </c>
      <c r="F881" s="2">
        <v>602.5</v>
      </c>
      <c r="G881" t="str">
        <f>"12-15464"</f>
        <v>12-15464</v>
      </c>
    </row>
    <row r="882" spans="1:7" x14ac:dyDescent="0.25">
      <c r="E882" t="str">
        <f>"18-18967"</f>
        <v>18-18967</v>
      </c>
      <c r="F882" s="2">
        <v>572.5</v>
      </c>
      <c r="G882" t="str">
        <f>"18-18967"</f>
        <v>18-18967</v>
      </c>
    </row>
    <row r="883" spans="1:7" x14ac:dyDescent="0.25">
      <c r="E883" t="str">
        <f>"19-19558"</f>
        <v>19-19558</v>
      </c>
      <c r="F883" s="2">
        <v>662.5</v>
      </c>
      <c r="G883" t="str">
        <f>"19-19558"</f>
        <v>19-19558</v>
      </c>
    </row>
    <row r="884" spans="1:7" x14ac:dyDescent="0.25">
      <c r="E884" t="str">
        <f>"18-18996"</f>
        <v>18-18996</v>
      </c>
      <c r="F884" s="2">
        <v>912.5</v>
      </c>
      <c r="G884" t="str">
        <f>"18-18996"</f>
        <v>18-18996</v>
      </c>
    </row>
    <row r="885" spans="1:7" x14ac:dyDescent="0.25">
      <c r="E885" t="str">
        <f>"03-8069"</f>
        <v>03-8069</v>
      </c>
      <c r="F885" s="2">
        <v>630</v>
      </c>
      <c r="G885" t="str">
        <f>"03-8069"</f>
        <v>03-8069</v>
      </c>
    </row>
    <row r="886" spans="1:7" x14ac:dyDescent="0.25">
      <c r="E886" t="str">
        <f>"04-8785"</f>
        <v>04-8785</v>
      </c>
      <c r="F886" s="2">
        <v>205</v>
      </c>
      <c r="G886" t="str">
        <f>"04-8785"</f>
        <v>04-8785</v>
      </c>
    </row>
    <row r="887" spans="1:7" x14ac:dyDescent="0.25">
      <c r="A887" t="s">
        <v>268</v>
      </c>
      <c r="B887">
        <v>84566</v>
      </c>
      <c r="C887" s="2">
        <v>215</v>
      </c>
      <c r="D887" s="1">
        <v>43766</v>
      </c>
      <c r="E887" t="str">
        <f>"TIRE SVCS/PCT#4"</f>
        <v>TIRE SVCS/PCT#4</v>
      </c>
      <c r="F887" s="2">
        <v>215</v>
      </c>
      <c r="G887" t="str">
        <f>"TIRE SVCS/PCT#4"</f>
        <v>TIRE SVCS/PCT#4</v>
      </c>
    </row>
    <row r="888" spans="1:7" x14ac:dyDescent="0.25">
      <c r="A888" t="s">
        <v>269</v>
      </c>
      <c r="B888">
        <v>84159</v>
      </c>
      <c r="C888" s="2">
        <v>50.25</v>
      </c>
      <c r="D888" s="1">
        <v>43742</v>
      </c>
      <c r="E888" t="str">
        <f>"ACCT#1-09-00072-02 1 /09252019"</f>
        <v>ACCT#1-09-00072-02 1 /09252019</v>
      </c>
      <c r="F888" s="2">
        <v>50.25</v>
      </c>
      <c r="G888" t="str">
        <f>"ACCT#1-09-00072-02 1 /09252019"</f>
        <v>ACCT#1-09-00072-02 1 /09252019</v>
      </c>
    </row>
    <row r="889" spans="1:7" x14ac:dyDescent="0.25">
      <c r="A889" t="s">
        <v>270</v>
      </c>
      <c r="B889">
        <v>84281</v>
      </c>
      <c r="C889" s="2">
        <v>149.4</v>
      </c>
      <c r="D889" s="1">
        <v>43753</v>
      </c>
      <c r="E889" t="str">
        <f>"INV 0557673756"</f>
        <v>INV 0557673756</v>
      </c>
      <c r="F889" s="2">
        <v>94.2</v>
      </c>
      <c r="G889" t="str">
        <f>"INV 0557673756"</f>
        <v>INV 0557673756</v>
      </c>
    </row>
    <row r="890" spans="1:7" x14ac:dyDescent="0.25">
      <c r="E890" t="str">
        <f>"INV 0557771104"</f>
        <v>INV 0557771104</v>
      </c>
      <c r="F890" s="2">
        <v>55.2</v>
      </c>
      <c r="G890" t="str">
        <f>"INV 0557771104"</f>
        <v>INV 0557771104</v>
      </c>
    </row>
    <row r="891" spans="1:7" x14ac:dyDescent="0.25">
      <c r="A891" t="s">
        <v>270</v>
      </c>
      <c r="B891">
        <v>84567</v>
      </c>
      <c r="C891" s="2">
        <v>19.59</v>
      </c>
      <c r="D891" s="1">
        <v>43766</v>
      </c>
      <c r="E891" t="str">
        <f>"INV 0557673755"</f>
        <v>INV 0557673755</v>
      </c>
      <c r="F891" s="2">
        <v>19.59</v>
      </c>
      <c r="G891" t="str">
        <f>"INV 0557673755"</f>
        <v>INV 0557673755</v>
      </c>
    </row>
    <row r="892" spans="1:7" x14ac:dyDescent="0.25">
      <c r="E892" t="str">
        <f>""</f>
        <v/>
      </c>
      <c r="G892" t="str">
        <f>"INV 0607289233"</f>
        <v>INV 0607289233</v>
      </c>
    </row>
    <row r="893" spans="1:7" x14ac:dyDescent="0.25">
      <c r="E893" t="str">
        <f>""</f>
        <v/>
      </c>
      <c r="G893" t="str">
        <f>"INV 0607292887"</f>
        <v>INV 0607292887</v>
      </c>
    </row>
    <row r="894" spans="1:7" x14ac:dyDescent="0.25">
      <c r="A894" t="s">
        <v>271</v>
      </c>
      <c r="B894">
        <v>84282</v>
      </c>
      <c r="C894" s="2">
        <v>1262.05</v>
      </c>
      <c r="D894" s="1">
        <v>43753</v>
      </c>
      <c r="E894" t="str">
        <f>"BILL ID:1211621/HEALTH SVCS"</f>
        <v>BILL ID:1211621/HEALTH SVCS</v>
      </c>
      <c r="F894" s="2">
        <v>621.75</v>
      </c>
      <c r="G894" t="str">
        <f>"BILL ID:1211621/HEALTH SVCS"</f>
        <v>BILL ID:1211621/HEALTH SVCS</v>
      </c>
    </row>
    <row r="895" spans="1:7" x14ac:dyDescent="0.25">
      <c r="E895" t="str">
        <f>"BILL ID:1361725/INDIGENT HEALT"</f>
        <v>BILL ID:1361725/INDIGENT HEALT</v>
      </c>
      <c r="F895" s="2">
        <v>150</v>
      </c>
      <c r="G895" t="str">
        <f>"BILL ID:1361725/INDIGENT HEALT"</f>
        <v>BILL ID:1361725/INDIGENT HEALT</v>
      </c>
    </row>
    <row r="896" spans="1:7" x14ac:dyDescent="0.25">
      <c r="E896" t="str">
        <f>"BILL ID:1394645/COUNTY CLERK"</f>
        <v>BILL ID:1394645/COUNTY CLERK</v>
      </c>
      <c r="F896" s="2">
        <v>71.5</v>
      </c>
      <c r="G896" t="str">
        <f>"BILL ID:1394645/COUNTY CLERK"</f>
        <v>BILL ID:1394645/COUNTY CLERK</v>
      </c>
    </row>
    <row r="897" spans="1:8" x14ac:dyDescent="0.25">
      <c r="E897" t="str">
        <f>"BILL ID:1420944/SHERIFF OFFICE"</f>
        <v>BILL ID:1420944/SHERIFF OFFICE</v>
      </c>
      <c r="F897" s="2">
        <v>318.8</v>
      </c>
      <c r="G897" t="str">
        <f>"BILL ID:1420944/SHERIFF OFFICE"</f>
        <v>BILL ID:1420944/SHERIFF OFFICE</v>
      </c>
    </row>
    <row r="898" spans="1:8" x14ac:dyDescent="0.25">
      <c r="E898" t="str">
        <f>"BILL ID:1489870/DISTRICT CLERK"</f>
        <v>BILL ID:1489870/DISTRICT CLERK</v>
      </c>
      <c r="F898" s="2">
        <v>100</v>
      </c>
      <c r="G898" t="str">
        <f>"BILL ID:1489870/DISTRICT CLERK"</f>
        <v>BILL ID:1489870/DISTRICT CLERK</v>
      </c>
    </row>
    <row r="899" spans="1:8" x14ac:dyDescent="0.25">
      <c r="A899" t="s">
        <v>272</v>
      </c>
      <c r="B899">
        <v>84283</v>
      </c>
      <c r="C899" s="2">
        <v>492.76</v>
      </c>
      <c r="D899" s="1">
        <v>43753</v>
      </c>
      <c r="E899" t="str">
        <f>"ACCT#15717/WO#0005530211"</f>
        <v>ACCT#15717/WO#0005530211</v>
      </c>
      <c r="F899" s="2">
        <v>244.42</v>
      </c>
      <c r="G899" t="str">
        <f>"ACCT#15717/WO#0005530211"</f>
        <v>ACCT#15717/WO#0005530211</v>
      </c>
    </row>
    <row r="900" spans="1:8" x14ac:dyDescent="0.25">
      <c r="E900" t="str">
        <f>"ACCT#15717/PCT#4"</f>
        <v>ACCT#15717/PCT#4</v>
      </c>
      <c r="F900" s="2">
        <v>248.34</v>
      </c>
      <c r="G900" t="str">
        <f>"ACCT#15717/PCT#4"</f>
        <v>ACCT#15717/PCT#4</v>
      </c>
    </row>
    <row r="901" spans="1:8" x14ac:dyDescent="0.25">
      <c r="A901" t="s">
        <v>273</v>
      </c>
      <c r="B901">
        <v>1603</v>
      </c>
      <c r="C901" s="2">
        <v>284.75</v>
      </c>
      <c r="D901" s="1">
        <v>43754</v>
      </c>
      <c r="E901" t="str">
        <f>"VEHICLE REGISTRATIONS"</f>
        <v>VEHICLE REGISTRATIONS</v>
      </c>
      <c r="F901" s="2">
        <v>30</v>
      </c>
      <c r="G901" t="str">
        <f>"VEHICLE REGISTRATIONS"</f>
        <v>VEHICLE REGISTRATIONS</v>
      </c>
    </row>
    <row r="902" spans="1:8" x14ac:dyDescent="0.25">
      <c r="E902" t="str">
        <f>"2016 VERMEER TR REG.TITLE/HAB"</f>
        <v>2016 VERMEER TR REG.TITLE/HAB</v>
      </c>
      <c r="F902" s="2">
        <v>12.5</v>
      </c>
      <c r="G902" t="str">
        <f>"2016 VERMEER TR REG.TITLE/HAB"</f>
        <v>2016 VERMEER TR REG.TITLE/HAB</v>
      </c>
    </row>
    <row r="903" spans="1:8" x14ac:dyDescent="0.25">
      <c r="E903" t="str">
        <f>"TITLE TRANSFERS/REG/SHERIFF"</f>
        <v>TITLE TRANSFERS/REG/SHERIFF</v>
      </c>
      <c r="F903" s="2">
        <v>152.25</v>
      </c>
      <c r="G903" t="str">
        <f>"TITLE TRANSFERS/REG/SHERIFF"</f>
        <v>TITLE TRANSFERS/REG/SHERIFF</v>
      </c>
    </row>
    <row r="904" spans="1:8" x14ac:dyDescent="0.25">
      <c r="E904" t="str">
        <f>"2003 FORD REGISTRATION/GEN SVC"</f>
        <v>2003 FORD REGISTRATION/GEN SVC</v>
      </c>
      <c r="F904" s="2">
        <v>7.5</v>
      </c>
      <c r="G904" t="str">
        <f>"2003 FORD REGISTRATION/GEN SVC"</f>
        <v>2003 FORD REGISTRATION/GEN SVC</v>
      </c>
    </row>
    <row r="905" spans="1:8" x14ac:dyDescent="0.25">
      <c r="E905" t="str">
        <f>"VEHICLE REGISTRATIONS-SHERIFF"</f>
        <v>VEHICLE REGISTRATIONS-SHERIFF</v>
      </c>
      <c r="F905" s="2">
        <v>82.5</v>
      </c>
      <c r="G905" t="str">
        <f>"VEHICLE REGISTRATIONS-SHERIFF"</f>
        <v>VEHICLE REGISTRATIONS-SHERIFF</v>
      </c>
    </row>
    <row r="906" spans="1:8" x14ac:dyDescent="0.25">
      <c r="A906" t="s">
        <v>273</v>
      </c>
      <c r="B906">
        <v>1670</v>
      </c>
      <c r="C906" s="2">
        <v>15</v>
      </c>
      <c r="D906" s="1">
        <v>43767</v>
      </c>
      <c r="E906" t="str">
        <f>"2014 FORD VEHICLE REG/PCT#4"</f>
        <v>2014 FORD VEHICLE REG/PCT#4</v>
      </c>
      <c r="F906" s="2">
        <v>7.5</v>
      </c>
      <c r="G906" t="str">
        <f>"2014 FORD VEHICLE REG/PCT#4"</f>
        <v>2014 FORD VEHICLE REG/PCT#4</v>
      </c>
    </row>
    <row r="907" spans="1:8" x14ac:dyDescent="0.25">
      <c r="E907" t="str">
        <f>"VEHICLE REGISTRATION-SHERIFF"</f>
        <v>VEHICLE REGISTRATION-SHERIFF</v>
      </c>
      <c r="F907" s="2">
        <v>7.5</v>
      </c>
      <c r="G907" t="str">
        <f>"VEHICLE REGISTRATION-SHERIFF"</f>
        <v>VEHICLE REGISTRATION-SHERIFF</v>
      </c>
    </row>
    <row r="908" spans="1:8" x14ac:dyDescent="0.25">
      <c r="A908" t="s">
        <v>274</v>
      </c>
      <c r="B908">
        <v>1566</v>
      </c>
      <c r="C908" s="2">
        <v>447.59</v>
      </c>
      <c r="D908" s="1">
        <v>43754</v>
      </c>
      <c r="E908" t="str">
        <f>"REIMBURSE HOTEL/MILEAGE"</f>
        <v>REIMBURSE HOTEL/MILEAGE</v>
      </c>
      <c r="F908" s="2">
        <v>447.59</v>
      </c>
      <c r="G908" t="str">
        <f>"REIMBURSE HOTEL/MILEAGE"</f>
        <v>REIMBURSE HOTEL/MILEAGE</v>
      </c>
    </row>
    <row r="909" spans="1:8" x14ac:dyDescent="0.25">
      <c r="E909" t="str">
        <f>""</f>
        <v/>
      </c>
      <c r="G909" t="str">
        <f>"REIMBURSE HOTEL/MILEAGE"</f>
        <v>REIMBURSE HOTEL/MILEAGE</v>
      </c>
    </row>
    <row r="910" spans="1:8" x14ac:dyDescent="0.25">
      <c r="A910" t="s">
        <v>275</v>
      </c>
      <c r="B910">
        <v>84284</v>
      </c>
      <c r="C910" s="2">
        <v>1596.24</v>
      </c>
      <c r="D910" s="1">
        <v>43753</v>
      </c>
      <c r="E910" t="str">
        <f>"INV SVC0494785"</f>
        <v>INV SVC0494785</v>
      </c>
      <c r="F910" s="2">
        <v>1596.24</v>
      </c>
      <c r="G910" t="str">
        <f>"INV SVC0494785"</f>
        <v>INV SVC0494785</v>
      </c>
    </row>
    <row r="911" spans="1:8" x14ac:dyDescent="0.25">
      <c r="A911" t="s">
        <v>276</v>
      </c>
      <c r="B911">
        <v>1545</v>
      </c>
      <c r="C911" s="2">
        <v>122.5</v>
      </c>
      <c r="D911" s="1">
        <v>43754</v>
      </c>
      <c r="E911" t="s">
        <v>227</v>
      </c>
      <c r="F911" s="2" t="str">
        <f>"RESTITUTION - Z. PALUCH"</f>
        <v>RESTITUTION - Z. PALUCH</v>
      </c>
      <c r="G911" t="str">
        <f>"210-0000"</f>
        <v>210-0000</v>
      </c>
      <c r="H911" t="str">
        <f>""</f>
        <v/>
      </c>
    </row>
    <row r="912" spans="1:8" x14ac:dyDescent="0.25">
      <c r="E912" t="s">
        <v>228</v>
      </c>
      <c r="F912" s="2" t="str">
        <f>"RESTITUTION-Z. PALUCH"</f>
        <v>RESTITUTION-Z. PALUCH</v>
      </c>
      <c r="G912" t="str">
        <f>"210-0000"</f>
        <v>210-0000</v>
      </c>
      <c r="H912" t="str">
        <f>""</f>
        <v/>
      </c>
    </row>
    <row r="913" spans="1:7" x14ac:dyDescent="0.25">
      <c r="A913" t="s">
        <v>277</v>
      </c>
      <c r="B913">
        <v>84285</v>
      </c>
      <c r="C913" s="2">
        <v>250</v>
      </c>
      <c r="D913" s="1">
        <v>43753</v>
      </c>
      <c r="E913" t="str">
        <f>"56 486"</f>
        <v>56 486</v>
      </c>
      <c r="F913" s="2">
        <v>250</v>
      </c>
      <c r="G913" t="str">
        <f>"56 486"</f>
        <v>56 486</v>
      </c>
    </row>
    <row r="914" spans="1:7" x14ac:dyDescent="0.25">
      <c r="A914" t="s">
        <v>278</v>
      </c>
      <c r="B914">
        <v>84286</v>
      </c>
      <c r="C914" s="2">
        <v>105</v>
      </c>
      <c r="D914" s="1">
        <v>43753</v>
      </c>
      <c r="E914" t="str">
        <f>"PER DIEM"</f>
        <v>PER DIEM</v>
      </c>
      <c r="F914" s="2">
        <v>105</v>
      </c>
      <c r="G914" t="str">
        <f>"PER DIEM"</f>
        <v>PER DIEM</v>
      </c>
    </row>
    <row r="915" spans="1:7" x14ac:dyDescent="0.25">
      <c r="A915" t="s">
        <v>278</v>
      </c>
      <c r="B915">
        <v>84568</v>
      </c>
      <c r="C915" s="2">
        <v>20</v>
      </c>
      <c r="D915" s="1">
        <v>43766</v>
      </c>
      <c r="E915" t="str">
        <f>"PER DIEM"</f>
        <v>PER DIEM</v>
      </c>
      <c r="F915" s="2">
        <v>20</v>
      </c>
      <c r="G915" t="str">
        <f>"PER DIEM"</f>
        <v>PER DIEM</v>
      </c>
    </row>
    <row r="916" spans="1:7" x14ac:dyDescent="0.25">
      <c r="A916" t="s">
        <v>279</v>
      </c>
      <c r="B916">
        <v>1565</v>
      </c>
      <c r="C916" s="2">
        <v>340</v>
      </c>
      <c r="D916" s="1">
        <v>43754</v>
      </c>
      <c r="E916" t="str">
        <f>"INV LS-0730-BCSO / 7083"</f>
        <v>INV LS-0730-BCSO / 7083</v>
      </c>
      <c r="F916" s="2">
        <v>340</v>
      </c>
      <c r="G916" t="str">
        <f>"INV LS-0730-BCSO"</f>
        <v>INV LS-0730-BCSO</v>
      </c>
    </row>
    <row r="917" spans="1:7" x14ac:dyDescent="0.25">
      <c r="A917" t="s">
        <v>280</v>
      </c>
      <c r="B917">
        <v>84287</v>
      </c>
      <c r="C917" s="2">
        <v>275</v>
      </c>
      <c r="D917" s="1">
        <v>43753</v>
      </c>
      <c r="E917" t="str">
        <f>"ACCT#237/PCT#2"</f>
        <v>ACCT#237/PCT#2</v>
      </c>
      <c r="F917" s="2">
        <v>275</v>
      </c>
      <c r="G917" t="str">
        <f>"ACCT#237/PCT#2"</f>
        <v>ACCT#237/PCT#2</v>
      </c>
    </row>
    <row r="918" spans="1:7" x14ac:dyDescent="0.25">
      <c r="A918" t="s">
        <v>281</v>
      </c>
      <c r="B918">
        <v>1575</v>
      </c>
      <c r="C918" s="2">
        <v>1241.5</v>
      </c>
      <c r="D918" s="1">
        <v>43754</v>
      </c>
      <c r="E918" t="str">
        <f>"TRASH REMOVAL 09/23-09/30/P4"</f>
        <v>TRASH REMOVAL 09/23-09/30/P4</v>
      </c>
      <c r="F918" s="2">
        <v>442</v>
      </c>
      <c r="G918" t="str">
        <f>"TRASH REMOVAL 09/23-09/30/P4"</f>
        <v>TRASH REMOVAL 09/23-09/30/P4</v>
      </c>
    </row>
    <row r="919" spans="1:7" x14ac:dyDescent="0.25">
      <c r="E919" t="str">
        <f>"TRASH REMOVAL 10/01-10/11/P4"</f>
        <v>TRASH REMOVAL 10/01-10/11/P4</v>
      </c>
      <c r="F919" s="2">
        <v>799.5</v>
      </c>
      <c r="G919" t="str">
        <f>"TRASH REMOVAL 10/01-10/11/P4"</f>
        <v>TRASH REMOVAL 10/01-10/11/P4</v>
      </c>
    </row>
    <row r="920" spans="1:7" x14ac:dyDescent="0.25">
      <c r="A920" t="s">
        <v>281</v>
      </c>
      <c r="B920">
        <v>1651</v>
      </c>
      <c r="C920" s="2">
        <v>812.5</v>
      </c>
      <c r="D920" s="1">
        <v>43767</v>
      </c>
      <c r="E920" t="str">
        <f>"TRASH REMOVAL 10/14-10/25/P4"</f>
        <v>TRASH REMOVAL 10/14-10/25/P4</v>
      </c>
      <c r="F920" s="2">
        <v>812.5</v>
      </c>
      <c r="G920" t="str">
        <f>"TRASH REMOVAL 10/14-10/25/P4"</f>
        <v>TRASH REMOVAL 10/14-10/25/P4</v>
      </c>
    </row>
    <row r="921" spans="1:7" x14ac:dyDescent="0.25">
      <c r="A921" t="s">
        <v>282</v>
      </c>
      <c r="B921">
        <v>1607</v>
      </c>
      <c r="C921" s="2">
        <v>81</v>
      </c>
      <c r="D921" s="1">
        <v>43754</v>
      </c>
      <c r="E921" t="str">
        <f>"INV 10-0077403/10-0077629"</f>
        <v>INV 10-0077403/10-0077629</v>
      </c>
      <c r="F921" s="2">
        <v>81</v>
      </c>
      <c r="G921" t="str">
        <f>"INV 10-0077403"</f>
        <v>INV 10-0077403</v>
      </c>
    </row>
    <row r="922" spans="1:7" x14ac:dyDescent="0.25">
      <c r="E922" t="str">
        <f>""</f>
        <v/>
      </c>
      <c r="G922" t="str">
        <f>"INV 10-0077629"</f>
        <v>INV 10-0077629</v>
      </c>
    </row>
    <row r="923" spans="1:7" x14ac:dyDescent="0.25">
      <c r="A923" t="s">
        <v>283</v>
      </c>
      <c r="B923">
        <v>84569</v>
      </c>
      <c r="C923" s="2">
        <v>761.79</v>
      </c>
      <c r="D923" s="1">
        <v>43766</v>
      </c>
      <c r="E923" t="str">
        <f>"REPLACE TURBO/PCT#3"</f>
        <v>REPLACE TURBO/PCT#3</v>
      </c>
      <c r="F923" s="2">
        <v>761.79</v>
      </c>
      <c r="G923" t="str">
        <f>"REPLACE TURBO/PCT#3"</f>
        <v>REPLACE TURBO/PCT#3</v>
      </c>
    </row>
    <row r="924" spans="1:7" x14ac:dyDescent="0.25">
      <c r="A924" t="s">
        <v>284</v>
      </c>
      <c r="B924">
        <v>84288</v>
      </c>
      <c r="C924" s="2">
        <v>182.95</v>
      </c>
      <c r="D924" s="1">
        <v>43753</v>
      </c>
      <c r="E924" t="str">
        <f>"Act# 8692"</f>
        <v>Act# 8692</v>
      </c>
      <c r="F924" s="2">
        <v>182.95</v>
      </c>
      <c r="G924" t="str">
        <f>"inv# 914263"</f>
        <v>inv# 914263</v>
      </c>
    </row>
    <row r="925" spans="1:7" x14ac:dyDescent="0.25">
      <c r="E925" t="str">
        <f>""</f>
        <v/>
      </c>
      <c r="G925" t="str">
        <f>"inv# 914423"</f>
        <v>inv# 914423</v>
      </c>
    </row>
    <row r="926" spans="1:7" x14ac:dyDescent="0.25">
      <c r="E926" t="str">
        <f>""</f>
        <v/>
      </c>
      <c r="G926" t="str">
        <f>"inv# 914099"</f>
        <v>inv# 914099</v>
      </c>
    </row>
    <row r="927" spans="1:7" x14ac:dyDescent="0.25">
      <c r="E927" t="str">
        <f>""</f>
        <v/>
      </c>
      <c r="G927" t="str">
        <f>"inv# 902453"</f>
        <v>inv# 902453</v>
      </c>
    </row>
    <row r="928" spans="1:7" x14ac:dyDescent="0.25">
      <c r="A928" t="s">
        <v>285</v>
      </c>
      <c r="B928">
        <v>84289</v>
      </c>
      <c r="C928" s="2">
        <v>500</v>
      </c>
      <c r="D928" s="1">
        <v>43753</v>
      </c>
      <c r="E928" t="str">
        <f>"ANNUAL MEMBERSHIP"</f>
        <v>ANNUAL MEMBERSHIP</v>
      </c>
      <c r="F928" s="2">
        <v>500</v>
      </c>
      <c r="G928" t="str">
        <f>"ANNUAL MEMBERSHIP"</f>
        <v>ANNUAL MEMBERSHIP</v>
      </c>
    </row>
    <row r="929" spans="1:7" x14ac:dyDescent="0.25">
      <c r="A929" t="s">
        <v>286</v>
      </c>
      <c r="B929">
        <v>84570</v>
      </c>
      <c r="C929" s="2">
        <v>1565</v>
      </c>
      <c r="D929" s="1">
        <v>43766</v>
      </c>
      <c r="E929" t="str">
        <f>"WATER DAMAGE/COURTHOUSE COMPLE"</f>
        <v>WATER DAMAGE/COURTHOUSE COMPLE</v>
      </c>
      <c r="F929" s="2">
        <v>755</v>
      </c>
      <c r="G929" t="str">
        <f>"WATER DAMAGE/COURTHOUSE COMPLE"</f>
        <v>WATER DAMAGE/COURTHOUSE COMPLE</v>
      </c>
    </row>
    <row r="930" spans="1:7" x14ac:dyDescent="0.25">
      <c r="E930" t="str">
        <f>"WATER DAMAGE/COURTHOUSE COMPLE"</f>
        <v>WATER DAMAGE/COURTHOUSE COMPLE</v>
      </c>
      <c r="F930" s="2">
        <v>810</v>
      </c>
      <c r="G930" t="str">
        <f>"WATER DAMAGE/COURTHOUSE COMPLE"</f>
        <v>WATER DAMAGE/COURTHOUSE COMPLE</v>
      </c>
    </row>
    <row r="931" spans="1:7" x14ac:dyDescent="0.25">
      <c r="A931" t="s">
        <v>287</v>
      </c>
      <c r="B931">
        <v>1558</v>
      </c>
      <c r="C931" s="2">
        <v>344.69</v>
      </c>
      <c r="D931" s="1">
        <v>43754</v>
      </c>
      <c r="E931" t="str">
        <f>"CRIMINAL COURT 09/16/19"</f>
        <v>CRIMINAL COURT 09/16/19</v>
      </c>
      <c r="F931" s="2">
        <v>344.69</v>
      </c>
      <c r="G931" t="str">
        <f>"CRIMINAL COURT 09/16/19"</f>
        <v>CRIMINAL COURT 09/16/19</v>
      </c>
    </row>
    <row r="932" spans="1:7" x14ac:dyDescent="0.25">
      <c r="A932" t="s">
        <v>288</v>
      </c>
      <c r="B932">
        <v>1543</v>
      </c>
      <c r="C932" s="2">
        <v>52.32</v>
      </c>
      <c r="D932" s="1">
        <v>43754</v>
      </c>
      <c r="E932" t="str">
        <f>"MILEAGE REIMBURSEMENT"</f>
        <v>MILEAGE REIMBURSEMENT</v>
      </c>
      <c r="F932" s="2">
        <v>52.32</v>
      </c>
      <c r="G932" t="str">
        <f>"MILEAGE REIMBURSEMENT"</f>
        <v>MILEAGE REIMBURSEMENT</v>
      </c>
    </row>
    <row r="933" spans="1:7" x14ac:dyDescent="0.25">
      <c r="A933" t="s">
        <v>289</v>
      </c>
      <c r="B933">
        <v>84290</v>
      </c>
      <c r="C933" s="2">
        <v>222.55</v>
      </c>
      <c r="D933" s="1">
        <v>43753</v>
      </c>
      <c r="E933" t="str">
        <f>"REIMBURSE HOTEL"</f>
        <v>REIMBURSE HOTEL</v>
      </c>
      <c r="F933" s="2">
        <v>222.55</v>
      </c>
      <c r="G933" t="str">
        <f>"REIMBURSE HOTEL"</f>
        <v>REIMBURSE HOTEL</v>
      </c>
    </row>
    <row r="934" spans="1:7" x14ac:dyDescent="0.25">
      <c r="A934" t="s">
        <v>290</v>
      </c>
      <c r="B934">
        <v>1584</v>
      </c>
      <c r="C934" s="2">
        <v>595.03</v>
      </c>
      <c r="D934" s="1">
        <v>43754</v>
      </c>
      <c r="E934" t="str">
        <f>"REIMBURSE HOTEL"</f>
        <v>REIMBURSE HOTEL</v>
      </c>
      <c r="F934" s="2">
        <v>222.55</v>
      </c>
      <c r="G934" t="str">
        <f>"REIMBURSE HOTEL"</f>
        <v>REIMBURSE HOTEL</v>
      </c>
    </row>
    <row r="935" spans="1:7" x14ac:dyDescent="0.25">
      <c r="E935" t="str">
        <f>"MILEAGE REIMBURSEMENT"</f>
        <v>MILEAGE REIMBURSEMENT</v>
      </c>
      <c r="F935" s="2">
        <v>372.48</v>
      </c>
      <c r="G935" t="str">
        <f>"MILEAGE REIMBURSEMENT"</f>
        <v>MILEAGE REIMBURSEMENT</v>
      </c>
    </row>
    <row r="936" spans="1:7" x14ac:dyDescent="0.25">
      <c r="A936" t="s">
        <v>291</v>
      </c>
      <c r="B936">
        <v>1570</v>
      </c>
      <c r="C936" s="2">
        <v>90</v>
      </c>
      <c r="D936" s="1">
        <v>43754</v>
      </c>
      <c r="E936" t="str">
        <f>"REIMBURSEMENT - MEALS"</f>
        <v>REIMBURSEMENT - MEALS</v>
      </c>
      <c r="F936" s="2">
        <v>90</v>
      </c>
      <c r="G936" t="str">
        <f>"REIMBURSEMENT - MEALS"</f>
        <v>REIMBURSEMENT - MEALS</v>
      </c>
    </row>
    <row r="937" spans="1:7" x14ac:dyDescent="0.25">
      <c r="A937" t="s">
        <v>292</v>
      </c>
      <c r="B937">
        <v>84571</v>
      </c>
      <c r="C937" s="2">
        <v>174.33</v>
      </c>
      <c r="D937" s="1">
        <v>43766</v>
      </c>
      <c r="E937" t="str">
        <f>"INDIGENT HEALTH"</f>
        <v>INDIGENT HEALTH</v>
      </c>
      <c r="F937" s="2">
        <v>174.33</v>
      </c>
      <c r="G937" t="str">
        <f>"INDIGENT HEALTH"</f>
        <v>INDIGENT HEALTH</v>
      </c>
    </row>
    <row r="938" spans="1:7" x14ac:dyDescent="0.25">
      <c r="A938" t="s">
        <v>293</v>
      </c>
      <c r="B938">
        <v>84291</v>
      </c>
      <c r="C938" s="2">
        <v>31.13</v>
      </c>
      <c r="D938" s="1">
        <v>43753</v>
      </c>
      <c r="E938" t="str">
        <f>"MARK WHITE"</f>
        <v>MARK WHITE</v>
      </c>
      <c r="F938" s="2">
        <v>31.13</v>
      </c>
      <c r="G938" t="str">
        <f>""</f>
        <v/>
      </c>
    </row>
    <row r="939" spans="1:7" x14ac:dyDescent="0.25">
      <c r="A939" t="s">
        <v>294</v>
      </c>
      <c r="B939">
        <v>1562</v>
      </c>
      <c r="C939" s="2">
        <v>643.75</v>
      </c>
      <c r="D939" s="1">
        <v>43754</v>
      </c>
      <c r="E939" t="str">
        <f>"19-19548"</f>
        <v>19-19548</v>
      </c>
      <c r="F939" s="2">
        <v>318.75</v>
      </c>
      <c r="G939" t="str">
        <f>"19-19548"</f>
        <v>19-19548</v>
      </c>
    </row>
    <row r="940" spans="1:7" x14ac:dyDescent="0.25">
      <c r="E940" t="str">
        <f>"19-19465"</f>
        <v>19-19465</v>
      </c>
      <c r="F940" s="2">
        <v>112.5</v>
      </c>
      <c r="G940" t="str">
        <f>"19-19465"</f>
        <v>19-19465</v>
      </c>
    </row>
    <row r="941" spans="1:7" x14ac:dyDescent="0.25">
      <c r="E941" t="str">
        <f>"19-19768"</f>
        <v>19-19768</v>
      </c>
      <c r="F941" s="2">
        <v>212.5</v>
      </c>
      <c r="G941" t="str">
        <f>"19-19768"</f>
        <v>19-19768</v>
      </c>
    </row>
    <row r="942" spans="1:7" x14ac:dyDescent="0.25">
      <c r="A942" t="s">
        <v>294</v>
      </c>
      <c r="B942">
        <v>1645</v>
      </c>
      <c r="C942" s="2">
        <v>600</v>
      </c>
      <c r="D942" s="1">
        <v>43767</v>
      </c>
      <c r="E942" t="str">
        <f>"55 509"</f>
        <v>55 509</v>
      </c>
      <c r="F942" s="2">
        <v>250</v>
      </c>
      <c r="G942" t="str">
        <f>"55 509"</f>
        <v>55 509</v>
      </c>
    </row>
    <row r="943" spans="1:7" x14ac:dyDescent="0.25">
      <c r="E943" t="str">
        <f>"55 446"</f>
        <v>55 446</v>
      </c>
      <c r="F943" s="2">
        <v>250</v>
      </c>
      <c r="G943" t="str">
        <f>"55 446"</f>
        <v>55 446</v>
      </c>
    </row>
    <row r="944" spans="1:7" x14ac:dyDescent="0.25">
      <c r="E944" t="str">
        <f>"DETENTION HEARING"</f>
        <v>DETENTION HEARING</v>
      </c>
      <c r="F944" s="2">
        <v>100</v>
      </c>
      <c r="G944" t="str">
        <f>"DETENTION HEARING"</f>
        <v>DETENTION HEARING</v>
      </c>
    </row>
    <row r="945" spans="1:8" x14ac:dyDescent="0.25">
      <c r="A945" t="s">
        <v>295</v>
      </c>
      <c r="B945">
        <v>84292</v>
      </c>
      <c r="C945" s="2">
        <v>282.10000000000002</v>
      </c>
      <c r="D945" s="1">
        <v>43753</v>
      </c>
      <c r="E945" t="str">
        <f>"ACCT#41472/PCT#1"</f>
        <v>ACCT#41472/PCT#1</v>
      </c>
      <c r="F945" s="2">
        <v>26.73</v>
      </c>
      <c r="G945" t="str">
        <f>"ACCT#41472/PCT#1"</f>
        <v>ACCT#41472/PCT#1</v>
      </c>
    </row>
    <row r="946" spans="1:8" x14ac:dyDescent="0.25">
      <c r="E946" t="str">
        <f>"ACCT#45057/PCT#4"</f>
        <v>ACCT#45057/PCT#4</v>
      </c>
      <c r="F946" s="2">
        <v>48.73</v>
      </c>
      <c r="G946" t="str">
        <f>"ACCT#45057/PCT#4"</f>
        <v>ACCT#45057/PCT#4</v>
      </c>
    </row>
    <row r="947" spans="1:8" x14ac:dyDescent="0.25">
      <c r="E947" t="str">
        <f>"ACCT#S9549/PCT#1"</f>
        <v>ACCT#S9549/PCT#1</v>
      </c>
      <c r="F947" s="2">
        <v>150</v>
      </c>
      <c r="G947" t="str">
        <f>"ACCT#S9549/PCT#1"</f>
        <v>ACCT#S9549/PCT#1</v>
      </c>
    </row>
    <row r="948" spans="1:8" x14ac:dyDescent="0.25">
      <c r="E948" t="str">
        <f>"INV 20462903"</f>
        <v>INV 20462903</v>
      </c>
      <c r="F948" s="2">
        <v>56.64</v>
      </c>
      <c r="G948" t="str">
        <f>"INV 20462903"</f>
        <v>INV 20462903</v>
      </c>
    </row>
    <row r="949" spans="1:8" x14ac:dyDescent="0.25">
      <c r="A949" t="s">
        <v>296</v>
      </c>
      <c r="B949">
        <v>1667</v>
      </c>
      <c r="C949" s="2">
        <v>7.49</v>
      </c>
      <c r="D949" s="1">
        <v>43767</v>
      </c>
      <c r="E949" t="str">
        <f>"ACCT#0900-98011130-001/CONCRET"</f>
        <v>ACCT#0900-98011130-001/CONCRET</v>
      </c>
      <c r="F949" s="2">
        <v>7.49</v>
      </c>
      <c r="G949" t="str">
        <f>"ACCT#0900-98011130-001/CONCRET"</f>
        <v>ACCT#0900-98011130-001/CONCRET</v>
      </c>
    </row>
    <row r="950" spans="1:8" x14ac:dyDescent="0.25">
      <c r="A950" t="s">
        <v>297</v>
      </c>
      <c r="B950">
        <v>84293</v>
      </c>
      <c r="C950" s="2">
        <v>37114.36</v>
      </c>
      <c r="D950" s="1">
        <v>43753</v>
      </c>
      <c r="E950" t="s">
        <v>59</v>
      </c>
      <c r="F950" s="2" t="str">
        <f>"SERVICE (2-SEC OF STATE)"</f>
        <v>SERVICE (2-SEC OF STATE)</v>
      </c>
      <c r="G950" t="str">
        <f>"995-4110"</f>
        <v>995-4110</v>
      </c>
      <c r="H950" t="str">
        <f>""</f>
        <v/>
      </c>
    </row>
    <row r="951" spans="1:8" x14ac:dyDescent="0.25">
      <c r="E951" t="str">
        <f>"ABST FEE"</f>
        <v>ABST FEE</v>
      </c>
      <c r="F951" s="2">
        <v>175</v>
      </c>
      <c r="G951" t="str">
        <f>"ABST FEE"</f>
        <v>ABST FEE</v>
      </c>
    </row>
    <row r="952" spans="1:8" x14ac:dyDescent="0.25">
      <c r="E952" t="str">
        <f>"ABST FEE"</f>
        <v>ABST FEE</v>
      </c>
      <c r="F952" s="2">
        <v>60</v>
      </c>
      <c r="G952" t="str">
        <f>"ABST FEE"</f>
        <v>ABST FEE</v>
      </c>
    </row>
    <row r="953" spans="1:8" x14ac:dyDescent="0.25">
      <c r="E953" t="str">
        <f>"ABST FEE"</f>
        <v>ABST FEE</v>
      </c>
      <c r="F953" s="2">
        <v>60</v>
      </c>
      <c r="G953" t="str">
        <f>"ABST FEE"</f>
        <v>ABST FEE</v>
      </c>
    </row>
    <row r="954" spans="1:8" x14ac:dyDescent="0.25">
      <c r="E954" t="str">
        <f>"ABST FEE"</f>
        <v>ABST FEE</v>
      </c>
      <c r="F954" s="2">
        <v>225</v>
      </c>
      <c r="G954" t="str">
        <f>"ABST FEE"</f>
        <v>ABST FEE</v>
      </c>
    </row>
    <row r="955" spans="1:8" x14ac:dyDescent="0.25">
      <c r="E955" t="str">
        <f>"ABST FEE"</f>
        <v>ABST FEE</v>
      </c>
      <c r="F955" s="2">
        <v>225</v>
      </c>
      <c r="G955" t="str">
        <f>"ABST FEE"</f>
        <v>ABST FEE</v>
      </c>
    </row>
    <row r="956" spans="1:8" x14ac:dyDescent="0.25">
      <c r="E956" t="str">
        <f>"ABST FEE $225  SERVICE-$55"</f>
        <v>ABST FEE $225  SERVICE-$55</v>
      </c>
      <c r="F956" s="2">
        <v>280</v>
      </c>
      <c r="G956" t="str">
        <f>"ABST FEE $225  SERVICE-$55"</f>
        <v>ABST FEE $225  SERVICE-$55</v>
      </c>
    </row>
    <row r="957" spans="1:8" x14ac:dyDescent="0.25">
      <c r="E957" t="str">
        <f>"ABST FEE"</f>
        <v>ABST FEE</v>
      </c>
      <c r="F957" s="2">
        <v>225</v>
      </c>
      <c r="G957" t="str">
        <f>"ABST FEE"</f>
        <v>ABST FEE</v>
      </c>
    </row>
    <row r="958" spans="1:8" x14ac:dyDescent="0.25">
      <c r="E958" t="str">
        <f>"ABST FEE"</f>
        <v>ABST FEE</v>
      </c>
      <c r="F958" s="2">
        <v>225</v>
      </c>
      <c r="G958" t="str">
        <f>"ABST FEE"</f>
        <v>ABST FEE</v>
      </c>
    </row>
    <row r="959" spans="1:8" x14ac:dyDescent="0.25">
      <c r="E959" t="str">
        <f>"ABST FEE"</f>
        <v>ABST FEE</v>
      </c>
      <c r="F959" s="2">
        <v>225</v>
      </c>
      <c r="G959" t="str">
        <f>"ABST FEE"</f>
        <v>ABST FEE</v>
      </c>
    </row>
    <row r="960" spans="1:8" x14ac:dyDescent="0.25">
      <c r="E960" t="str">
        <f>"COLLECT OF DELIQ TAXES-SEPT19"</f>
        <v>COLLECT OF DELIQ TAXES-SEPT19</v>
      </c>
      <c r="F960" s="2">
        <v>35304.36</v>
      </c>
      <c r="G960" t="str">
        <f>"COLLECT OF DELIQ TAXES-SEPT19"</f>
        <v>COLLECT OF DELIQ TAXES-SEPT19</v>
      </c>
    </row>
    <row r="961" spans="1:7" x14ac:dyDescent="0.25">
      <c r="A961" t="s">
        <v>297</v>
      </c>
      <c r="B961">
        <v>84572</v>
      </c>
      <c r="C961" s="2">
        <v>1015</v>
      </c>
      <c r="D961" s="1">
        <v>43766</v>
      </c>
      <c r="E961" t="str">
        <f>"ABST FEE"</f>
        <v>ABST FEE</v>
      </c>
      <c r="F961" s="2">
        <v>60</v>
      </c>
      <c r="G961" t="str">
        <f>"ABST FEE"</f>
        <v>ABST FEE</v>
      </c>
    </row>
    <row r="962" spans="1:7" x14ac:dyDescent="0.25">
      <c r="E962" t="str">
        <f>"ABST FEE"</f>
        <v>ABST FEE</v>
      </c>
      <c r="F962" s="2">
        <v>225</v>
      </c>
      <c r="G962" t="str">
        <f>"ABST FEE"</f>
        <v>ABST FEE</v>
      </c>
    </row>
    <row r="963" spans="1:7" x14ac:dyDescent="0.25">
      <c r="E963" t="str">
        <f>"ABST FEE"</f>
        <v>ABST FEE</v>
      </c>
      <c r="F963" s="2">
        <v>225</v>
      </c>
      <c r="G963" t="str">
        <f>"ABST FEE"</f>
        <v>ABST FEE</v>
      </c>
    </row>
    <row r="964" spans="1:7" x14ac:dyDescent="0.25">
      <c r="E964" t="str">
        <f>"ABST FEE"</f>
        <v>ABST FEE</v>
      </c>
      <c r="F964" s="2">
        <v>225</v>
      </c>
      <c r="G964" t="str">
        <f>"ABST FEE"</f>
        <v>ABST FEE</v>
      </c>
    </row>
    <row r="965" spans="1:7" x14ac:dyDescent="0.25">
      <c r="E965" t="str">
        <f>"ABST FEE $100 AND SERVICE $180"</f>
        <v>ABST FEE $100 AND SERVICE $180</v>
      </c>
      <c r="F965" s="2">
        <v>280</v>
      </c>
      <c r="G965" t="str">
        <f>"ABST FEE $100 AND SERVICE $180"</f>
        <v>ABST FEE $100 AND SERVICE $180</v>
      </c>
    </row>
    <row r="966" spans="1:7" x14ac:dyDescent="0.25">
      <c r="A966" t="s">
        <v>298</v>
      </c>
      <c r="B966">
        <v>84573</v>
      </c>
      <c r="C966" s="2">
        <v>4800</v>
      </c>
      <c r="D966" s="1">
        <v>43766</v>
      </c>
      <c r="E966" t="str">
        <f>"15-914"</f>
        <v>15-914</v>
      </c>
      <c r="F966" s="2">
        <v>4800</v>
      </c>
      <c r="G966" t="str">
        <f>"15-914"</f>
        <v>15-914</v>
      </c>
    </row>
    <row r="967" spans="1:7" x14ac:dyDescent="0.25">
      <c r="A967" t="s">
        <v>299</v>
      </c>
      <c r="B967">
        <v>84574</v>
      </c>
      <c r="C967" s="2">
        <v>725.62</v>
      </c>
      <c r="D967" s="1">
        <v>43766</v>
      </c>
      <c r="E967" t="str">
        <f>"INV 65861569"</f>
        <v>INV 65861569</v>
      </c>
      <c r="F967" s="2">
        <v>725.62</v>
      </c>
      <c r="G967" t="str">
        <f>"INV 65861569"</f>
        <v>INV 65861569</v>
      </c>
    </row>
    <row r="968" spans="1:7" x14ac:dyDescent="0.25">
      <c r="A968" t="s">
        <v>300</v>
      </c>
      <c r="B968">
        <v>84575</v>
      </c>
      <c r="C968" s="2">
        <v>2732.61</v>
      </c>
      <c r="D968" s="1">
        <v>43766</v>
      </c>
      <c r="E968" t="str">
        <f>"INDIGENT HEALTH"</f>
        <v>INDIGENT HEALTH</v>
      </c>
      <c r="F968" s="2">
        <v>2732.61</v>
      </c>
      <c r="G968" t="str">
        <f>"INDIGENT HEALTH"</f>
        <v>INDIGENT HEALTH</v>
      </c>
    </row>
    <row r="969" spans="1:7" x14ac:dyDescent="0.25">
      <c r="E969" t="str">
        <f>""</f>
        <v/>
      </c>
      <c r="G969" t="str">
        <f>"INDIGENT HEALTH"</f>
        <v>INDIGENT HEALTH</v>
      </c>
    </row>
    <row r="970" spans="1:7" x14ac:dyDescent="0.25">
      <c r="A970" t="s">
        <v>301</v>
      </c>
      <c r="B970">
        <v>84294</v>
      </c>
      <c r="C970" s="2">
        <v>2500</v>
      </c>
      <c r="D970" s="1">
        <v>43753</v>
      </c>
      <c r="E970" t="str">
        <f>"AWARD FOR FY 19-20"</f>
        <v>AWARD FOR FY 19-20</v>
      </c>
      <c r="F970" s="2">
        <v>2500</v>
      </c>
      <c r="G970" t="str">
        <f>"AWARD FOR FY 19-20"</f>
        <v>AWARD FOR FY 19-20</v>
      </c>
    </row>
    <row r="971" spans="1:7" x14ac:dyDescent="0.25">
      <c r="A971" t="s">
        <v>302</v>
      </c>
      <c r="B971">
        <v>1578</v>
      </c>
      <c r="C971" s="2">
        <v>2500</v>
      </c>
      <c r="D971" s="1">
        <v>43754</v>
      </c>
      <c r="E971" t="str">
        <f>"SURGICAL SVCS 9/23 9/26 9/30"</f>
        <v>SURGICAL SVCS 9/23 9/26 9/30</v>
      </c>
      <c r="F971" s="2">
        <v>1500</v>
      </c>
      <c r="G971" t="str">
        <f>"SURGICAL SVCS 9/23 9/26 9/30"</f>
        <v>SURGICAL SVCS 9/23 9/26 9/30</v>
      </c>
    </row>
    <row r="972" spans="1:7" x14ac:dyDescent="0.25">
      <c r="E972" t="str">
        <f>"SURGICAL SVCS 10/03 10/07"</f>
        <v>SURGICAL SVCS 10/03 10/07</v>
      </c>
      <c r="F972" s="2">
        <v>1000</v>
      </c>
      <c r="G972" t="str">
        <f>"SURGICAL SVCS 10/03 10/07"</f>
        <v>SURGICAL SVCS 10/03 10/07</v>
      </c>
    </row>
    <row r="973" spans="1:7" x14ac:dyDescent="0.25">
      <c r="A973" t="s">
        <v>302</v>
      </c>
      <c r="B973">
        <v>1655</v>
      </c>
      <c r="C973" s="2">
        <v>1000</v>
      </c>
      <c r="D973" s="1">
        <v>43767</v>
      </c>
      <c r="E973" t="str">
        <f>"SURGICAL SVCS 10/10 &amp; 10/17"</f>
        <v>SURGICAL SVCS 10/10 &amp; 10/17</v>
      </c>
      <c r="F973" s="2">
        <v>1000</v>
      </c>
      <c r="G973" t="str">
        <f>"SURGICAL SVCS 10/10 &amp; 10/17"</f>
        <v>SURGICAL SVCS 10/10 &amp; 10/17</v>
      </c>
    </row>
    <row r="974" spans="1:7" x14ac:dyDescent="0.25">
      <c r="A974" t="s">
        <v>303</v>
      </c>
      <c r="B974">
        <v>1599</v>
      </c>
      <c r="C974" s="2">
        <v>50</v>
      </c>
      <c r="D974" s="1">
        <v>43754</v>
      </c>
      <c r="E974" t="str">
        <f>"423-6731"</f>
        <v>423-6731</v>
      </c>
      <c r="F974" s="2">
        <v>50</v>
      </c>
      <c r="G974" t="str">
        <f>"423-6731"</f>
        <v>423-6731</v>
      </c>
    </row>
    <row r="975" spans="1:7" x14ac:dyDescent="0.25">
      <c r="A975" t="s">
        <v>304</v>
      </c>
      <c r="B975">
        <v>84401</v>
      </c>
      <c r="C975" s="2">
        <v>336</v>
      </c>
      <c r="D975" s="1">
        <v>43761</v>
      </c>
      <c r="E975" t="str">
        <f>"Miscell"</f>
        <v>Miscell</v>
      </c>
      <c r="F975" s="2">
        <v>336</v>
      </c>
      <c r="G975" t="str">
        <f>"Family Crisis Center"</f>
        <v>Family Crisis Center</v>
      </c>
    </row>
    <row r="976" spans="1:7" x14ac:dyDescent="0.25">
      <c r="A976" t="s">
        <v>305</v>
      </c>
      <c r="B976">
        <v>84402</v>
      </c>
      <c r="C976" s="2">
        <v>274</v>
      </c>
      <c r="D976" s="1">
        <v>43761</v>
      </c>
      <c r="E976" t="str">
        <f>"M"</f>
        <v>M</v>
      </c>
      <c r="F976" s="2">
        <v>274</v>
      </c>
      <c r="G976" t="str">
        <f>"Children's Advocacy Center"</f>
        <v>Children's Advocacy Center</v>
      </c>
    </row>
    <row r="977" spans="1:7" x14ac:dyDescent="0.25">
      <c r="A977" t="s">
        <v>306</v>
      </c>
      <c r="B977">
        <v>84403</v>
      </c>
      <c r="C977" s="2">
        <v>188</v>
      </c>
      <c r="D977" s="1">
        <v>43761</v>
      </c>
      <c r="E977" t="str">
        <f>""</f>
        <v/>
      </c>
      <c r="F977" s="2">
        <v>188</v>
      </c>
      <c r="G977" t="str">
        <f>"COURT APPOINTED SPECIAL ADVOCA"</f>
        <v>COURT APPOINTED SPECIAL ADVOCA</v>
      </c>
    </row>
    <row r="978" spans="1:7" x14ac:dyDescent="0.25">
      <c r="A978" t="s">
        <v>307</v>
      </c>
      <c r="B978">
        <v>84404</v>
      </c>
      <c r="C978" s="2">
        <v>78</v>
      </c>
      <c r="D978" s="1">
        <v>43761</v>
      </c>
      <c r="E978" t="str">
        <f>"Mi"</f>
        <v>Mi</v>
      </c>
      <c r="F978" s="2">
        <v>78</v>
      </c>
      <c r="G978" t="str">
        <f>"Child Protective Services"</f>
        <v>Child Protective Services</v>
      </c>
    </row>
    <row r="979" spans="1:7" x14ac:dyDescent="0.25">
      <c r="A979" t="s">
        <v>308</v>
      </c>
      <c r="B979">
        <v>84405</v>
      </c>
      <c r="C979" s="2">
        <v>6</v>
      </c>
      <c r="D979" s="1">
        <v>43761</v>
      </c>
      <c r="E979" t="str">
        <f>"Misc"</f>
        <v>Misc</v>
      </c>
      <c r="F979" s="2">
        <v>6</v>
      </c>
      <c r="G979" t="str">
        <f>"RHIANNON JOIWIND BESSON"</f>
        <v>RHIANNON JOIWIND BESSON</v>
      </c>
    </row>
    <row r="980" spans="1:7" x14ac:dyDescent="0.25">
      <c r="A980" t="s">
        <v>309</v>
      </c>
      <c r="B980">
        <v>84406</v>
      </c>
      <c r="C980" s="2">
        <v>6</v>
      </c>
      <c r="D980" s="1">
        <v>43761</v>
      </c>
      <c r="E980" t="str">
        <f>"Miscel"</f>
        <v>Miscel</v>
      </c>
      <c r="F980" s="2">
        <v>6</v>
      </c>
      <c r="G980" t="str">
        <f>"SCOTT CARVEL FERGUSON"</f>
        <v>SCOTT CARVEL FERGUSON</v>
      </c>
    </row>
    <row r="981" spans="1:7" x14ac:dyDescent="0.25">
      <c r="A981" t="s">
        <v>310</v>
      </c>
      <c r="B981">
        <v>84407</v>
      </c>
      <c r="C981" s="2">
        <v>86</v>
      </c>
      <c r="D981" s="1">
        <v>43761</v>
      </c>
      <c r="E981" t="str">
        <f>"Miscel"</f>
        <v>Miscel</v>
      </c>
      <c r="F981" s="2">
        <v>86</v>
      </c>
      <c r="G981" t="str">
        <f>"PATRICK RYAN SAUNDERS"</f>
        <v>PATRICK RYAN SAUNDERS</v>
      </c>
    </row>
    <row r="982" spans="1:7" x14ac:dyDescent="0.25">
      <c r="A982" t="s">
        <v>311</v>
      </c>
      <c r="B982">
        <v>84408</v>
      </c>
      <c r="C982" s="2">
        <v>6</v>
      </c>
      <c r="D982" s="1">
        <v>43761</v>
      </c>
      <c r="E982" t="str">
        <f>"Misce"</f>
        <v>Misce</v>
      </c>
      <c r="F982" s="2">
        <v>6</v>
      </c>
      <c r="G982" t="str">
        <f>"DEYANITA LETICIA ROCHA"</f>
        <v>DEYANITA LETICIA ROCHA</v>
      </c>
    </row>
    <row r="983" spans="1:7" x14ac:dyDescent="0.25">
      <c r="A983" t="s">
        <v>312</v>
      </c>
      <c r="B983">
        <v>84409</v>
      </c>
      <c r="C983" s="2">
        <v>6</v>
      </c>
      <c r="D983" s="1">
        <v>43761</v>
      </c>
      <c r="E983" t="str">
        <f>"Miscella"</f>
        <v>Miscella</v>
      </c>
      <c r="F983" s="2">
        <v>6</v>
      </c>
      <c r="G983" t="str">
        <f>"HAROLD JUNIOR WELCH"</f>
        <v>HAROLD JUNIOR WELCH</v>
      </c>
    </row>
    <row r="984" spans="1:7" x14ac:dyDescent="0.25">
      <c r="A984" t="s">
        <v>313</v>
      </c>
      <c r="B984">
        <v>84410</v>
      </c>
      <c r="C984" s="2">
        <v>6</v>
      </c>
      <c r="D984" s="1">
        <v>43761</v>
      </c>
      <c r="E984" t="str">
        <f>"Misc"</f>
        <v>Misc</v>
      </c>
      <c r="F984" s="2">
        <v>6</v>
      </c>
      <c r="G984" t="str">
        <f>"MATTHEW JAMES DWORACZYK"</f>
        <v>MATTHEW JAMES DWORACZYK</v>
      </c>
    </row>
    <row r="985" spans="1:7" x14ac:dyDescent="0.25">
      <c r="A985" t="s">
        <v>314</v>
      </c>
      <c r="B985">
        <v>84411</v>
      </c>
      <c r="C985" s="2">
        <v>6</v>
      </c>
      <c r="D985" s="1">
        <v>43761</v>
      </c>
      <c r="E985" t="str">
        <f>"Mis"</f>
        <v>Mis</v>
      </c>
      <c r="F985" s="2">
        <v>6</v>
      </c>
      <c r="G985" t="str">
        <f>"RAISTLIN STORM HENNINGER"</f>
        <v>RAISTLIN STORM HENNINGER</v>
      </c>
    </row>
    <row r="986" spans="1:7" x14ac:dyDescent="0.25">
      <c r="A986" t="s">
        <v>315</v>
      </c>
      <c r="B986">
        <v>84412</v>
      </c>
      <c r="C986" s="2">
        <v>6</v>
      </c>
      <c r="D986" s="1">
        <v>43761</v>
      </c>
      <c r="E986" t="str">
        <f>"Miscellane"</f>
        <v>Miscellane</v>
      </c>
      <c r="F986" s="2">
        <v>6</v>
      </c>
      <c r="G986" t="str">
        <f>"NEREIDA HERNANDEZ"</f>
        <v>NEREIDA HERNANDEZ</v>
      </c>
    </row>
    <row r="987" spans="1:7" x14ac:dyDescent="0.25">
      <c r="A987" t="s">
        <v>316</v>
      </c>
      <c r="B987">
        <v>84413</v>
      </c>
      <c r="C987" s="2">
        <v>6</v>
      </c>
      <c r="D987" s="1">
        <v>43761</v>
      </c>
      <c r="E987" t="str">
        <f>"Miscellaneo"</f>
        <v>Miscellaneo</v>
      </c>
      <c r="F987" s="2">
        <v>6</v>
      </c>
      <c r="G987" t="str">
        <f>"KAREN BETH SALVO"</f>
        <v>KAREN BETH SALVO</v>
      </c>
    </row>
    <row r="988" spans="1:7" x14ac:dyDescent="0.25">
      <c r="A988" t="s">
        <v>317</v>
      </c>
      <c r="B988">
        <v>84414</v>
      </c>
      <c r="C988" s="2">
        <v>6</v>
      </c>
      <c r="D988" s="1">
        <v>43761</v>
      </c>
      <c r="E988" t="str">
        <f>"Miscella"</f>
        <v>Miscella</v>
      </c>
      <c r="F988" s="2">
        <v>6</v>
      </c>
      <c r="G988" t="str">
        <f>"ANDREW JOESEPH WNEK"</f>
        <v>ANDREW JOESEPH WNEK</v>
      </c>
    </row>
    <row r="989" spans="1:7" x14ac:dyDescent="0.25">
      <c r="A989" t="s">
        <v>318</v>
      </c>
      <c r="B989">
        <v>84415</v>
      </c>
      <c r="C989" s="2">
        <v>6</v>
      </c>
      <c r="D989" s="1">
        <v>43761</v>
      </c>
      <c r="E989" t="str">
        <f>"Miscellaneo"</f>
        <v>Miscellaneo</v>
      </c>
      <c r="F989" s="2">
        <v>6</v>
      </c>
      <c r="G989" t="str">
        <f>"AMANDA RAE CRAIG"</f>
        <v>AMANDA RAE CRAIG</v>
      </c>
    </row>
    <row r="990" spans="1:7" x14ac:dyDescent="0.25">
      <c r="A990" t="s">
        <v>319</v>
      </c>
      <c r="B990">
        <v>84416</v>
      </c>
      <c r="C990" s="2">
        <v>6</v>
      </c>
      <c r="D990" s="1">
        <v>43761</v>
      </c>
      <c r="E990" t="str">
        <f>"Miscellane"</f>
        <v>Miscellane</v>
      </c>
      <c r="F990" s="2">
        <v>6</v>
      </c>
      <c r="G990" t="str">
        <f>"ARTHUR LEE SEBERT"</f>
        <v>ARTHUR LEE SEBERT</v>
      </c>
    </row>
    <row r="991" spans="1:7" x14ac:dyDescent="0.25">
      <c r="A991" t="s">
        <v>320</v>
      </c>
      <c r="B991">
        <v>84417</v>
      </c>
      <c r="C991" s="2">
        <v>6</v>
      </c>
      <c r="D991" s="1">
        <v>43761</v>
      </c>
      <c r="E991" t="str">
        <f>"Miscella"</f>
        <v>Miscella</v>
      </c>
      <c r="F991" s="2">
        <v>6</v>
      </c>
      <c r="G991" t="str">
        <f>"RANDAL ERWIN OERTLI"</f>
        <v>RANDAL ERWIN OERTLI</v>
      </c>
    </row>
    <row r="992" spans="1:7" x14ac:dyDescent="0.25">
      <c r="A992" t="s">
        <v>321</v>
      </c>
      <c r="B992">
        <v>84418</v>
      </c>
      <c r="C992" s="2">
        <v>6</v>
      </c>
      <c r="D992" s="1">
        <v>43761</v>
      </c>
      <c r="E992" t="str">
        <f>"Miscella"</f>
        <v>Miscella</v>
      </c>
      <c r="F992" s="2">
        <v>6</v>
      </c>
      <c r="G992" t="str">
        <f>"JEFFREY SCOTT REESE"</f>
        <v>JEFFREY SCOTT REESE</v>
      </c>
    </row>
    <row r="993" spans="1:7" x14ac:dyDescent="0.25">
      <c r="A993" t="s">
        <v>322</v>
      </c>
      <c r="B993">
        <v>84419</v>
      </c>
      <c r="C993" s="2">
        <v>6</v>
      </c>
      <c r="D993" s="1">
        <v>43761</v>
      </c>
      <c r="E993" t="str">
        <f>"Miscell"</f>
        <v>Miscell</v>
      </c>
      <c r="F993" s="2">
        <v>6</v>
      </c>
      <c r="G993" t="str">
        <f>"LOREY INGRAM HELFORD"</f>
        <v>LOREY INGRAM HELFORD</v>
      </c>
    </row>
    <row r="994" spans="1:7" x14ac:dyDescent="0.25">
      <c r="A994" t="s">
        <v>323</v>
      </c>
      <c r="B994">
        <v>84420</v>
      </c>
      <c r="C994" s="2">
        <v>6</v>
      </c>
      <c r="D994" s="1">
        <v>43761</v>
      </c>
      <c r="E994" t="str">
        <f>"Miscellan"</f>
        <v>Miscellan</v>
      </c>
      <c r="F994" s="2">
        <v>6</v>
      </c>
      <c r="G994" t="str">
        <f>"DEANNA STORY DOERR"</f>
        <v>DEANNA STORY DOERR</v>
      </c>
    </row>
    <row r="995" spans="1:7" x14ac:dyDescent="0.25">
      <c r="A995" t="s">
        <v>324</v>
      </c>
      <c r="B995">
        <v>84421</v>
      </c>
      <c r="C995" s="2">
        <v>6</v>
      </c>
      <c r="D995" s="1">
        <v>43761</v>
      </c>
      <c r="E995" t="str">
        <f>"Misce"</f>
        <v>Misce</v>
      </c>
      <c r="F995" s="2">
        <v>6</v>
      </c>
      <c r="G995" t="str">
        <f>"DARRELL RAY WILLIAMSON"</f>
        <v>DARRELL RAY WILLIAMSON</v>
      </c>
    </row>
    <row r="996" spans="1:7" x14ac:dyDescent="0.25">
      <c r="A996" t="s">
        <v>325</v>
      </c>
      <c r="B996">
        <v>84422</v>
      </c>
      <c r="C996" s="2">
        <v>6</v>
      </c>
      <c r="D996" s="1">
        <v>43761</v>
      </c>
      <c r="E996" t="str">
        <f>"Mi"</f>
        <v>Mi</v>
      </c>
      <c r="F996" s="2">
        <v>6</v>
      </c>
      <c r="G996" t="str">
        <f>"KENNETH WAYNE ANDERSON SR"</f>
        <v>KENNETH WAYNE ANDERSON SR</v>
      </c>
    </row>
    <row r="997" spans="1:7" x14ac:dyDescent="0.25">
      <c r="A997" t="s">
        <v>326</v>
      </c>
      <c r="B997">
        <v>84423</v>
      </c>
      <c r="C997" s="2">
        <v>6</v>
      </c>
      <c r="D997" s="1">
        <v>43761</v>
      </c>
      <c r="E997" t="str">
        <f>"Miscella"</f>
        <v>Miscella</v>
      </c>
      <c r="F997" s="2">
        <v>6</v>
      </c>
      <c r="G997" t="str">
        <f>"VIRGIL KENNETH CULP"</f>
        <v>VIRGIL KENNETH CULP</v>
      </c>
    </row>
    <row r="998" spans="1:7" x14ac:dyDescent="0.25">
      <c r="A998" t="s">
        <v>327</v>
      </c>
      <c r="B998">
        <v>84424</v>
      </c>
      <c r="C998" s="2">
        <v>6</v>
      </c>
      <c r="D998" s="1">
        <v>43761</v>
      </c>
      <c r="E998" t="str">
        <f>"Mis"</f>
        <v>Mis</v>
      </c>
      <c r="F998" s="2">
        <v>6</v>
      </c>
      <c r="G998" t="str">
        <f>"SHASTINA ELIZABETH SMITH"</f>
        <v>SHASTINA ELIZABETH SMITH</v>
      </c>
    </row>
    <row r="999" spans="1:7" x14ac:dyDescent="0.25">
      <c r="A999" t="s">
        <v>328</v>
      </c>
      <c r="B999">
        <v>84425</v>
      </c>
      <c r="C999" s="2">
        <v>6</v>
      </c>
      <c r="D999" s="1">
        <v>43761</v>
      </c>
      <c r="E999" t="str">
        <f>"Miscellane"</f>
        <v>Miscellane</v>
      </c>
      <c r="F999" s="2">
        <v>6</v>
      </c>
      <c r="G999" t="str">
        <f>"RYAN SCOTT WARREN"</f>
        <v>RYAN SCOTT WARREN</v>
      </c>
    </row>
    <row r="1000" spans="1:7" x14ac:dyDescent="0.25">
      <c r="A1000" t="s">
        <v>329</v>
      </c>
      <c r="B1000">
        <v>84426</v>
      </c>
      <c r="C1000" s="2">
        <v>6</v>
      </c>
      <c r="D1000" s="1">
        <v>43761</v>
      </c>
      <c r="E1000" t="str">
        <f>"Miscellan"</f>
        <v>Miscellan</v>
      </c>
      <c r="F1000" s="2">
        <v>6</v>
      </c>
      <c r="G1000" t="str">
        <f>"ALYSSA LYN WAYLAND"</f>
        <v>ALYSSA LYN WAYLAND</v>
      </c>
    </row>
    <row r="1001" spans="1:7" x14ac:dyDescent="0.25">
      <c r="A1001" t="s">
        <v>330</v>
      </c>
      <c r="B1001">
        <v>84427</v>
      </c>
      <c r="C1001" s="2">
        <v>6</v>
      </c>
      <c r="D1001" s="1">
        <v>43761</v>
      </c>
      <c r="E1001" t="str">
        <f>"Miscel"</f>
        <v>Miscel</v>
      </c>
      <c r="F1001" s="2">
        <v>6</v>
      </c>
      <c r="G1001" t="str">
        <f>"THRESSA PUGH SKIDMORE"</f>
        <v>THRESSA PUGH SKIDMORE</v>
      </c>
    </row>
    <row r="1002" spans="1:7" x14ac:dyDescent="0.25">
      <c r="A1002" t="s">
        <v>331</v>
      </c>
      <c r="B1002">
        <v>84428</v>
      </c>
      <c r="C1002" s="2">
        <v>6</v>
      </c>
      <c r="D1002" s="1">
        <v>43761</v>
      </c>
      <c r="E1002" t="str">
        <f>"Miscellan"</f>
        <v>Miscellan</v>
      </c>
      <c r="F1002" s="2">
        <v>6</v>
      </c>
      <c r="G1002" t="str">
        <f>"JOSE GERARDO REYES"</f>
        <v>JOSE GERARDO REYES</v>
      </c>
    </row>
    <row r="1003" spans="1:7" x14ac:dyDescent="0.25">
      <c r="A1003" t="s">
        <v>332</v>
      </c>
      <c r="B1003">
        <v>84429</v>
      </c>
      <c r="C1003" s="2">
        <v>6</v>
      </c>
      <c r="D1003" s="1">
        <v>43761</v>
      </c>
      <c r="E1003" t="str">
        <f>"Miscellaneous"</f>
        <v>Miscellaneous</v>
      </c>
      <c r="F1003" s="2">
        <v>6</v>
      </c>
      <c r="G1003" t="str">
        <f>"STANLEY JONES"</f>
        <v>STANLEY JONES</v>
      </c>
    </row>
    <row r="1004" spans="1:7" x14ac:dyDescent="0.25">
      <c r="A1004" t="s">
        <v>333</v>
      </c>
      <c r="B1004">
        <v>84430</v>
      </c>
      <c r="C1004" s="2">
        <v>6</v>
      </c>
      <c r="D1004" s="1">
        <v>43761</v>
      </c>
      <c r="E1004" t="str">
        <f>"Miscellaneo"</f>
        <v>Miscellaneo</v>
      </c>
      <c r="F1004" s="2">
        <v>6</v>
      </c>
      <c r="G1004" t="str">
        <f>"RANDY COY MEADOR"</f>
        <v>RANDY COY MEADOR</v>
      </c>
    </row>
    <row r="1005" spans="1:7" x14ac:dyDescent="0.25">
      <c r="A1005" t="s">
        <v>334</v>
      </c>
      <c r="B1005">
        <v>84431</v>
      </c>
      <c r="C1005" s="2">
        <v>6</v>
      </c>
      <c r="D1005" s="1">
        <v>43761</v>
      </c>
      <c r="E1005" t="str">
        <f>"Misce"</f>
        <v>Misce</v>
      </c>
      <c r="F1005" s="2">
        <v>6</v>
      </c>
      <c r="G1005" t="str">
        <f>"BRITTANY NICOLE SHELLY"</f>
        <v>BRITTANY NICOLE SHELLY</v>
      </c>
    </row>
    <row r="1006" spans="1:7" x14ac:dyDescent="0.25">
      <c r="A1006" t="s">
        <v>335</v>
      </c>
      <c r="B1006">
        <v>84432</v>
      </c>
      <c r="C1006" s="2">
        <v>6</v>
      </c>
      <c r="D1006" s="1">
        <v>43761</v>
      </c>
      <c r="E1006" t="str">
        <f>"Misce"</f>
        <v>Misce</v>
      </c>
      <c r="F1006" s="2">
        <v>6</v>
      </c>
      <c r="G1006" t="str">
        <f>"RONNIE CLARANCE HERZOG"</f>
        <v>RONNIE CLARANCE HERZOG</v>
      </c>
    </row>
    <row r="1007" spans="1:7" x14ac:dyDescent="0.25">
      <c r="A1007" t="s">
        <v>336</v>
      </c>
      <c r="B1007">
        <v>84433</v>
      </c>
      <c r="C1007" s="2">
        <v>6</v>
      </c>
      <c r="D1007" s="1">
        <v>43761</v>
      </c>
      <c r="E1007" t="str">
        <f>""</f>
        <v/>
      </c>
      <c r="F1007" s="2">
        <v>6</v>
      </c>
      <c r="G1007" t="str">
        <f>"MEREDITH A MITCHELL-WILLIAMS"</f>
        <v>MEREDITH A MITCHELL-WILLIAMS</v>
      </c>
    </row>
    <row r="1008" spans="1:7" x14ac:dyDescent="0.25">
      <c r="A1008" t="s">
        <v>337</v>
      </c>
      <c r="B1008">
        <v>84434</v>
      </c>
      <c r="C1008" s="2">
        <v>86</v>
      </c>
      <c r="D1008" s="1">
        <v>43761</v>
      </c>
      <c r="E1008" t="str">
        <f>"Miscellan"</f>
        <v>Miscellan</v>
      </c>
      <c r="F1008" s="2">
        <v>86</v>
      </c>
      <c r="G1008" t="str">
        <f>"AIME ELISE PITTMAN"</f>
        <v>AIME ELISE PITTMAN</v>
      </c>
    </row>
    <row r="1009" spans="1:7" x14ac:dyDescent="0.25">
      <c r="A1009" t="s">
        <v>338</v>
      </c>
      <c r="B1009">
        <v>84435</v>
      </c>
      <c r="C1009" s="2">
        <v>6</v>
      </c>
      <c r="D1009" s="1">
        <v>43761</v>
      </c>
      <c r="E1009" t="str">
        <f>"Miscella"</f>
        <v>Miscella</v>
      </c>
      <c r="F1009" s="2">
        <v>6</v>
      </c>
      <c r="G1009" t="str">
        <f>"GERARD PETE CANALES"</f>
        <v>GERARD PETE CANALES</v>
      </c>
    </row>
    <row r="1010" spans="1:7" x14ac:dyDescent="0.25">
      <c r="A1010" t="s">
        <v>339</v>
      </c>
      <c r="B1010">
        <v>84436</v>
      </c>
      <c r="C1010" s="2">
        <v>86</v>
      </c>
      <c r="D1010" s="1">
        <v>43761</v>
      </c>
      <c r="E1010" t="str">
        <f>"M"</f>
        <v>M</v>
      </c>
      <c r="F1010" s="2">
        <v>86</v>
      </c>
      <c r="G1010" t="str">
        <f>"ANDREA LOUISE BROOKS-CLOER"</f>
        <v>ANDREA LOUISE BROOKS-CLOER</v>
      </c>
    </row>
    <row r="1011" spans="1:7" x14ac:dyDescent="0.25">
      <c r="A1011" t="s">
        <v>340</v>
      </c>
      <c r="B1011">
        <v>84437</v>
      </c>
      <c r="C1011" s="2">
        <v>6</v>
      </c>
      <c r="D1011" s="1">
        <v>43761</v>
      </c>
      <c r="E1011" t="str">
        <f>"Miscellan"</f>
        <v>Miscellan</v>
      </c>
      <c r="F1011" s="2">
        <v>6</v>
      </c>
      <c r="G1011" t="str">
        <f>"MARK WARREN ROGERS"</f>
        <v>MARK WARREN ROGERS</v>
      </c>
    </row>
    <row r="1012" spans="1:7" x14ac:dyDescent="0.25">
      <c r="A1012" t="s">
        <v>341</v>
      </c>
      <c r="B1012">
        <v>84438</v>
      </c>
      <c r="C1012" s="2">
        <v>6</v>
      </c>
      <c r="D1012" s="1">
        <v>43761</v>
      </c>
      <c r="E1012" t="str">
        <f>"Miscellan"</f>
        <v>Miscellan</v>
      </c>
      <c r="F1012" s="2">
        <v>6</v>
      </c>
      <c r="G1012" t="str">
        <f>"ANGELA DENISE COLE"</f>
        <v>ANGELA DENISE COLE</v>
      </c>
    </row>
    <row r="1013" spans="1:7" x14ac:dyDescent="0.25">
      <c r="A1013" t="s">
        <v>342</v>
      </c>
      <c r="B1013">
        <v>84439</v>
      </c>
      <c r="C1013" s="2">
        <v>6</v>
      </c>
      <c r="D1013" s="1">
        <v>43761</v>
      </c>
      <c r="E1013" t="str">
        <f>"Misce"</f>
        <v>Misce</v>
      </c>
      <c r="F1013" s="2">
        <v>6</v>
      </c>
      <c r="G1013" t="str">
        <f>"DORIS WILHELM FORADORY"</f>
        <v>DORIS WILHELM FORADORY</v>
      </c>
    </row>
    <row r="1014" spans="1:7" x14ac:dyDescent="0.25">
      <c r="A1014" t="s">
        <v>343</v>
      </c>
      <c r="B1014">
        <v>84440</v>
      </c>
      <c r="C1014" s="2">
        <v>86</v>
      </c>
      <c r="D1014" s="1">
        <v>43761</v>
      </c>
      <c r="E1014" t="str">
        <f>"Miscell"</f>
        <v>Miscell</v>
      </c>
      <c r="F1014" s="2">
        <v>86</v>
      </c>
      <c r="G1014" t="str">
        <f>"REBECCA LUCINDA HOHN"</f>
        <v>REBECCA LUCINDA HOHN</v>
      </c>
    </row>
    <row r="1015" spans="1:7" x14ac:dyDescent="0.25">
      <c r="A1015" t="s">
        <v>344</v>
      </c>
      <c r="B1015">
        <v>84441</v>
      </c>
      <c r="C1015" s="2">
        <v>86</v>
      </c>
      <c r="D1015" s="1">
        <v>43761</v>
      </c>
      <c r="E1015" t="str">
        <f>"Miscellane"</f>
        <v>Miscellane</v>
      </c>
      <c r="F1015" s="2">
        <v>86</v>
      </c>
      <c r="G1015" t="str">
        <f>"MARTHA DIANE GRAY"</f>
        <v>MARTHA DIANE GRAY</v>
      </c>
    </row>
    <row r="1016" spans="1:7" x14ac:dyDescent="0.25">
      <c r="A1016" t="s">
        <v>345</v>
      </c>
      <c r="B1016">
        <v>84442</v>
      </c>
      <c r="C1016" s="2">
        <v>6</v>
      </c>
      <c r="D1016" s="1">
        <v>43761</v>
      </c>
      <c r="E1016" t="str">
        <f>"Miscell"</f>
        <v>Miscell</v>
      </c>
      <c r="F1016" s="2">
        <v>6</v>
      </c>
      <c r="G1016" t="str">
        <f>"RUSSELL DILLON MOERS"</f>
        <v>RUSSELL DILLON MOERS</v>
      </c>
    </row>
    <row r="1017" spans="1:7" x14ac:dyDescent="0.25">
      <c r="A1017" t="s">
        <v>346</v>
      </c>
      <c r="B1017">
        <v>84443</v>
      </c>
      <c r="C1017" s="2">
        <v>6</v>
      </c>
      <c r="D1017" s="1">
        <v>43761</v>
      </c>
      <c r="E1017" t="str">
        <f>"Miscellaneo"</f>
        <v>Miscellaneo</v>
      </c>
      <c r="F1017" s="2">
        <v>6</v>
      </c>
      <c r="G1017" t="str">
        <f>"JACOB ALLEN NUTT"</f>
        <v>JACOB ALLEN NUTT</v>
      </c>
    </row>
    <row r="1018" spans="1:7" x14ac:dyDescent="0.25">
      <c r="A1018" t="s">
        <v>347</v>
      </c>
      <c r="B1018">
        <v>84444</v>
      </c>
      <c r="C1018" s="2">
        <v>86</v>
      </c>
      <c r="D1018" s="1">
        <v>43761</v>
      </c>
      <c r="E1018" t="str">
        <f>"Miscellaneo"</f>
        <v>Miscellaneo</v>
      </c>
      <c r="F1018" s="2">
        <v>86</v>
      </c>
      <c r="G1018" t="str">
        <f>"RONALD GLEN DUTY"</f>
        <v>RONALD GLEN DUTY</v>
      </c>
    </row>
    <row r="1019" spans="1:7" x14ac:dyDescent="0.25">
      <c r="A1019" t="s">
        <v>348</v>
      </c>
      <c r="B1019">
        <v>84445</v>
      </c>
      <c r="C1019" s="2">
        <v>6</v>
      </c>
      <c r="D1019" s="1">
        <v>43761</v>
      </c>
      <c r="E1019" t="str">
        <f>""</f>
        <v/>
      </c>
      <c r="F1019" s="2">
        <v>6</v>
      </c>
      <c r="G1019" t="str">
        <f>"VIOLA ROCHELLE GUYTON-MITCHELL"</f>
        <v>VIOLA ROCHELLE GUYTON-MITCHELL</v>
      </c>
    </row>
    <row r="1020" spans="1:7" x14ac:dyDescent="0.25">
      <c r="A1020" t="s">
        <v>349</v>
      </c>
      <c r="B1020">
        <v>84446</v>
      </c>
      <c r="C1020" s="2">
        <v>6</v>
      </c>
      <c r="D1020" s="1">
        <v>43761</v>
      </c>
      <c r="E1020" t="str">
        <f>"Miscella"</f>
        <v>Miscella</v>
      </c>
      <c r="F1020" s="2">
        <v>6</v>
      </c>
      <c r="G1020" t="str">
        <f>"MEGAN LEE ROBERTSON"</f>
        <v>MEGAN LEE ROBERTSON</v>
      </c>
    </row>
    <row r="1021" spans="1:7" x14ac:dyDescent="0.25">
      <c r="A1021" t="s">
        <v>350</v>
      </c>
      <c r="B1021">
        <v>84447</v>
      </c>
      <c r="C1021" s="2">
        <v>6</v>
      </c>
      <c r="D1021" s="1">
        <v>43761</v>
      </c>
      <c r="E1021" t="str">
        <f>"Miscell"</f>
        <v>Miscell</v>
      </c>
      <c r="F1021" s="2">
        <v>6</v>
      </c>
      <c r="G1021" t="str">
        <f>"PEARL THOMPSON RUSSO"</f>
        <v>PEARL THOMPSON RUSSO</v>
      </c>
    </row>
    <row r="1022" spans="1:7" x14ac:dyDescent="0.25">
      <c r="A1022" t="s">
        <v>351</v>
      </c>
      <c r="B1022">
        <v>84448</v>
      </c>
      <c r="C1022" s="2">
        <v>6</v>
      </c>
      <c r="D1022" s="1">
        <v>43761</v>
      </c>
      <c r="E1022" t="str">
        <f>"Miscellan"</f>
        <v>Miscellan</v>
      </c>
      <c r="F1022" s="2">
        <v>6</v>
      </c>
      <c r="G1022" t="str">
        <f>"MELISSA ASHA MEYER"</f>
        <v>MELISSA ASHA MEYER</v>
      </c>
    </row>
    <row r="1023" spans="1:7" x14ac:dyDescent="0.25">
      <c r="A1023" t="s">
        <v>352</v>
      </c>
      <c r="B1023">
        <v>84449</v>
      </c>
      <c r="C1023" s="2">
        <v>6</v>
      </c>
      <c r="D1023" s="1">
        <v>43761</v>
      </c>
      <c r="E1023" t="str">
        <f>"Miscell"</f>
        <v>Miscell</v>
      </c>
      <c r="F1023" s="2">
        <v>6</v>
      </c>
      <c r="G1023" t="str">
        <f>"AARON DAVID MOORHEAD"</f>
        <v>AARON DAVID MOORHEAD</v>
      </c>
    </row>
    <row r="1024" spans="1:7" x14ac:dyDescent="0.25">
      <c r="A1024" t="s">
        <v>353</v>
      </c>
      <c r="B1024">
        <v>84450</v>
      </c>
      <c r="C1024" s="2">
        <v>6</v>
      </c>
      <c r="D1024" s="1">
        <v>43761</v>
      </c>
      <c r="E1024" t="str">
        <f>"Miscellan"</f>
        <v>Miscellan</v>
      </c>
      <c r="F1024" s="2">
        <v>6</v>
      </c>
      <c r="G1024" t="str">
        <f>"TAYLOR WILSON DUTY"</f>
        <v>TAYLOR WILSON DUTY</v>
      </c>
    </row>
    <row r="1025" spans="1:7" x14ac:dyDescent="0.25">
      <c r="A1025" t="s">
        <v>354</v>
      </c>
      <c r="B1025">
        <v>84451</v>
      </c>
      <c r="C1025" s="2">
        <v>6</v>
      </c>
      <c r="D1025" s="1">
        <v>43761</v>
      </c>
      <c r="E1025" t="str">
        <f>"Miscellane"</f>
        <v>Miscellane</v>
      </c>
      <c r="F1025" s="2">
        <v>6</v>
      </c>
      <c r="G1025" t="str">
        <f>"BERND GRAVENSTEIN"</f>
        <v>BERND GRAVENSTEIN</v>
      </c>
    </row>
    <row r="1026" spans="1:7" x14ac:dyDescent="0.25">
      <c r="A1026" t="s">
        <v>355</v>
      </c>
      <c r="B1026">
        <v>84452</v>
      </c>
      <c r="C1026" s="2">
        <v>6</v>
      </c>
      <c r="D1026" s="1">
        <v>43761</v>
      </c>
      <c r="E1026" t="str">
        <f>"Misce"</f>
        <v>Misce</v>
      </c>
      <c r="F1026" s="2">
        <v>6</v>
      </c>
      <c r="G1026" t="str">
        <f>"ARLEEN ESTRADA DARNELL"</f>
        <v>ARLEEN ESTRADA DARNELL</v>
      </c>
    </row>
    <row r="1027" spans="1:7" x14ac:dyDescent="0.25">
      <c r="A1027" t="s">
        <v>356</v>
      </c>
      <c r="B1027">
        <v>84453</v>
      </c>
      <c r="C1027" s="2">
        <v>6</v>
      </c>
      <c r="D1027" s="1">
        <v>43761</v>
      </c>
      <c r="E1027" t="str">
        <f>"Miscellaneous"</f>
        <v>Miscellaneous</v>
      </c>
      <c r="F1027" s="2">
        <v>6</v>
      </c>
      <c r="G1027" t="str">
        <f>"TODD LEE HUME"</f>
        <v>TODD LEE HUME</v>
      </c>
    </row>
    <row r="1028" spans="1:7" x14ac:dyDescent="0.25">
      <c r="A1028" t="s">
        <v>357</v>
      </c>
      <c r="B1028">
        <v>84454</v>
      </c>
      <c r="C1028" s="2">
        <v>6</v>
      </c>
      <c r="D1028" s="1">
        <v>43761</v>
      </c>
      <c r="E1028" t="str">
        <f>"Misce"</f>
        <v>Misce</v>
      </c>
      <c r="F1028" s="2">
        <v>6</v>
      </c>
      <c r="G1028" t="str">
        <f>"LAWRENCE THOMAS POWELL"</f>
        <v>LAWRENCE THOMAS POWELL</v>
      </c>
    </row>
    <row r="1029" spans="1:7" x14ac:dyDescent="0.25">
      <c r="A1029" t="s">
        <v>358</v>
      </c>
      <c r="B1029">
        <v>84455</v>
      </c>
      <c r="C1029" s="2">
        <v>6</v>
      </c>
      <c r="D1029" s="1">
        <v>43761</v>
      </c>
      <c r="E1029" t="str">
        <f>"Miscella"</f>
        <v>Miscella</v>
      </c>
      <c r="F1029" s="2">
        <v>6</v>
      </c>
      <c r="G1029" t="str">
        <f>"CASSANDRA K WILHELM"</f>
        <v>CASSANDRA K WILHELM</v>
      </c>
    </row>
    <row r="1030" spans="1:7" x14ac:dyDescent="0.25">
      <c r="A1030" t="s">
        <v>359</v>
      </c>
      <c r="B1030">
        <v>84456</v>
      </c>
      <c r="C1030" s="2">
        <v>6</v>
      </c>
      <c r="D1030" s="1">
        <v>43761</v>
      </c>
      <c r="E1030" t="str">
        <f>"Miscella"</f>
        <v>Miscella</v>
      </c>
      <c r="F1030" s="2">
        <v>6</v>
      </c>
      <c r="G1030" t="str">
        <f>"ANTHONY JAQUAY REED"</f>
        <v>ANTHONY JAQUAY REED</v>
      </c>
    </row>
    <row r="1031" spans="1:7" x14ac:dyDescent="0.25">
      <c r="A1031" t="s">
        <v>360</v>
      </c>
      <c r="B1031">
        <v>84457</v>
      </c>
      <c r="C1031" s="2">
        <v>6</v>
      </c>
      <c r="D1031" s="1">
        <v>43761</v>
      </c>
      <c r="E1031" t="str">
        <f>"Miscell"</f>
        <v>Miscell</v>
      </c>
      <c r="F1031" s="2">
        <v>6</v>
      </c>
      <c r="G1031" t="str">
        <f>"NANCY ELAINE LOCKETT"</f>
        <v>NANCY ELAINE LOCKETT</v>
      </c>
    </row>
    <row r="1032" spans="1:7" x14ac:dyDescent="0.25">
      <c r="A1032" t="s">
        <v>361</v>
      </c>
      <c r="B1032">
        <v>84458</v>
      </c>
      <c r="C1032" s="2">
        <v>6</v>
      </c>
      <c r="D1032" s="1">
        <v>43761</v>
      </c>
      <c r="E1032" t="str">
        <f>"Miscell"</f>
        <v>Miscell</v>
      </c>
      <c r="F1032" s="2">
        <v>6</v>
      </c>
      <c r="G1032" t="str">
        <f>"TRAVIS LEE ROBERTSON"</f>
        <v>TRAVIS LEE ROBERTSON</v>
      </c>
    </row>
    <row r="1033" spans="1:7" x14ac:dyDescent="0.25">
      <c r="A1033" t="s">
        <v>362</v>
      </c>
      <c r="B1033">
        <v>84459</v>
      </c>
      <c r="C1033" s="2">
        <v>6</v>
      </c>
      <c r="D1033" s="1">
        <v>43761</v>
      </c>
      <c r="E1033" t="str">
        <f>"Miscellaneou"</f>
        <v>Miscellaneou</v>
      </c>
      <c r="F1033" s="2">
        <v>6</v>
      </c>
      <c r="G1033" t="str">
        <f>"DOROTHY HAYWOOD"</f>
        <v>DOROTHY HAYWOOD</v>
      </c>
    </row>
    <row r="1034" spans="1:7" x14ac:dyDescent="0.25">
      <c r="A1034" t="s">
        <v>363</v>
      </c>
      <c r="B1034">
        <v>84460</v>
      </c>
      <c r="C1034" s="2">
        <v>6</v>
      </c>
      <c r="D1034" s="1">
        <v>43761</v>
      </c>
      <c r="E1034" t="str">
        <f>"Miscella"</f>
        <v>Miscella</v>
      </c>
      <c r="F1034" s="2">
        <v>6</v>
      </c>
      <c r="G1034" t="str">
        <f>"GARY WALLACE HARRIS"</f>
        <v>GARY WALLACE HARRIS</v>
      </c>
    </row>
    <row r="1035" spans="1:7" x14ac:dyDescent="0.25">
      <c r="A1035" t="s">
        <v>364</v>
      </c>
      <c r="B1035">
        <v>84465</v>
      </c>
      <c r="C1035" s="2">
        <v>40</v>
      </c>
      <c r="D1035" s="1">
        <v>43763</v>
      </c>
      <c r="E1035" t="str">
        <f>"Miscellaneo"</f>
        <v>Miscellaneo</v>
      </c>
      <c r="F1035" s="2">
        <v>40</v>
      </c>
      <c r="G1035" t="str">
        <f>"LONNY RAY BOSTIC"</f>
        <v>LONNY RAY BOSTIC</v>
      </c>
    </row>
    <row r="1036" spans="1:7" x14ac:dyDescent="0.25">
      <c r="A1036" t="s">
        <v>365</v>
      </c>
      <c r="B1036">
        <v>84466</v>
      </c>
      <c r="C1036" s="2">
        <v>40</v>
      </c>
      <c r="D1036" s="1">
        <v>43763</v>
      </c>
      <c r="E1036" t="str">
        <f>"Miscellaneous"</f>
        <v>Miscellaneous</v>
      </c>
      <c r="F1036" s="2">
        <v>40</v>
      </c>
      <c r="G1036" t="str">
        <f>"JAMIE DEE FORD"</f>
        <v>JAMIE DEE FORD</v>
      </c>
    </row>
    <row r="1037" spans="1:7" x14ac:dyDescent="0.25">
      <c r="A1037" t="s">
        <v>366</v>
      </c>
      <c r="B1037">
        <v>84467</v>
      </c>
      <c r="C1037" s="2">
        <v>40</v>
      </c>
      <c r="D1037" s="1">
        <v>43763</v>
      </c>
      <c r="E1037" t="str">
        <f>"Miscella"</f>
        <v>Miscella</v>
      </c>
      <c r="F1037" s="2">
        <v>40</v>
      </c>
      <c r="G1037" t="str">
        <f>"GERALDINE ANN MCCOY"</f>
        <v>GERALDINE ANN MCCOY</v>
      </c>
    </row>
    <row r="1038" spans="1:7" x14ac:dyDescent="0.25">
      <c r="A1038" t="s">
        <v>367</v>
      </c>
      <c r="B1038">
        <v>84468</v>
      </c>
      <c r="C1038" s="2">
        <v>40</v>
      </c>
      <c r="D1038" s="1">
        <v>43763</v>
      </c>
      <c r="E1038" t="str">
        <f>"Misc"</f>
        <v>Misc</v>
      </c>
      <c r="F1038" s="2">
        <v>40</v>
      </c>
      <c r="G1038" t="str">
        <f>"SHERILYN KAATZ KISAMORE"</f>
        <v>SHERILYN KAATZ KISAMORE</v>
      </c>
    </row>
    <row r="1039" spans="1:7" x14ac:dyDescent="0.25">
      <c r="A1039" t="s">
        <v>368</v>
      </c>
      <c r="B1039">
        <v>84469</v>
      </c>
      <c r="C1039" s="2">
        <v>40</v>
      </c>
      <c r="D1039" s="1">
        <v>43763</v>
      </c>
      <c r="E1039" t="str">
        <f>"Miscellaneou"</f>
        <v>Miscellaneou</v>
      </c>
      <c r="F1039" s="2">
        <v>40</v>
      </c>
      <c r="G1039" t="str">
        <f>"RUSSELL JAY ASH"</f>
        <v>RUSSELL JAY ASH</v>
      </c>
    </row>
    <row r="1040" spans="1:7" x14ac:dyDescent="0.25">
      <c r="A1040" t="s">
        <v>369</v>
      </c>
      <c r="B1040">
        <v>84470</v>
      </c>
      <c r="C1040" s="2">
        <v>40</v>
      </c>
      <c r="D1040" s="1">
        <v>43763</v>
      </c>
      <c r="E1040" t="str">
        <f>"Misce"</f>
        <v>Misce</v>
      </c>
      <c r="F1040" s="2">
        <v>40</v>
      </c>
      <c r="G1040" t="str">
        <f>"STACY ROY CARPENTER JR"</f>
        <v>STACY ROY CARPENTER JR</v>
      </c>
    </row>
    <row r="1041" spans="1:7" x14ac:dyDescent="0.25">
      <c r="A1041" t="s">
        <v>370</v>
      </c>
      <c r="B1041">
        <v>84471</v>
      </c>
      <c r="C1041" s="2">
        <v>40</v>
      </c>
      <c r="D1041" s="1">
        <v>43763</v>
      </c>
      <c r="E1041" t="str">
        <f>"Miscel"</f>
        <v>Miscel</v>
      </c>
      <c r="F1041" s="2">
        <v>40</v>
      </c>
      <c r="G1041" t="str">
        <f>"SCOTT JAY QUINTANILLA"</f>
        <v>SCOTT JAY QUINTANILLA</v>
      </c>
    </row>
    <row r="1042" spans="1:7" x14ac:dyDescent="0.25">
      <c r="A1042" t="s">
        <v>371</v>
      </c>
      <c r="B1042">
        <v>84472</v>
      </c>
      <c r="C1042" s="2">
        <v>40</v>
      </c>
      <c r="D1042" s="1">
        <v>43763</v>
      </c>
      <c r="E1042" t="str">
        <f>"Miscellane"</f>
        <v>Miscellane</v>
      </c>
      <c r="F1042" s="2">
        <v>40</v>
      </c>
      <c r="G1042" t="str">
        <f>"JON HAROLD KEENER"</f>
        <v>JON HAROLD KEENER</v>
      </c>
    </row>
    <row r="1043" spans="1:7" x14ac:dyDescent="0.25">
      <c r="A1043" t="s">
        <v>372</v>
      </c>
      <c r="B1043">
        <v>84473</v>
      </c>
      <c r="C1043" s="2">
        <v>40</v>
      </c>
      <c r="D1043" s="1">
        <v>43763</v>
      </c>
      <c r="E1043" t="str">
        <f>"Miscellane"</f>
        <v>Miscellane</v>
      </c>
      <c r="F1043" s="2">
        <v>40</v>
      </c>
      <c r="G1043" t="str">
        <f>"DONNA JAYE MEZERA"</f>
        <v>DONNA JAYE MEZERA</v>
      </c>
    </row>
    <row r="1044" spans="1:7" x14ac:dyDescent="0.25">
      <c r="A1044" t="s">
        <v>373</v>
      </c>
      <c r="B1044">
        <v>84474</v>
      </c>
      <c r="C1044" s="2">
        <v>40</v>
      </c>
      <c r="D1044" s="1">
        <v>43763</v>
      </c>
      <c r="E1044" t="str">
        <f>"Mis"</f>
        <v>Mis</v>
      </c>
      <c r="F1044" s="2">
        <v>40</v>
      </c>
      <c r="G1044" t="str">
        <f>"JEFFERY LEE TUFFENTSAMER"</f>
        <v>JEFFERY LEE TUFFENTSAMER</v>
      </c>
    </row>
    <row r="1045" spans="1:7" x14ac:dyDescent="0.25">
      <c r="A1045" t="s">
        <v>374</v>
      </c>
      <c r="B1045">
        <v>84475</v>
      </c>
      <c r="C1045" s="2">
        <v>40</v>
      </c>
      <c r="D1045" s="1">
        <v>43763</v>
      </c>
      <c r="E1045" t="str">
        <f>"Miscellan"</f>
        <v>Miscellan</v>
      </c>
      <c r="F1045" s="2">
        <v>40</v>
      </c>
      <c r="G1045" t="str">
        <f>"SCOTT TYLER TUCKER"</f>
        <v>SCOTT TYLER TUCKER</v>
      </c>
    </row>
    <row r="1046" spans="1:7" x14ac:dyDescent="0.25">
      <c r="A1046" t="s">
        <v>375</v>
      </c>
      <c r="B1046">
        <v>84295</v>
      </c>
      <c r="C1046" s="2">
        <v>304</v>
      </c>
      <c r="D1046" s="1">
        <v>43753</v>
      </c>
      <c r="E1046" t="str">
        <f>"INV STDINV00104995"</f>
        <v>INV STDINV00104995</v>
      </c>
      <c r="F1046" s="2">
        <v>304</v>
      </c>
      <c r="G1046" t="str">
        <f>"INV STDINV00104995"</f>
        <v>INV STDINV00104995</v>
      </c>
    </row>
    <row r="1047" spans="1:7" x14ac:dyDescent="0.25">
      <c r="A1047" t="s">
        <v>376</v>
      </c>
      <c r="B1047">
        <v>84296</v>
      </c>
      <c r="C1047" s="2">
        <v>155</v>
      </c>
      <c r="D1047" s="1">
        <v>43753</v>
      </c>
      <c r="E1047" t="str">
        <f>"DUMPSTER RENTAL"</f>
        <v>DUMPSTER RENTAL</v>
      </c>
      <c r="F1047" s="2">
        <v>155</v>
      </c>
      <c r="G1047" t="str">
        <f>"DUMPSTER RENTAL"</f>
        <v>DUMPSTER RENTAL</v>
      </c>
    </row>
    <row r="1048" spans="1:7" x14ac:dyDescent="0.25">
      <c r="A1048" t="s">
        <v>376</v>
      </c>
      <c r="B1048">
        <v>84576</v>
      </c>
      <c r="C1048" s="2">
        <v>155</v>
      </c>
      <c r="D1048" s="1">
        <v>43766</v>
      </c>
      <c r="E1048" t="str">
        <f>"DUMPSTER RENTAL-NOVEMBER"</f>
        <v>DUMPSTER RENTAL-NOVEMBER</v>
      </c>
      <c r="F1048" s="2">
        <v>155</v>
      </c>
      <c r="G1048" t="str">
        <f>"DUMPSTER RENTAL-NOVEMBER"</f>
        <v>DUMPSTER RENTAL-NOVEMBER</v>
      </c>
    </row>
    <row r="1049" spans="1:7" x14ac:dyDescent="0.25">
      <c r="A1049" t="s">
        <v>377</v>
      </c>
      <c r="B1049">
        <v>84297</v>
      </c>
      <c r="C1049" s="2">
        <v>120.96</v>
      </c>
      <c r="D1049" s="1">
        <v>43753</v>
      </c>
      <c r="E1049" t="str">
        <f>"MILEAGE"</f>
        <v>MILEAGE</v>
      </c>
      <c r="F1049" s="2">
        <v>120.96</v>
      </c>
      <c r="G1049" t="str">
        <f>"MILEAGE"</f>
        <v>MILEAGE</v>
      </c>
    </row>
    <row r="1050" spans="1:7" x14ac:dyDescent="0.25">
      <c r="A1050" t="s">
        <v>378</v>
      </c>
      <c r="B1050">
        <v>84298</v>
      </c>
      <c r="C1050" s="2">
        <v>3690</v>
      </c>
      <c r="D1050" s="1">
        <v>43753</v>
      </c>
      <c r="E1050" t="str">
        <f>"inv# INV-18023"</f>
        <v>inv# INV-18023</v>
      </c>
      <c r="F1050" s="2">
        <v>3690</v>
      </c>
      <c r="G1050" t="str">
        <f>"inv# INV-18023"</f>
        <v>inv# INV-18023</v>
      </c>
    </row>
    <row r="1051" spans="1:7" x14ac:dyDescent="0.25">
      <c r="A1051" t="s">
        <v>379</v>
      </c>
      <c r="B1051">
        <v>84577</v>
      </c>
      <c r="C1051" s="2">
        <v>50</v>
      </c>
      <c r="D1051" s="1">
        <v>43766</v>
      </c>
      <c r="E1051" t="str">
        <f>"SERVICE"</f>
        <v>SERVICE</v>
      </c>
      <c r="F1051" s="2">
        <v>50</v>
      </c>
      <c r="G1051" t="str">
        <f>"SERVICE"</f>
        <v>SERVICE</v>
      </c>
    </row>
    <row r="1052" spans="1:7" x14ac:dyDescent="0.25">
      <c r="A1052" t="s">
        <v>380</v>
      </c>
      <c r="B1052">
        <v>84578</v>
      </c>
      <c r="C1052" s="2">
        <v>312.77999999999997</v>
      </c>
      <c r="D1052" s="1">
        <v>43766</v>
      </c>
      <c r="E1052" t="str">
        <f>"INV S156829332.001"</f>
        <v>INV S156829332.001</v>
      </c>
      <c r="F1052" s="2">
        <v>312.77999999999997</v>
      </c>
      <c r="G1052" t="str">
        <f>"INV S156829332.001"</f>
        <v>INV S156829332.001</v>
      </c>
    </row>
    <row r="1053" spans="1:7" x14ac:dyDescent="0.25">
      <c r="E1053" t="str">
        <f>""</f>
        <v/>
      </c>
      <c r="G1053" t="str">
        <f>"INV S156829332.002"</f>
        <v>INV S156829332.002</v>
      </c>
    </row>
    <row r="1054" spans="1:7" x14ac:dyDescent="0.25">
      <c r="A1054" t="s">
        <v>381</v>
      </c>
      <c r="B1054">
        <v>84579</v>
      </c>
      <c r="C1054" s="2">
        <v>24699.83</v>
      </c>
      <c r="D1054" s="1">
        <v>43766</v>
      </c>
      <c r="E1054" t="str">
        <f>"ACCT#1036215277/RADIO SVC AGMT"</f>
        <v>ACCT#1036215277/RADIO SVC AGMT</v>
      </c>
      <c r="F1054" s="2">
        <v>20769.310000000001</v>
      </c>
      <c r="G1054" t="str">
        <f>"ACCT#1036215277/RADIO SVC AGMT"</f>
        <v>ACCT#1036215277/RADIO SVC AGMT</v>
      </c>
    </row>
    <row r="1055" spans="1:7" x14ac:dyDescent="0.25">
      <c r="E1055" t="str">
        <f>"MOTOROLA SOLUTIONS  IN.C"</f>
        <v>MOTOROLA SOLUTIONS  IN.C</v>
      </c>
      <c r="F1055" s="2">
        <v>3930.52</v>
      </c>
      <c r="G1055" t="str">
        <f>"APX 6500 Radio"</f>
        <v>APX 6500 Radio</v>
      </c>
    </row>
    <row r="1056" spans="1:7" x14ac:dyDescent="0.25">
      <c r="A1056" t="s">
        <v>382</v>
      </c>
      <c r="B1056">
        <v>84580</v>
      </c>
      <c r="C1056" s="2">
        <v>1226.23</v>
      </c>
      <c r="D1056" s="1">
        <v>43766</v>
      </c>
      <c r="E1056" t="str">
        <f>"INDIGENT HEALTH"</f>
        <v>INDIGENT HEALTH</v>
      </c>
      <c r="F1056" s="2">
        <v>1226.23</v>
      </c>
      <c r="G1056" t="str">
        <f>"INDIGENT HEALTH"</f>
        <v>INDIGENT HEALTH</v>
      </c>
    </row>
    <row r="1057" spans="1:7" x14ac:dyDescent="0.25">
      <c r="E1057" t="str">
        <f>""</f>
        <v/>
      </c>
      <c r="G1057" t="str">
        <f>"INDIGENT HEALTH"</f>
        <v>INDIGENT HEALTH</v>
      </c>
    </row>
    <row r="1058" spans="1:7" x14ac:dyDescent="0.25">
      <c r="A1058" t="s">
        <v>383</v>
      </c>
      <c r="B1058">
        <v>84581</v>
      </c>
      <c r="C1058" s="2">
        <v>902.95</v>
      </c>
      <c r="D1058" s="1">
        <v>43766</v>
      </c>
      <c r="E1058" t="str">
        <f>"ACCT#150344157/WATER TRMT SVCS"</f>
        <v>ACCT#150344157/WATER TRMT SVCS</v>
      </c>
      <c r="F1058" s="2">
        <v>902.95</v>
      </c>
      <c r="G1058" t="str">
        <f>"ACCT#150344157/WATER TRMT SVCS"</f>
        <v>ACCT#150344157/WATER TRMT SVCS</v>
      </c>
    </row>
    <row r="1059" spans="1:7" x14ac:dyDescent="0.25">
      <c r="A1059" t="s">
        <v>384</v>
      </c>
      <c r="B1059">
        <v>84299</v>
      </c>
      <c r="C1059" s="2">
        <v>637.5</v>
      </c>
      <c r="D1059" s="1">
        <v>43753</v>
      </c>
      <c r="E1059" t="str">
        <f>"JOB 10-2-19-01"</f>
        <v>JOB 10-2-19-01</v>
      </c>
      <c r="F1059" s="2">
        <v>212.5</v>
      </c>
      <c r="G1059" t="str">
        <f>"JOB 10-2-19-01"</f>
        <v>JOB 10-2-19-01</v>
      </c>
    </row>
    <row r="1060" spans="1:7" x14ac:dyDescent="0.25">
      <c r="E1060" t="str">
        <f>"JOB 9-24-19-01"</f>
        <v>JOB 9-24-19-01</v>
      </c>
      <c r="F1060" s="2">
        <v>425</v>
      </c>
      <c r="G1060" t="str">
        <f>"JOB 9-24-19-01"</f>
        <v>JOB 9-24-19-01</v>
      </c>
    </row>
    <row r="1061" spans="1:7" x14ac:dyDescent="0.25">
      <c r="A1061" t="s">
        <v>384</v>
      </c>
      <c r="B1061">
        <v>84582</v>
      </c>
      <c r="C1061" s="2">
        <v>1202.5</v>
      </c>
      <c r="D1061" s="1">
        <v>43766</v>
      </c>
      <c r="E1061" t="str">
        <f>"JOB 10-2-19-01"</f>
        <v>JOB 10-2-19-01</v>
      </c>
      <c r="F1061" s="2">
        <v>212.5</v>
      </c>
      <c r="G1061" t="str">
        <f>"JOB 10-2-19-01"</f>
        <v>JOB 10-2-19-01</v>
      </c>
    </row>
    <row r="1062" spans="1:7" x14ac:dyDescent="0.25">
      <c r="E1062" t="str">
        <f>"JOB 10-7-19-01"</f>
        <v>JOB 10-7-19-01</v>
      </c>
      <c r="F1062" s="2">
        <v>990</v>
      </c>
      <c r="G1062" t="str">
        <f>"JOB 10-7-19-01"</f>
        <v>JOB 10-7-19-01</v>
      </c>
    </row>
    <row r="1063" spans="1:7" x14ac:dyDescent="0.25">
      <c r="A1063" t="s">
        <v>385</v>
      </c>
      <c r="B1063">
        <v>84583</v>
      </c>
      <c r="C1063" s="2">
        <v>120.77</v>
      </c>
      <c r="D1063" s="1">
        <v>43766</v>
      </c>
      <c r="E1063" t="str">
        <f>"TRAVEL ADV-PER DIEM/MILEAGE"</f>
        <v>TRAVEL ADV-PER DIEM/MILEAGE</v>
      </c>
      <c r="F1063" s="2">
        <v>120.77</v>
      </c>
      <c r="G1063" t="str">
        <f>"TRAVEL ADV-PER DIEM/MILEAGE"</f>
        <v>TRAVEL ADV-PER DIEM/MILEAGE</v>
      </c>
    </row>
    <row r="1064" spans="1:7" x14ac:dyDescent="0.25">
      <c r="A1064" t="s">
        <v>386</v>
      </c>
      <c r="B1064">
        <v>1535</v>
      </c>
      <c r="C1064" s="2">
        <v>4782.25</v>
      </c>
      <c r="D1064" s="1">
        <v>43754</v>
      </c>
      <c r="E1064" t="str">
        <f>"INV IN0829511"</f>
        <v>INV IN0829511</v>
      </c>
      <c r="F1064" s="2">
        <v>4782.25</v>
      </c>
      <c r="G1064" t="str">
        <f>"INV IN0829511"</f>
        <v>INV IN0829511</v>
      </c>
    </row>
    <row r="1065" spans="1:7" x14ac:dyDescent="0.25">
      <c r="E1065" t="str">
        <f>""</f>
        <v/>
      </c>
      <c r="G1065" t="str">
        <f>"INV IN0828984"</f>
        <v>INV IN0828984</v>
      </c>
    </row>
    <row r="1066" spans="1:7" x14ac:dyDescent="0.25">
      <c r="A1066" t="s">
        <v>386</v>
      </c>
      <c r="B1066">
        <v>1627</v>
      </c>
      <c r="C1066" s="2">
        <v>10450.09</v>
      </c>
      <c r="D1066" s="1">
        <v>43767</v>
      </c>
      <c r="E1066" t="str">
        <f>"INV IN0829744"</f>
        <v>INV IN0829744</v>
      </c>
      <c r="F1066" s="2">
        <v>3867.92</v>
      </c>
      <c r="G1066" t="str">
        <f>"INV IN0829744"</f>
        <v>INV IN0829744</v>
      </c>
    </row>
    <row r="1067" spans="1:7" x14ac:dyDescent="0.25">
      <c r="E1067" t="str">
        <f>"INV IN0829933"</f>
        <v>INV IN0829933</v>
      </c>
      <c r="F1067" s="2">
        <v>3192</v>
      </c>
      <c r="G1067" t="str">
        <f>"INV IN0829933"</f>
        <v>INV IN0829933</v>
      </c>
    </row>
    <row r="1068" spans="1:7" x14ac:dyDescent="0.25">
      <c r="E1068" t="str">
        <f>"INV IN0830219"</f>
        <v>INV IN0830219</v>
      </c>
      <c r="F1068" s="2">
        <v>3390.17</v>
      </c>
      <c r="G1068" t="str">
        <f>"INV IN0830219"</f>
        <v>INV IN0830219</v>
      </c>
    </row>
    <row r="1069" spans="1:7" x14ac:dyDescent="0.25">
      <c r="A1069" t="s">
        <v>387</v>
      </c>
      <c r="B1069">
        <v>1614</v>
      </c>
      <c r="C1069" s="2">
        <v>23.59</v>
      </c>
      <c r="D1069" s="1">
        <v>43754</v>
      </c>
      <c r="E1069" t="str">
        <f>"CUST#99088/PCT#4"</f>
        <v>CUST#99088/PCT#4</v>
      </c>
      <c r="F1069" s="2">
        <v>23.59</v>
      </c>
      <c r="G1069" t="str">
        <f>"CUST#99088/PCT#4"</f>
        <v>CUST#99088/PCT#4</v>
      </c>
    </row>
    <row r="1070" spans="1:7" x14ac:dyDescent="0.25">
      <c r="A1070" t="s">
        <v>387</v>
      </c>
      <c r="B1070">
        <v>1683</v>
      </c>
      <c r="C1070" s="2">
        <v>22.84</v>
      </c>
      <c r="D1070" s="1">
        <v>43767</v>
      </c>
      <c r="E1070" t="str">
        <f>"INV 0581-495781"</f>
        <v>INV 0581-495781</v>
      </c>
      <c r="F1070" s="2">
        <v>22.84</v>
      </c>
      <c r="G1070" t="str">
        <f>"INV 0581-495781"</f>
        <v>INV 0581-495781</v>
      </c>
    </row>
    <row r="1071" spans="1:7" x14ac:dyDescent="0.25">
      <c r="A1071" t="s">
        <v>388</v>
      </c>
      <c r="B1071">
        <v>84300</v>
      </c>
      <c r="C1071" s="2">
        <v>1527.6</v>
      </c>
      <c r="D1071" s="1">
        <v>43753</v>
      </c>
      <c r="E1071" t="str">
        <f>"INV 1750425"</f>
        <v>INV 1750425</v>
      </c>
      <c r="F1071" s="2">
        <v>1018.64</v>
      </c>
      <c r="G1071" t="str">
        <f>"INV 1743513"</f>
        <v>INV 1743513</v>
      </c>
    </row>
    <row r="1072" spans="1:7" x14ac:dyDescent="0.25">
      <c r="E1072" t="str">
        <f>""</f>
        <v/>
      </c>
      <c r="G1072" t="str">
        <f>"INV 1750425"</f>
        <v>INV 1750425</v>
      </c>
    </row>
    <row r="1073" spans="1:7" x14ac:dyDescent="0.25">
      <c r="E1073" t="str">
        <f>"INV 1757279"</f>
        <v>INV 1757279</v>
      </c>
      <c r="F1073" s="2">
        <v>508.96</v>
      </c>
      <c r="G1073" t="str">
        <f>"INV 1757279"</f>
        <v>INV 1757279</v>
      </c>
    </row>
    <row r="1074" spans="1:7" x14ac:dyDescent="0.25">
      <c r="A1074" t="s">
        <v>388</v>
      </c>
      <c r="B1074">
        <v>84584</v>
      </c>
      <c r="C1074" s="2">
        <v>1055.02</v>
      </c>
      <c r="D1074" s="1">
        <v>43766</v>
      </c>
      <c r="E1074" t="str">
        <f>"INV 1763971"</f>
        <v>INV 1763971</v>
      </c>
      <c r="F1074" s="2">
        <v>1055.02</v>
      </c>
      <c r="G1074" t="str">
        <f>"INV 1763971"</f>
        <v>INV 1763971</v>
      </c>
    </row>
    <row r="1075" spans="1:7" x14ac:dyDescent="0.25">
      <c r="E1075" t="str">
        <f>""</f>
        <v/>
      </c>
      <c r="G1075" t="str">
        <f>"INV 1770522"</f>
        <v>INV 1770522</v>
      </c>
    </row>
    <row r="1076" spans="1:7" x14ac:dyDescent="0.25">
      <c r="A1076" t="s">
        <v>389</v>
      </c>
      <c r="B1076">
        <v>84301</v>
      </c>
      <c r="C1076" s="2">
        <v>2624.18</v>
      </c>
      <c r="D1076" s="1">
        <v>43753</v>
      </c>
      <c r="E1076" t="str">
        <f>"bill# 12537461"</f>
        <v>bill# 12537461</v>
      </c>
      <c r="F1076" s="2">
        <v>2624.18</v>
      </c>
      <c r="G1076" t="str">
        <f>"ord# 376213087001"</f>
        <v>ord# 376213087001</v>
      </c>
    </row>
    <row r="1077" spans="1:7" x14ac:dyDescent="0.25">
      <c r="E1077" t="str">
        <f>""</f>
        <v/>
      </c>
      <c r="G1077" t="str">
        <f>"ord# 372978424001"</f>
        <v>ord# 372978424001</v>
      </c>
    </row>
    <row r="1078" spans="1:7" x14ac:dyDescent="0.25">
      <c r="E1078" t="str">
        <f>""</f>
        <v/>
      </c>
      <c r="G1078" t="str">
        <f>"ord# 374242043001"</f>
        <v>ord# 374242043001</v>
      </c>
    </row>
    <row r="1079" spans="1:7" x14ac:dyDescent="0.25">
      <c r="E1079" t="str">
        <f>""</f>
        <v/>
      </c>
      <c r="G1079" t="str">
        <f>"ord# 374930107001"</f>
        <v>ord# 374930107001</v>
      </c>
    </row>
    <row r="1080" spans="1:7" x14ac:dyDescent="0.25">
      <c r="E1080" t="str">
        <f>""</f>
        <v/>
      </c>
      <c r="G1080" t="str">
        <f>"ord# 374474580001"</f>
        <v>ord# 374474580001</v>
      </c>
    </row>
    <row r="1081" spans="1:7" x14ac:dyDescent="0.25">
      <c r="E1081" t="str">
        <f>""</f>
        <v/>
      </c>
      <c r="G1081" t="str">
        <f>"ord# 374475952001"</f>
        <v>ord# 374475952001</v>
      </c>
    </row>
    <row r="1082" spans="1:7" x14ac:dyDescent="0.25">
      <c r="E1082" t="str">
        <f>""</f>
        <v/>
      </c>
      <c r="G1082" t="str">
        <f>"ord# 376774512001"</f>
        <v>ord# 376774512001</v>
      </c>
    </row>
    <row r="1083" spans="1:7" x14ac:dyDescent="0.25">
      <c r="E1083" t="str">
        <f>""</f>
        <v/>
      </c>
      <c r="G1083" t="str">
        <f>"ord# 379355000001"</f>
        <v>ord# 379355000001</v>
      </c>
    </row>
    <row r="1084" spans="1:7" x14ac:dyDescent="0.25">
      <c r="E1084" t="str">
        <f>""</f>
        <v/>
      </c>
      <c r="G1084" t="str">
        <f>"ord# 379399065001"</f>
        <v>ord# 379399065001</v>
      </c>
    </row>
    <row r="1085" spans="1:7" x14ac:dyDescent="0.25">
      <c r="E1085" t="str">
        <f>""</f>
        <v/>
      </c>
      <c r="G1085" t="str">
        <f>"ord# 377566515001"</f>
        <v>ord# 377566515001</v>
      </c>
    </row>
    <row r="1086" spans="1:7" x14ac:dyDescent="0.25">
      <c r="E1086" t="str">
        <f>""</f>
        <v/>
      </c>
      <c r="G1086" t="str">
        <f>"ord# 377341148001"</f>
        <v>ord# 377341148001</v>
      </c>
    </row>
    <row r="1087" spans="1:7" x14ac:dyDescent="0.25">
      <c r="A1087" t="s">
        <v>390</v>
      </c>
      <c r="B1087">
        <v>84585</v>
      </c>
      <c r="C1087" s="2">
        <v>2982</v>
      </c>
      <c r="D1087" s="1">
        <v>43766</v>
      </c>
      <c r="E1087" t="str">
        <f>"3RD QTR ACTIVITY-PCT#1"</f>
        <v>3RD QTR ACTIVITY-PCT#1</v>
      </c>
      <c r="F1087" s="2">
        <v>354</v>
      </c>
      <c r="G1087" t="str">
        <f>"3RD QTR ACTIVITY-TREASURER"</f>
        <v>3RD QTR ACTIVITY-TREASURER</v>
      </c>
    </row>
    <row r="1088" spans="1:7" x14ac:dyDescent="0.25">
      <c r="E1088" t="str">
        <f>"3RD QTR ACTIVITY-PCT#2"</f>
        <v>3RD QTR ACTIVITY-PCT#2</v>
      </c>
      <c r="F1088" s="2">
        <v>1134</v>
      </c>
      <c r="G1088" t="str">
        <f>"3RD QTR ACTIVITY-PCT#2"</f>
        <v>3RD QTR ACTIVITY-PCT#2</v>
      </c>
    </row>
    <row r="1089" spans="1:7" x14ac:dyDescent="0.25">
      <c r="E1089" t="str">
        <f>"3RD QTR ACTIVITY-PCT#3"</f>
        <v>3RD QTR ACTIVITY-PCT#3</v>
      </c>
      <c r="F1089" s="2">
        <v>918</v>
      </c>
      <c r="G1089" t="str">
        <f>"3RD QTR ACTIVITY-PCT#3"</f>
        <v>3RD QTR ACTIVITY-PCT#3</v>
      </c>
    </row>
    <row r="1090" spans="1:7" x14ac:dyDescent="0.25">
      <c r="E1090" t="str">
        <f>"3RD QTR ACTIVITY-PCT#4"</f>
        <v>3RD QTR ACTIVITY-PCT#4</v>
      </c>
      <c r="F1090" s="2">
        <v>534</v>
      </c>
      <c r="G1090" t="str">
        <f>"3RD QTR ACTIVITY-PCT#4"</f>
        <v>3RD QTR ACTIVITY-PCT#4</v>
      </c>
    </row>
    <row r="1091" spans="1:7" x14ac:dyDescent="0.25">
      <c r="E1091" t="str">
        <f>"3RD QTR ACTIVITY-MISDEMEANOR"</f>
        <v>3RD QTR ACTIVITY-MISDEMEANOR</v>
      </c>
      <c r="F1091" s="2">
        <v>36</v>
      </c>
      <c r="G1091" t="str">
        <f>"3RD QTR ACTIVITY-MISDEMEANOR"</f>
        <v>3RD QTR ACTIVITY-MISDEMEANOR</v>
      </c>
    </row>
    <row r="1092" spans="1:7" x14ac:dyDescent="0.25">
      <c r="E1092" t="str">
        <f>"3RD QTR ACTIVITY - DIST CLERK"</f>
        <v>3RD QTR ACTIVITY - DIST CLERK</v>
      </c>
      <c r="F1092" s="2">
        <v>6</v>
      </c>
      <c r="G1092" t="str">
        <f>"3RD QTR ACTIVITY - DIST CLERK"</f>
        <v>3RD QTR ACTIVITY - DIST CLERK</v>
      </c>
    </row>
    <row r="1093" spans="1:7" x14ac:dyDescent="0.25">
      <c r="A1093" t="s">
        <v>391</v>
      </c>
      <c r="B1093">
        <v>84586</v>
      </c>
      <c r="C1093" s="2">
        <v>663</v>
      </c>
      <c r="D1093" s="1">
        <v>43766</v>
      </c>
      <c r="E1093" t="str">
        <f>"PLUMBING SVCS/TAX OFFICE"</f>
        <v>PLUMBING SVCS/TAX OFFICE</v>
      </c>
      <c r="F1093" s="2">
        <v>663</v>
      </c>
      <c r="G1093" t="str">
        <f>"PLUMBING SVCS/TAX OFFICE"</f>
        <v>PLUMBING SVCS/TAX OFFICE</v>
      </c>
    </row>
    <row r="1094" spans="1:7" x14ac:dyDescent="0.25">
      <c r="A1094" t="s">
        <v>392</v>
      </c>
      <c r="B1094">
        <v>84302</v>
      </c>
      <c r="C1094" s="2">
        <v>105</v>
      </c>
      <c r="D1094" s="1">
        <v>43753</v>
      </c>
      <c r="E1094" t="str">
        <f>"Sign Shop Materials"</f>
        <v>Sign Shop Materials</v>
      </c>
      <c r="F1094" s="2">
        <v>105</v>
      </c>
      <c r="G1094" t="str">
        <f>"24x50"</f>
        <v>24x50</v>
      </c>
    </row>
    <row r="1095" spans="1:7" x14ac:dyDescent="0.25">
      <c r="A1095" t="s">
        <v>393</v>
      </c>
      <c r="B1095">
        <v>84303</v>
      </c>
      <c r="C1095" s="2">
        <v>920</v>
      </c>
      <c r="D1095" s="1">
        <v>43753</v>
      </c>
      <c r="E1095" t="str">
        <f>"INV 16271 / UNIT 3858"</f>
        <v>INV 16271 / UNIT 3858</v>
      </c>
      <c r="F1095" s="2">
        <v>920</v>
      </c>
      <c r="G1095" t="str">
        <f>"INV 16271 / UNIT 3858"</f>
        <v>INV 16271 / UNIT 3858</v>
      </c>
    </row>
    <row r="1096" spans="1:7" x14ac:dyDescent="0.25">
      <c r="A1096" t="s">
        <v>394</v>
      </c>
      <c r="B1096">
        <v>84304</v>
      </c>
      <c r="C1096" s="2">
        <v>84746.6</v>
      </c>
      <c r="D1096" s="1">
        <v>43753</v>
      </c>
      <c r="E1096" t="str">
        <f>"CWE-2 NO BLEED CHIP SEAL/PCT#2"</f>
        <v>CWE-2 NO BLEED CHIP SEAL/PCT#2</v>
      </c>
      <c r="F1096" s="2">
        <v>15213.12</v>
      </c>
      <c r="G1096" t="str">
        <f>"CWE-2 NO BLEED CHIP SEAL/PCT#2"</f>
        <v>CWE-2 NO BLEED CHIP SEAL/PCT#2</v>
      </c>
    </row>
    <row r="1097" spans="1:7" x14ac:dyDescent="0.25">
      <c r="E1097" t="str">
        <f>"CWE92019/PCT#2"</f>
        <v>CWE92019/PCT#2</v>
      </c>
      <c r="F1097" s="2">
        <v>34859.599999999999</v>
      </c>
      <c r="G1097" t="str">
        <f>"CWE92019/PCT#2"</f>
        <v>CWE92019/PCT#2</v>
      </c>
    </row>
    <row r="1098" spans="1:7" x14ac:dyDescent="0.25">
      <c r="E1098" t="str">
        <f>"CWE 10119 PCT2"</f>
        <v>CWE 10119 PCT2</v>
      </c>
      <c r="F1098" s="2">
        <v>34673.879999999997</v>
      </c>
      <c r="G1098" t="str">
        <f>"CWE 10119 PCT2"</f>
        <v>CWE 10119 PCT2</v>
      </c>
    </row>
    <row r="1099" spans="1:7" x14ac:dyDescent="0.25">
      <c r="A1099" t="s">
        <v>395</v>
      </c>
      <c r="B1099">
        <v>84305</v>
      </c>
      <c r="C1099" s="2">
        <v>104.06</v>
      </c>
      <c r="D1099" s="1">
        <v>43753</v>
      </c>
      <c r="E1099" t="str">
        <f>"ITEM#784223/FLEX FORK/PCT#4"</f>
        <v>ITEM#784223/FLEX FORK/PCT#4</v>
      </c>
      <c r="F1099" s="2">
        <v>104.06</v>
      </c>
      <c r="G1099" t="str">
        <f>"ITEM#784223/FLEX FORK/PCT#4"</f>
        <v>ITEM#784223/FLEX FORK/PCT#4</v>
      </c>
    </row>
    <row r="1100" spans="1:7" x14ac:dyDescent="0.25">
      <c r="A1100" t="s">
        <v>396</v>
      </c>
      <c r="B1100">
        <v>84306</v>
      </c>
      <c r="C1100" s="2">
        <v>115.98</v>
      </c>
      <c r="D1100" s="1">
        <v>43753</v>
      </c>
      <c r="E1100" t="str">
        <f>"ACCT#1137/PCT#4"</f>
        <v>ACCT#1137/PCT#4</v>
      </c>
      <c r="F1100" s="2">
        <v>115.98</v>
      </c>
      <c r="G1100" t="str">
        <f>"ACCT#1137/PCT#4"</f>
        <v>ACCT#1137/PCT#4</v>
      </c>
    </row>
    <row r="1101" spans="1:7" x14ac:dyDescent="0.25">
      <c r="A1101" t="s">
        <v>397</v>
      </c>
      <c r="B1101">
        <v>84587</v>
      </c>
      <c r="C1101" s="2">
        <v>96.9</v>
      </c>
      <c r="D1101" s="1">
        <v>43766</v>
      </c>
      <c r="E1101" t="str">
        <f>"REIMBURSE MEMBERSHIP RENEWAL"</f>
        <v>REIMBURSE MEMBERSHIP RENEWAL</v>
      </c>
      <c r="F1101" s="2">
        <v>96.9</v>
      </c>
      <c r="G1101" t="str">
        <f>"REIMBURSE MEMBERSHIP RENEWAL"</f>
        <v>REIMBURSE MEMBERSHIP RENEWAL</v>
      </c>
    </row>
    <row r="1102" spans="1:7" x14ac:dyDescent="0.25">
      <c r="A1102" t="s">
        <v>398</v>
      </c>
      <c r="B1102">
        <v>1544</v>
      </c>
      <c r="C1102" s="2">
        <v>429.75</v>
      </c>
      <c r="D1102" s="1">
        <v>43754</v>
      </c>
      <c r="E1102" t="str">
        <f>"INSTALL SWITCH/COD/PLUG/GEN SV"</f>
        <v>INSTALL SWITCH/COD/PLUG/GEN SV</v>
      </c>
      <c r="F1102" s="2">
        <v>429.75</v>
      </c>
      <c r="G1102" t="str">
        <f>"INSTALL SWITCH/COD/PLUG/GEN SV"</f>
        <v>INSTALL SWITCH/COD/PLUG/GEN SV</v>
      </c>
    </row>
    <row r="1103" spans="1:7" x14ac:dyDescent="0.25">
      <c r="A1103" t="s">
        <v>398</v>
      </c>
      <c r="B1103">
        <v>1635</v>
      </c>
      <c r="C1103" s="2">
        <v>1360.15</v>
      </c>
      <c r="D1103" s="1">
        <v>43767</v>
      </c>
      <c r="E1103" t="str">
        <f>"INSTALL OUTLET AT JP1/GEN SVCS"</f>
        <v>INSTALL OUTLET AT JP1/GEN SVCS</v>
      </c>
      <c r="F1103" s="2">
        <v>290.8</v>
      </c>
      <c r="G1103" t="str">
        <f>"INSTALL OUTLET AT JP1/GEN SVCS"</f>
        <v>INSTALL OUTLET AT JP1/GEN SVCS</v>
      </c>
    </row>
    <row r="1104" spans="1:7" x14ac:dyDescent="0.25">
      <c r="E1104" t="str">
        <f>"INSTALL OUTLET/DATA JACK-DISPA"</f>
        <v>INSTALL OUTLET/DATA JACK-DISPA</v>
      </c>
      <c r="F1104" s="2">
        <v>523.65</v>
      </c>
      <c r="G1104" t="str">
        <f>"INSTALL OUTLET/DATA JACK-DISPA"</f>
        <v>INSTALL OUTLET/DATA JACK-DISPA</v>
      </c>
    </row>
    <row r="1105" spans="1:7" x14ac:dyDescent="0.25">
      <c r="E1105" t="str">
        <f>"MATERIALS/LABOR/PCT#1"</f>
        <v>MATERIALS/LABOR/PCT#1</v>
      </c>
      <c r="F1105" s="2">
        <v>545.70000000000005</v>
      </c>
      <c r="G1105" t="str">
        <f>"MATERIALS/LABOR/PCT#1"</f>
        <v>MATERIALS/LABOR/PCT#1</v>
      </c>
    </row>
    <row r="1106" spans="1:7" x14ac:dyDescent="0.25">
      <c r="A1106" t="s">
        <v>399</v>
      </c>
      <c r="B1106">
        <v>84307</v>
      </c>
      <c r="C1106" s="2">
        <v>2722.97</v>
      </c>
      <c r="D1106" s="1">
        <v>43753</v>
      </c>
      <c r="E1106" t="str">
        <f>"ACCT#0200140783/ANIMAL CONTROL"</f>
        <v>ACCT#0200140783/ANIMAL CONTROL</v>
      </c>
      <c r="F1106" s="2">
        <v>2722.97</v>
      </c>
      <c r="G1106" t="str">
        <f>"ACCT#0200140783/ANIMAL CONTROL"</f>
        <v>ACCT#0200140783/ANIMAL CONTROL</v>
      </c>
    </row>
    <row r="1107" spans="1:7" x14ac:dyDescent="0.25">
      <c r="E1107" t="str">
        <f>""</f>
        <v/>
      </c>
      <c r="G1107" t="str">
        <f>"ACCT#0200140783/ANIMAL CONTROL"</f>
        <v>ACCT#0200140783/ANIMAL CONTROL</v>
      </c>
    </row>
    <row r="1108" spans="1:7" x14ac:dyDescent="0.25">
      <c r="A1108" t="s">
        <v>400</v>
      </c>
      <c r="B1108">
        <v>84308</v>
      </c>
      <c r="C1108" s="2">
        <v>10054.94</v>
      </c>
      <c r="D1108" s="1">
        <v>43753</v>
      </c>
      <c r="E1108" t="str">
        <f>"ATTNY FEES 07/01 - 09/30"</f>
        <v>ATTNY FEES 07/01 - 09/30</v>
      </c>
      <c r="F1108" s="2">
        <v>10054.94</v>
      </c>
      <c r="G1108" t="str">
        <f>"ATTNY FEES 07/01 - 09/30"</f>
        <v>ATTNY FEES 07/01 - 09/30</v>
      </c>
    </row>
    <row r="1109" spans="1:7" x14ac:dyDescent="0.25">
      <c r="A1109" t="s">
        <v>400</v>
      </c>
      <c r="B1109">
        <v>84588</v>
      </c>
      <c r="C1109" s="2">
        <v>38831.72</v>
      </c>
      <c r="D1109" s="1">
        <v>43766</v>
      </c>
      <c r="E1109" t="str">
        <f>"ATTORNEYS FEE 07/01-09/30"</f>
        <v>ATTORNEYS FEE 07/01-09/30</v>
      </c>
      <c r="F1109" s="2">
        <v>4294.6899999999996</v>
      </c>
      <c r="G1109" t="str">
        <f>"ATTORNEYS FEE 07/01-09/30"</f>
        <v>ATTORNEYS FEE 07/01-09/30</v>
      </c>
    </row>
    <row r="1110" spans="1:7" x14ac:dyDescent="0.25">
      <c r="E1110" t="str">
        <f>"PROF SVCS 07/01-09/30/JP2"</f>
        <v>PROF SVCS 07/01-09/30/JP2</v>
      </c>
      <c r="F1110" s="2">
        <v>21234.37</v>
      </c>
      <c r="G1110" t="str">
        <f>"PROF SVCS 07/01-09/30/JP2"</f>
        <v>PROF SVCS 07/01-09/30/JP2</v>
      </c>
    </row>
    <row r="1111" spans="1:7" x14ac:dyDescent="0.25">
      <c r="E1111" t="str">
        <f>"ATTNY FEES 07/01-09/30"</f>
        <v>ATTNY FEES 07/01-09/30</v>
      </c>
      <c r="F1111" s="2">
        <v>13302.66</v>
      </c>
      <c r="G1111" t="str">
        <f>"ATTNY FEES 07/01-09/30"</f>
        <v>ATTNY FEES 07/01-09/30</v>
      </c>
    </row>
    <row r="1112" spans="1:7" x14ac:dyDescent="0.25">
      <c r="A1112" t="s">
        <v>401</v>
      </c>
      <c r="B1112">
        <v>84309</v>
      </c>
      <c r="C1112" s="2">
        <v>177.07</v>
      </c>
      <c r="D1112" s="1">
        <v>43753</v>
      </c>
      <c r="E1112" t="str">
        <f>"REIMBURSE HOTEL/GAS"</f>
        <v>REIMBURSE HOTEL/GAS</v>
      </c>
      <c r="F1112" s="2">
        <v>177.07</v>
      </c>
      <c r="G1112" t="str">
        <f>"REIMBURSE HOTEL/GAS"</f>
        <v>REIMBURSE HOTEL/GAS</v>
      </c>
    </row>
    <row r="1113" spans="1:7" x14ac:dyDescent="0.25">
      <c r="E1113" t="str">
        <f>""</f>
        <v/>
      </c>
      <c r="G1113" t="str">
        <f>"REIMBURSE HOTEL/GAS"</f>
        <v>REIMBURSE HOTEL/GAS</v>
      </c>
    </row>
    <row r="1114" spans="1:7" x14ac:dyDescent="0.25">
      <c r="A1114" t="s">
        <v>402</v>
      </c>
      <c r="B1114">
        <v>1602</v>
      </c>
      <c r="C1114" s="2">
        <v>2464.5</v>
      </c>
      <c r="D1114" s="1">
        <v>43754</v>
      </c>
      <c r="E1114" t="str">
        <f>"JP108142019A  JP108142019B"</f>
        <v>JP108142019A  JP108142019B</v>
      </c>
      <c r="F1114" s="2">
        <v>375</v>
      </c>
      <c r="G1114" t="str">
        <f>"JP108142019A  JP108142019B"</f>
        <v>JP108142019A  JP108142019B</v>
      </c>
    </row>
    <row r="1115" spans="1:7" x14ac:dyDescent="0.25">
      <c r="E1115" t="str">
        <f>"19-19463"</f>
        <v>19-19463</v>
      </c>
      <c r="F1115" s="2">
        <v>100</v>
      </c>
      <c r="G1115" t="str">
        <f>"19-19463"</f>
        <v>19-19463</v>
      </c>
    </row>
    <row r="1116" spans="1:7" x14ac:dyDescent="0.25">
      <c r="E1116" t="str">
        <f>"19-19811"</f>
        <v>19-19811</v>
      </c>
      <c r="F1116" s="2">
        <v>355</v>
      </c>
      <c r="G1116" t="str">
        <f>"19-19811"</f>
        <v>19-19811</v>
      </c>
    </row>
    <row r="1117" spans="1:7" x14ac:dyDescent="0.25">
      <c r="E1117" t="str">
        <f>"18-18974"</f>
        <v>18-18974</v>
      </c>
      <c r="F1117" s="2">
        <v>700</v>
      </c>
      <c r="G1117" t="str">
        <f>"18-18974"</f>
        <v>18-18974</v>
      </c>
    </row>
    <row r="1118" spans="1:7" x14ac:dyDescent="0.25">
      <c r="E1118" t="str">
        <f>"19-19558"</f>
        <v>19-19558</v>
      </c>
      <c r="F1118" s="2">
        <v>467</v>
      </c>
      <c r="G1118" t="str">
        <f>"19-19558"</f>
        <v>19-19558</v>
      </c>
    </row>
    <row r="1119" spans="1:7" x14ac:dyDescent="0.25">
      <c r="E1119" t="str">
        <f>"17-18576"</f>
        <v>17-18576</v>
      </c>
      <c r="F1119" s="2">
        <v>467.5</v>
      </c>
      <c r="G1119" t="str">
        <f>"17-18576"</f>
        <v>17-18576</v>
      </c>
    </row>
    <row r="1120" spans="1:7" x14ac:dyDescent="0.25">
      <c r="A1120" t="s">
        <v>402</v>
      </c>
      <c r="B1120">
        <v>1669</v>
      </c>
      <c r="C1120" s="2">
        <v>750</v>
      </c>
      <c r="D1120" s="1">
        <v>43767</v>
      </c>
      <c r="E1120" t="str">
        <f>"56525"</f>
        <v>56525</v>
      </c>
      <c r="F1120" s="2">
        <v>250</v>
      </c>
      <c r="G1120" t="str">
        <f>"56525"</f>
        <v>56525</v>
      </c>
    </row>
    <row r="1121" spans="1:7" x14ac:dyDescent="0.25">
      <c r="E1121" t="str">
        <f>"J-3201"</f>
        <v>J-3201</v>
      </c>
      <c r="F1121" s="2">
        <v>250</v>
      </c>
      <c r="G1121" t="str">
        <f>"J-3201"</f>
        <v>J-3201</v>
      </c>
    </row>
    <row r="1122" spans="1:7" x14ac:dyDescent="0.25">
      <c r="E1122" t="str">
        <f>"J-3172"</f>
        <v>J-3172</v>
      </c>
      <c r="F1122" s="2">
        <v>250</v>
      </c>
      <c r="G1122" t="str">
        <f>"J-3172"</f>
        <v>J-3172</v>
      </c>
    </row>
    <row r="1123" spans="1:7" x14ac:dyDescent="0.25">
      <c r="A1123" t="s">
        <v>403</v>
      </c>
      <c r="B1123">
        <v>84310</v>
      </c>
      <c r="C1123" s="2">
        <v>101</v>
      </c>
      <c r="D1123" s="1">
        <v>43753</v>
      </c>
      <c r="E1123" t="str">
        <f>"INSPECTIONS/PCT#3"</f>
        <v>INSPECTIONS/PCT#3</v>
      </c>
      <c r="F1123" s="2">
        <v>47</v>
      </c>
      <c r="G1123" t="str">
        <f>"INSPECTIONS/PCT#3"</f>
        <v>INSPECTIONS/PCT#3</v>
      </c>
    </row>
    <row r="1124" spans="1:7" x14ac:dyDescent="0.25">
      <c r="E1124" t="str">
        <f>"INPECTIONS/PCT#4"</f>
        <v>INPECTIONS/PCT#4</v>
      </c>
      <c r="F1124" s="2">
        <v>54</v>
      </c>
      <c r="G1124" t="str">
        <f>"INPECTIONS/PCT#4"</f>
        <v>INPECTIONS/PCT#4</v>
      </c>
    </row>
    <row r="1125" spans="1:7" x14ac:dyDescent="0.25">
      <c r="A1125" t="s">
        <v>404</v>
      </c>
      <c r="B1125">
        <v>84311</v>
      </c>
      <c r="C1125" s="2">
        <v>96.75</v>
      </c>
      <c r="D1125" s="1">
        <v>43753</v>
      </c>
      <c r="E1125" t="str">
        <f>"INV 1011827132/1013390626"</f>
        <v>INV 1011827132/1013390626</v>
      </c>
      <c r="F1125" s="2">
        <v>64.5</v>
      </c>
      <c r="G1125" t="str">
        <f>"INV 1011827132"</f>
        <v>INV 1011827132</v>
      </c>
    </row>
    <row r="1126" spans="1:7" x14ac:dyDescent="0.25">
      <c r="E1126" t="str">
        <f>""</f>
        <v/>
      </c>
      <c r="G1126" t="str">
        <f>"INV 1013390626"</f>
        <v>INV 1013390626</v>
      </c>
    </row>
    <row r="1127" spans="1:7" x14ac:dyDescent="0.25">
      <c r="E1127" t="str">
        <f>"INV 1014036992"</f>
        <v>INV 1014036992</v>
      </c>
      <c r="F1127" s="2">
        <v>32.25</v>
      </c>
      <c r="G1127" t="str">
        <f>"INV 1014036992"</f>
        <v>INV 1014036992</v>
      </c>
    </row>
    <row r="1128" spans="1:7" x14ac:dyDescent="0.25">
      <c r="A1128" t="s">
        <v>405</v>
      </c>
      <c r="B1128">
        <v>1601</v>
      </c>
      <c r="C1128" s="2">
        <v>2875.29</v>
      </c>
      <c r="D1128" s="1">
        <v>43754</v>
      </c>
      <c r="E1128" t="str">
        <f>"INV 3308252856/3308946432"</f>
        <v>INV 3308252856/3308946432</v>
      </c>
      <c r="F1128" s="2">
        <v>1244.28</v>
      </c>
      <c r="G1128" t="str">
        <f>"INV 3308252856"</f>
        <v>INV 3308252856</v>
      </c>
    </row>
    <row r="1129" spans="1:7" x14ac:dyDescent="0.25">
      <c r="E1129" t="str">
        <f>""</f>
        <v/>
      </c>
      <c r="G1129" t="str">
        <f>"INV 3308946432"</f>
        <v>INV 3308946432</v>
      </c>
    </row>
    <row r="1130" spans="1:7" x14ac:dyDescent="0.25">
      <c r="E1130" t="str">
        <f>""</f>
        <v/>
      </c>
      <c r="G1130" t="str">
        <f>"INV 3309593876"</f>
        <v>INV 3309593876</v>
      </c>
    </row>
    <row r="1131" spans="1:7" x14ac:dyDescent="0.25">
      <c r="E1131" t="str">
        <f>"ACCT#0011198047/BASTROP COUNTY"</f>
        <v>ACCT#0011198047/BASTROP COUNTY</v>
      </c>
      <c r="F1131" s="2">
        <v>1631.01</v>
      </c>
      <c r="G1131" t="str">
        <f>"ACCT#0011198047/BASTROP COUNTY"</f>
        <v>ACCT#0011198047/BASTROP COUNTY</v>
      </c>
    </row>
    <row r="1132" spans="1:7" x14ac:dyDescent="0.25">
      <c r="A1132" t="s">
        <v>405</v>
      </c>
      <c r="B1132">
        <v>1668</v>
      </c>
      <c r="C1132" s="2">
        <v>2694.72</v>
      </c>
      <c r="D1132" s="1">
        <v>43767</v>
      </c>
      <c r="E1132" t="str">
        <f>"ACCT#0017315717/TAX ASSESSOR"</f>
        <v>ACCT#0017315717/TAX ASSESSOR</v>
      </c>
      <c r="F1132" s="2">
        <v>1347.36</v>
      </c>
      <c r="G1132" t="str">
        <f>"ACCT#0017315717/TAX ASSESSOR"</f>
        <v>ACCT#0017315717/TAX ASSESSOR</v>
      </c>
    </row>
    <row r="1133" spans="1:7" x14ac:dyDescent="0.25">
      <c r="E1133" t="str">
        <f>"ACCT#0017315717/TAX ASSESSOR"</f>
        <v>ACCT#0017315717/TAX ASSESSOR</v>
      </c>
      <c r="F1133" s="2">
        <v>1347.36</v>
      </c>
      <c r="G1133" t="str">
        <f>"ACCT#0017315717/TAX ASSESSOR"</f>
        <v>ACCT#0017315717/TAX ASSESSOR</v>
      </c>
    </row>
    <row r="1134" spans="1:7" x14ac:dyDescent="0.25">
      <c r="A1134" t="s">
        <v>406</v>
      </c>
      <c r="B1134">
        <v>1549</v>
      </c>
      <c r="C1134" s="2">
        <v>14606.25</v>
      </c>
      <c r="D1134" s="1">
        <v>43754</v>
      </c>
      <c r="E1134" t="str">
        <f>"16-17944"</f>
        <v>16-17944</v>
      </c>
      <c r="F1134" s="2">
        <v>60</v>
      </c>
      <c r="G1134" t="str">
        <f>"16-17944"</f>
        <v>16-17944</v>
      </c>
    </row>
    <row r="1135" spans="1:7" x14ac:dyDescent="0.25">
      <c r="E1135" t="str">
        <f>"17-18527"</f>
        <v>17-18527</v>
      </c>
      <c r="F1135" s="2">
        <v>1371.25</v>
      </c>
      <c r="G1135" t="str">
        <f>"17-18527"</f>
        <v>17-18527</v>
      </c>
    </row>
    <row r="1136" spans="1:7" x14ac:dyDescent="0.25">
      <c r="E1136" t="str">
        <f>"17-18646"</f>
        <v>17-18646</v>
      </c>
      <c r="F1136" s="2">
        <v>1016.25</v>
      </c>
      <c r="G1136" t="str">
        <f>"17-18646"</f>
        <v>17-18646</v>
      </c>
    </row>
    <row r="1137" spans="1:7" x14ac:dyDescent="0.25">
      <c r="E1137" t="str">
        <f>"19-19443"</f>
        <v>19-19443</v>
      </c>
      <c r="F1137" s="2">
        <v>436.25</v>
      </c>
      <c r="G1137" t="str">
        <f>"19-19443"</f>
        <v>19-19443</v>
      </c>
    </row>
    <row r="1138" spans="1:7" x14ac:dyDescent="0.25">
      <c r="E1138" t="str">
        <f>"19-19763"</f>
        <v>19-19763</v>
      </c>
      <c r="F1138" s="2">
        <v>615</v>
      </c>
      <c r="G1138" t="str">
        <f>"19-19763"</f>
        <v>19-19763</v>
      </c>
    </row>
    <row r="1139" spans="1:7" x14ac:dyDescent="0.25">
      <c r="E1139" t="str">
        <f>"19-19567"</f>
        <v>19-19567</v>
      </c>
      <c r="F1139" s="2">
        <v>1073.75</v>
      </c>
      <c r="G1139" t="str">
        <f>"19-19567"</f>
        <v>19-19567</v>
      </c>
    </row>
    <row r="1140" spans="1:7" x14ac:dyDescent="0.25">
      <c r="E1140" t="str">
        <f>"18-19239"</f>
        <v>18-19239</v>
      </c>
      <c r="F1140" s="2">
        <v>1313.75</v>
      </c>
      <c r="G1140" t="str">
        <f>"18-19239"</f>
        <v>18-19239</v>
      </c>
    </row>
    <row r="1141" spans="1:7" x14ac:dyDescent="0.25">
      <c r="E1141" t="str">
        <f>"19-19415"</f>
        <v>19-19415</v>
      </c>
      <c r="F1141" s="2">
        <v>1461.25</v>
      </c>
      <c r="G1141" t="str">
        <f>"19-19415"</f>
        <v>19-19415</v>
      </c>
    </row>
    <row r="1142" spans="1:7" x14ac:dyDescent="0.25">
      <c r="E1142" t="str">
        <f>"18-18864"</f>
        <v>18-18864</v>
      </c>
      <c r="F1142" s="2">
        <v>1756.25</v>
      </c>
      <c r="G1142" t="str">
        <f>"18-18864"</f>
        <v>18-18864</v>
      </c>
    </row>
    <row r="1143" spans="1:7" x14ac:dyDescent="0.25">
      <c r="E1143" t="str">
        <f>"19-19718"</f>
        <v>19-19718</v>
      </c>
      <c r="F1143" s="2">
        <v>930</v>
      </c>
      <c r="G1143" t="str">
        <f>"19-19718"</f>
        <v>19-19718</v>
      </c>
    </row>
    <row r="1144" spans="1:7" x14ac:dyDescent="0.25">
      <c r="E1144" t="str">
        <f>"18-19050"</f>
        <v>18-19050</v>
      </c>
      <c r="F1144" s="2">
        <v>1468.75</v>
      </c>
      <c r="G1144" t="str">
        <f>"18-19050"</f>
        <v>18-19050</v>
      </c>
    </row>
    <row r="1145" spans="1:7" x14ac:dyDescent="0.25">
      <c r="E1145" t="str">
        <f>"19-19641"</f>
        <v>19-19641</v>
      </c>
      <c r="F1145" s="2">
        <v>855</v>
      </c>
      <c r="G1145" t="str">
        <f>"19-19641"</f>
        <v>19-19641</v>
      </c>
    </row>
    <row r="1146" spans="1:7" x14ac:dyDescent="0.25">
      <c r="E1146" t="str">
        <f>"17-18738"</f>
        <v>17-18738</v>
      </c>
      <c r="F1146" s="2">
        <v>471.25</v>
      </c>
      <c r="G1146" t="str">
        <f>"17-18738"</f>
        <v>17-18738</v>
      </c>
    </row>
    <row r="1147" spans="1:7" x14ac:dyDescent="0.25">
      <c r="E1147" t="str">
        <f>"18-18990"</f>
        <v>18-18990</v>
      </c>
      <c r="F1147" s="2">
        <v>1012.5</v>
      </c>
      <c r="G1147" t="str">
        <f>"18-18990"</f>
        <v>18-18990</v>
      </c>
    </row>
    <row r="1148" spans="1:7" x14ac:dyDescent="0.25">
      <c r="E1148" t="str">
        <f>"17-18615"</f>
        <v>17-18615</v>
      </c>
      <c r="F1148" s="2">
        <v>205</v>
      </c>
      <c r="G1148" t="str">
        <f>"17-18615"</f>
        <v>17-18615</v>
      </c>
    </row>
    <row r="1149" spans="1:7" x14ac:dyDescent="0.25">
      <c r="E1149" t="str">
        <f>"17-18672"</f>
        <v>17-18672</v>
      </c>
      <c r="F1149" s="2">
        <v>30</v>
      </c>
      <c r="G1149" t="str">
        <f>"17-18672"</f>
        <v>17-18672</v>
      </c>
    </row>
    <row r="1150" spans="1:7" x14ac:dyDescent="0.25">
      <c r="E1150" t="str">
        <f>"16-17894"</f>
        <v>16-17894</v>
      </c>
      <c r="F1150" s="2">
        <v>152.5</v>
      </c>
      <c r="G1150" t="str">
        <f>"16-17894"</f>
        <v>16-17894</v>
      </c>
    </row>
    <row r="1151" spans="1:7" x14ac:dyDescent="0.25">
      <c r="E1151" t="str">
        <f>"18-19279"</f>
        <v>18-19279</v>
      </c>
      <c r="F1151" s="2">
        <v>377.5</v>
      </c>
      <c r="G1151" t="str">
        <f>"18-19279"</f>
        <v>18-19279</v>
      </c>
    </row>
    <row r="1152" spans="1:7" x14ac:dyDescent="0.25">
      <c r="A1152" t="s">
        <v>406</v>
      </c>
      <c r="B1152">
        <v>1639</v>
      </c>
      <c r="C1152" s="2">
        <v>775</v>
      </c>
      <c r="D1152" s="1">
        <v>43767</v>
      </c>
      <c r="E1152" t="str">
        <f>"18-19299"</f>
        <v>18-19299</v>
      </c>
      <c r="F1152" s="2">
        <v>525</v>
      </c>
      <c r="G1152" t="str">
        <f>"18-19299"</f>
        <v>18-19299</v>
      </c>
    </row>
    <row r="1153" spans="1:8" x14ac:dyDescent="0.25">
      <c r="E1153" t="str">
        <f>"19-56945   56 943"</f>
        <v>19-56945   56 943</v>
      </c>
      <c r="F1153" s="2">
        <v>250</v>
      </c>
      <c r="G1153" t="str">
        <f>"19-56945   56 943"</f>
        <v>19-56945   56 943</v>
      </c>
    </row>
    <row r="1154" spans="1:8" x14ac:dyDescent="0.25">
      <c r="A1154" t="s">
        <v>407</v>
      </c>
      <c r="B1154">
        <v>1573</v>
      </c>
      <c r="C1154" s="2">
        <v>611.51</v>
      </c>
      <c r="D1154" s="1">
        <v>43754</v>
      </c>
      <c r="E1154" t="str">
        <f>"ACCT#0005/PCT#4"</f>
        <v>ACCT#0005/PCT#4</v>
      </c>
      <c r="F1154" s="2">
        <v>611.51</v>
      </c>
      <c r="G1154" t="str">
        <f>"ACCT#0005/PCT#4"</f>
        <v>ACCT#0005/PCT#4</v>
      </c>
    </row>
    <row r="1155" spans="1:8" x14ac:dyDescent="0.25">
      <c r="A1155" t="s">
        <v>408</v>
      </c>
      <c r="B1155">
        <v>84589</v>
      </c>
      <c r="C1155" s="2">
        <v>3100</v>
      </c>
      <c r="D1155" s="1">
        <v>43766</v>
      </c>
      <c r="E1155" t="str">
        <f>"inv# 22074-A"</f>
        <v>inv# 22074-A</v>
      </c>
      <c r="F1155" s="2">
        <v>3100</v>
      </c>
      <c r="G1155" t="str">
        <f>"inv# 22074-A"</f>
        <v>inv# 22074-A</v>
      </c>
    </row>
    <row r="1156" spans="1:8" x14ac:dyDescent="0.25">
      <c r="A1156" t="s">
        <v>409</v>
      </c>
      <c r="B1156">
        <v>84312</v>
      </c>
      <c r="C1156" s="2">
        <v>50</v>
      </c>
      <c r="D1156" s="1">
        <v>43753</v>
      </c>
      <c r="E1156" t="s">
        <v>255</v>
      </c>
      <c r="F1156" s="2" t="str">
        <f>"RESTITUTION - C. FERRIS"</f>
        <v>RESTITUTION - C. FERRIS</v>
      </c>
      <c r="G1156" t="str">
        <f>"210-0000"</f>
        <v>210-0000</v>
      </c>
      <c r="H1156" t="str">
        <f>""</f>
        <v/>
      </c>
    </row>
    <row r="1157" spans="1:8" x14ac:dyDescent="0.25">
      <c r="A1157" t="s">
        <v>410</v>
      </c>
      <c r="B1157">
        <v>84313</v>
      </c>
      <c r="C1157" s="2">
        <v>100</v>
      </c>
      <c r="D1157" s="1">
        <v>43753</v>
      </c>
      <c r="E1157" t="s">
        <v>411</v>
      </c>
      <c r="F1157" s="2" t="str">
        <f>"RESTITUTION - J. NASH"</f>
        <v>RESTITUTION - J. NASH</v>
      </c>
      <c r="G1157" t="str">
        <f>"210-0000"</f>
        <v>210-0000</v>
      </c>
      <c r="H1157" t="str">
        <f>""</f>
        <v/>
      </c>
    </row>
    <row r="1158" spans="1:8" x14ac:dyDescent="0.25">
      <c r="A1158" t="s">
        <v>412</v>
      </c>
      <c r="B1158">
        <v>1606</v>
      </c>
      <c r="C1158" s="2">
        <v>800</v>
      </c>
      <c r="D1158" s="1">
        <v>43754</v>
      </c>
      <c r="E1158" t="str">
        <f>"INV 188473"</f>
        <v>INV 188473</v>
      </c>
      <c r="F1158" s="2">
        <v>800</v>
      </c>
      <c r="G1158" t="str">
        <f>"INV 188473"</f>
        <v>INV 188473</v>
      </c>
    </row>
    <row r="1159" spans="1:8" x14ac:dyDescent="0.25">
      <c r="A1159" t="s">
        <v>413</v>
      </c>
      <c r="B1159">
        <v>1534</v>
      </c>
      <c r="C1159" s="2">
        <v>99.13</v>
      </c>
      <c r="D1159" s="1">
        <v>43754</v>
      </c>
      <c r="E1159" t="str">
        <f>"REIMBURSE CAR WASH/OIL CHANGE"</f>
        <v>REIMBURSE CAR WASH/OIL CHANGE</v>
      </c>
      <c r="F1159" s="2">
        <v>99.13</v>
      </c>
      <c r="G1159" t="str">
        <f>"REIMBURSE CAR WASH/OIL CHANGE"</f>
        <v>REIMBURSE CAR WASH/OIL CHANGE</v>
      </c>
    </row>
    <row r="1160" spans="1:8" x14ac:dyDescent="0.25">
      <c r="A1160" t="s">
        <v>414</v>
      </c>
      <c r="B1160">
        <v>84314</v>
      </c>
      <c r="C1160" s="2">
        <v>770.86</v>
      </c>
      <c r="D1160" s="1">
        <v>43753</v>
      </c>
      <c r="E1160" t="str">
        <f>"INV RINV106869/RINV107064"</f>
        <v>INV RINV106869/RINV107064</v>
      </c>
      <c r="F1160" s="2">
        <v>770.86</v>
      </c>
      <c r="G1160" t="str">
        <f>"INV RINV106869"</f>
        <v>INV RINV106869</v>
      </c>
    </row>
    <row r="1161" spans="1:8" x14ac:dyDescent="0.25">
      <c r="E1161" t="str">
        <f>""</f>
        <v/>
      </c>
      <c r="G1161" t="str">
        <f>"INV RINV107064"</f>
        <v>INV RINV107064</v>
      </c>
    </row>
    <row r="1162" spans="1:8" x14ac:dyDescent="0.25">
      <c r="A1162" t="s">
        <v>415</v>
      </c>
      <c r="B1162">
        <v>84315</v>
      </c>
      <c r="C1162" s="2">
        <v>22.5</v>
      </c>
      <c r="D1162" s="1">
        <v>43753</v>
      </c>
      <c r="E1162" t="s">
        <v>416</v>
      </c>
      <c r="F1162" s="2" t="str">
        <f>"OVERPAYMENT"</f>
        <v>OVERPAYMENT</v>
      </c>
      <c r="G1162" t="str">
        <f>"341-7000"</f>
        <v>341-7000</v>
      </c>
      <c r="H1162" t="str">
        <f>""</f>
        <v/>
      </c>
    </row>
    <row r="1163" spans="1:8" x14ac:dyDescent="0.25">
      <c r="A1163" t="s">
        <v>417</v>
      </c>
      <c r="B1163">
        <v>84316</v>
      </c>
      <c r="C1163" s="2">
        <v>49</v>
      </c>
      <c r="D1163" s="1">
        <v>43753</v>
      </c>
      <c r="E1163" t="str">
        <f>"INV-004585"</f>
        <v>INV-004585</v>
      </c>
      <c r="F1163" s="2">
        <v>49</v>
      </c>
      <c r="G1163" t="str">
        <f>"INV-004585"</f>
        <v>INV-004585</v>
      </c>
    </row>
    <row r="1164" spans="1:8" x14ac:dyDescent="0.25">
      <c r="A1164" t="s">
        <v>418</v>
      </c>
      <c r="B1164">
        <v>1628</v>
      </c>
      <c r="C1164" s="2">
        <v>172.74</v>
      </c>
      <c r="D1164" s="1">
        <v>43767</v>
      </c>
      <c r="E1164" t="str">
        <f>"ACCT#0121569859/JP#4"</f>
        <v>ACCT#0121569859/JP#4</v>
      </c>
      <c r="F1164" s="2">
        <v>9.99</v>
      </c>
      <c r="G1164" t="str">
        <f>"ACCT#0121569859/JP#4"</f>
        <v>ACCT#0121569859/JP#4</v>
      </c>
    </row>
    <row r="1165" spans="1:8" x14ac:dyDescent="0.25">
      <c r="E1165" t="str">
        <f>"ACCT#0121587851/PCT#4"</f>
        <v>ACCT#0121587851/PCT#4</v>
      </c>
      <c r="F1165" s="2">
        <v>10.99</v>
      </c>
      <c r="G1165" t="str">
        <f>"ACCT#0121587851/PCT#4"</f>
        <v>ACCT#0121587851/PCT#4</v>
      </c>
    </row>
    <row r="1166" spans="1:8" x14ac:dyDescent="0.25">
      <c r="E1166" t="str">
        <f>"ACCT#0121569859/JP4"</f>
        <v>ACCT#0121569859/JP4</v>
      </c>
      <c r="F1166" s="2">
        <v>29.92</v>
      </c>
      <c r="G1166" t="str">
        <f>"ACCT#0121569859/JP4"</f>
        <v>ACCT#0121569859/JP4</v>
      </c>
    </row>
    <row r="1167" spans="1:8" x14ac:dyDescent="0.25">
      <c r="E1167" t="str">
        <f>"ACCT#0121587851/PCT#4"</f>
        <v>ACCT#0121587851/PCT#4</v>
      </c>
      <c r="F1167" s="2">
        <v>121.84</v>
      </c>
      <c r="G1167" t="str">
        <f>"ACCT#0121587851/PCT#4"</f>
        <v>ACCT#0121587851/PCT#4</v>
      </c>
    </row>
    <row r="1168" spans="1:8" x14ac:dyDescent="0.25">
      <c r="A1168" t="s">
        <v>419</v>
      </c>
      <c r="B1168">
        <v>1568</v>
      </c>
      <c r="C1168" s="2">
        <v>912.08</v>
      </c>
      <c r="D1168" s="1">
        <v>43754</v>
      </c>
      <c r="E1168" t="str">
        <f>"SVC ORD#14221/PCT#4"</f>
        <v>SVC ORD#14221/PCT#4</v>
      </c>
      <c r="F1168" s="2">
        <v>785.08</v>
      </c>
      <c r="G1168" t="str">
        <f>"SVC ORD#14221/PCT#4"</f>
        <v>SVC ORD#14221/PCT#4</v>
      </c>
    </row>
    <row r="1169" spans="1:7" x14ac:dyDescent="0.25">
      <c r="E1169" t="str">
        <f>"SVC ORD#14226/REPAIR/PCT#4"</f>
        <v>SVC ORD#14226/REPAIR/PCT#4</v>
      </c>
      <c r="F1169" s="2">
        <v>127</v>
      </c>
      <c r="G1169" t="str">
        <f>"SVC ORD#14226/REPAIR/PCT#4"</f>
        <v>SVC ORD#14226/REPAIR/PCT#4</v>
      </c>
    </row>
    <row r="1170" spans="1:7" x14ac:dyDescent="0.25">
      <c r="A1170" t="s">
        <v>420</v>
      </c>
      <c r="B1170">
        <v>84317</v>
      </c>
      <c r="C1170" s="2">
        <v>9000</v>
      </c>
      <c r="D1170" s="1">
        <v>43753</v>
      </c>
      <c r="E1170" t="str">
        <f>"ACCT#34549337/POSTAGE"</f>
        <v>ACCT#34549337/POSTAGE</v>
      </c>
      <c r="F1170" s="2">
        <v>9000</v>
      </c>
      <c r="G1170" t="str">
        <f>"ACCT#34549337/POSTAGE"</f>
        <v>ACCT#34549337/POSTAGE</v>
      </c>
    </row>
    <row r="1171" spans="1:7" x14ac:dyDescent="0.25">
      <c r="A1171" t="s">
        <v>421</v>
      </c>
      <c r="B1171">
        <v>1672</v>
      </c>
      <c r="C1171" s="2">
        <v>750</v>
      </c>
      <c r="D1171" s="1">
        <v>43767</v>
      </c>
      <c r="E1171" t="str">
        <f>"56 949"</f>
        <v>56 949</v>
      </c>
      <c r="F1171" s="2">
        <v>250</v>
      </c>
      <c r="G1171" t="str">
        <f>"56 949"</f>
        <v>56 949</v>
      </c>
    </row>
    <row r="1172" spans="1:7" x14ac:dyDescent="0.25">
      <c r="E1172" t="str">
        <f>"56 939"</f>
        <v>56 939</v>
      </c>
      <c r="F1172" s="2">
        <v>250</v>
      </c>
      <c r="G1172" t="str">
        <f>"56 939"</f>
        <v>56 939</v>
      </c>
    </row>
    <row r="1173" spans="1:7" x14ac:dyDescent="0.25">
      <c r="E1173" t="str">
        <f>"JP103132019G"</f>
        <v>JP103132019G</v>
      </c>
      <c r="F1173" s="2">
        <v>250</v>
      </c>
      <c r="G1173" t="str">
        <f>"JP103132019G"</f>
        <v>JP103132019G</v>
      </c>
    </row>
    <row r="1174" spans="1:7" x14ac:dyDescent="0.25">
      <c r="A1174" t="s">
        <v>422</v>
      </c>
      <c r="B1174">
        <v>84318</v>
      </c>
      <c r="C1174" s="2">
        <v>80.180000000000007</v>
      </c>
      <c r="D1174" s="1">
        <v>43753</v>
      </c>
      <c r="E1174" t="str">
        <f>"ACCT#3510/PCT#4"</f>
        <v>ACCT#3510/PCT#4</v>
      </c>
      <c r="F1174" s="2">
        <v>7.57</v>
      </c>
      <c r="G1174" t="str">
        <f>"ACCT#3510/PCT#4"</f>
        <v>ACCT#3510/PCT#4</v>
      </c>
    </row>
    <row r="1175" spans="1:7" x14ac:dyDescent="0.25">
      <c r="E1175" t="str">
        <f>"ACCT#3510/LENS/PCT#4"</f>
        <v>ACCT#3510/LENS/PCT#4</v>
      </c>
      <c r="F1175" s="2">
        <v>72.61</v>
      </c>
      <c r="G1175" t="str">
        <f>"ACCT#3510/LENS/PCT#4"</f>
        <v>ACCT#3510/LENS/PCT#4</v>
      </c>
    </row>
    <row r="1176" spans="1:7" x14ac:dyDescent="0.25">
      <c r="A1176" t="s">
        <v>423</v>
      </c>
      <c r="B1176">
        <v>1629</v>
      </c>
      <c r="C1176" s="2">
        <v>63.67</v>
      </c>
      <c r="D1176" s="1">
        <v>43767</v>
      </c>
      <c r="E1176" t="str">
        <f>"CUST#12847097/CONTRACT#4049322"</f>
        <v>CUST#12847097/CONTRACT#4049322</v>
      </c>
      <c r="F1176" s="2">
        <v>63.67</v>
      </c>
      <c r="G1176" t="str">
        <f>"CUST#12847097/CONTRACT#4049322"</f>
        <v>CUST#12847097/CONTRACT#4049322</v>
      </c>
    </row>
    <row r="1177" spans="1:7" x14ac:dyDescent="0.25">
      <c r="A1177" t="s">
        <v>424</v>
      </c>
      <c r="B1177">
        <v>84319</v>
      </c>
      <c r="C1177" s="2">
        <v>7919.9</v>
      </c>
      <c r="D1177" s="1">
        <v>43753</v>
      </c>
      <c r="E1177" t="str">
        <f>"CUST#2000172616"</f>
        <v>CUST#2000172616</v>
      </c>
      <c r="F1177" s="2">
        <v>7919.9</v>
      </c>
      <c r="G1177" t="str">
        <f t="shared" ref="G1177:G1208" si="6">"CUST#2000172616"</f>
        <v>CUST#2000172616</v>
      </c>
    </row>
    <row r="1178" spans="1:7" x14ac:dyDescent="0.25">
      <c r="E1178" t="str">
        <f>""</f>
        <v/>
      </c>
      <c r="G1178" t="str">
        <f t="shared" si="6"/>
        <v>CUST#2000172616</v>
      </c>
    </row>
    <row r="1179" spans="1:7" x14ac:dyDescent="0.25">
      <c r="E1179" t="str">
        <f>""</f>
        <v/>
      </c>
      <c r="G1179" t="str">
        <f t="shared" si="6"/>
        <v>CUST#2000172616</v>
      </c>
    </row>
    <row r="1180" spans="1:7" x14ac:dyDescent="0.25">
      <c r="E1180" t="str">
        <f>""</f>
        <v/>
      </c>
      <c r="G1180" t="str">
        <f t="shared" si="6"/>
        <v>CUST#2000172616</v>
      </c>
    </row>
    <row r="1181" spans="1:7" x14ac:dyDescent="0.25">
      <c r="E1181" t="str">
        <f>""</f>
        <v/>
      </c>
      <c r="G1181" t="str">
        <f t="shared" si="6"/>
        <v>CUST#2000172616</v>
      </c>
    </row>
    <row r="1182" spans="1:7" x14ac:dyDescent="0.25">
      <c r="E1182" t="str">
        <f>""</f>
        <v/>
      </c>
      <c r="G1182" t="str">
        <f t="shared" si="6"/>
        <v>CUST#2000172616</v>
      </c>
    </row>
    <row r="1183" spans="1:7" x14ac:dyDescent="0.25">
      <c r="E1183" t="str">
        <f>""</f>
        <v/>
      </c>
      <c r="G1183" t="str">
        <f t="shared" si="6"/>
        <v>CUST#2000172616</v>
      </c>
    </row>
    <row r="1184" spans="1:7" x14ac:dyDescent="0.25">
      <c r="E1184" t="str">
        <f>""</f>
        <v/>
      </c>
      <c r="G1184" t="str">
        <f t="shared" si="6"/>
        <v>CUST#2000172616</v>
      </c>
    </row>
    <row r="1185" spans="5:7" x14ac:dyDescent="0.25">
      <c r="E1185" t="str">
        <f>""</f>
        <v/>
      </c>
      <c r="G1185" t="str">
        <f t="shared" si="6"/>
        <v>CUST#2000172616</v>
      </c>
    </row>
    <row r="1186" spans="5:7" x14ac:dyDescent="0.25">
      <c r="E1186" t="str">
        <f>""</f>
        <v/>
      </c>
      <c r="G1186" t="str">
        <f t="shared" si="6"/>
        <v>CUST#2000172616</v>
      </c>
    </row>
    <row r="1187" spans="5:7" x14ac:dyDescent="0.25">
      <c r="E1187" t="str">
        <f>""</f>
        <v/>
      </c>
      <c r="G1187" t="str">
        <f t="shared" si="6"/>
        <v>CUST#2000172616</v>
      </c>
    </row>
    <row r="1188" spans="5:7" x14ac:dyDescent="0.25">
      <c r="E1188" t="str">
        <f>""</f>
        <v/>
      </c>
      <c r="G1188" t="str">
        <f t="shared" si="6"/>
        <v>CUST#2000172616</v>
      </c>
    </row>
    <row r="1189" spans="5:7" x14ac:dyDescent="0.25">
      <c r="E1189" t="str">
        <f>""</f>
        <v/>
      </c>
      <c r="G1189" t="str">
        <f t="shared" si="6"/>
        <v>CUST#2000172616</v>
      </c>
    </row>
    <row r="1190" spans="5:7" x14ac:dyDescent="0.25">
      <c r="E1190" t="str">
        <f>""</f>
        <v/>
      </c>
      <c r="G1190" t="str">
        <f t="shared" si="6"/>
        <v>CUST#2000172616</v>
      </c>
    </row>
    <row r="1191" spans="5:7" x14ac:dyDescent="0.25">
      <c r="E1191" t="str">
        <f>""</f>
        <v/>
      </c>
      <c r="G1191" t="str">
        <f t="shared" si="6"/>
        <v>CUST#2000172616</v>
      </c>
    </row>
    <row r="1192" spans="5:7" x14ac:dyDescent="0.25">
      <c r="E1192" t="str">
        <f>""</f>
        <v/>
      </c>
      <c r="G1192" t="str">
        <f t="shared" si="6"/>
        <v>CUST#2000172616</v>
      </c>
    </row>
    <row r="1193" spans="5:7" x14ac:dyDescent="0.25">
      <c r="E1193" t="str">
        <f>""</f>
        <v/>
      </c>
      <c r="G1193" t="str">
        <f t="shared" si="6"/>
        <v>CUST#2000172616</v>
      </c>
    </row>
    <row r="1194" spans="5:7" x14ac:dyDescent="0.25">
      <c r="E1194" t="str">
        <f>""</f>
        <v/>
      </c>
      <c r="G1194" t="str">
        <f t="shared" si="6"/>
        <v>CUST#2000172616</v>
      </c>
    </row>
    <row r="1195" spans="5:7" x14ac:dyDescent="0.25">
      <c r="E1195" t="str">
        <f>""</f>
        <v/>
      </c>
      <c r="G1195" t="str">
        <f t="shared" si="6"/>
        <v>CUST#2000172616</v>
      </c>
    </row>
    <row r="1196" spans="5:7" x14ac:dyDescent="0.25">
      <c r="E1196" t="str">
        <f>""</f>
        <v/>
      </c>
      <c r="G1196" t="str">
        <f t="shared" si="6"/>
        <v>CUST#2000172616</v>
      </c>
    </row>
    <row r="1197" spans="5:7" x14ac:dyDescent="0.25">
      <c r="E1197" t="str">
        <f>""</f>
        <v/>
      </c>
      <c r="G1197" t="str">
        <f t="shared" si="6"/>
        <v>CUST#2000172616</v>
      </c>
    </row>
    <row r="1198" spans="5:7" x14ac:dyDescent="0.25">
      <c r="E1198" t="str">
        <f>""</f>
        <v/>
      </c>
      <c r="G1198" t="str">
        <f t="shared" si="6"/>
        <v>CUST#2000172616</v>
      </c>
    </row>
    <row r="1199" spans="5:7" x14ac:dyDescent="0.25">
      <c r="E1199" t="str">
        <f>""</f>
        <v/>
      </c>
      <c r="G1199" t="str">
        <f t="shared" si="6"/>
        <v>CUST#2000172616</v>
      </c>
    </row>
    <row r="1200" spans="5:7" x14ac:dyDescent="0.25">
      <c r="E1200" t="str">
        <f>""</f>
        <v/>
      </c>
      <c r="G1200" t="str">
        <f t="shared" si="6"/>
        <v>CUST#2000172616</v>
      </c>
    </row>
    <row r="1201" spans="1:7" x14ac:dyDescent="0.25">
      <c r="E1201" t="str">
        <f>""</f>
        <v/>
      </c>
      <c r="G1201" t="str">
        <f t="shared" si="6"/>
        <v>CUST#2000172616</v>
      </c>
    </row>
    <row r="1202" spans="1:7" x14ac:dyDescent="0.25">
      <c r="E1202" t="str">
        <f>""</f>
        <v/>
      </c>
      <c r="G1202" t="str">
        <f t="shared" si="6"/>
        <v>CUST#2000172616</v>
      </c>
    </row>
    <row r="1203" spans="1:7" x14ac:dyDescent="0.25">
      <c r="E1203" t="str">
        <f>""</f>
        <v/>
      </c>
      <c r="G1203" t="str">
        <f t="shared" si="6"/>
        <v>CUST#2000172616</v>
      </c>
    </row>
    <row r="1204" spans="1:7" x14ac:dyDescent="0.25">
      <c r="E1204" t="str">
        <f>""</f>
        <v/>
      </c>
      <c r="G1204" t="str">
        <f t="shared" si="6"/>
        <v>CUST#2000172616</v>
      </c>
    </row>
    <row r="1205" spans="1:7" x14ac:dyDescent="0.25">
      <c r="E1205" t="str">
        <f>""</f>
        <v/>
      </c>
      <c r="G1205" t="str">
        <f t="shared" si="6"/>
        <v>CUST#2000172616</v>
      </c>
    </row>
    <row r="1206" spans="1:7" x14ac:dyDescent="0.25">
      <c r="A1206" t="s">
        <v>424</v>
      </c>
      <c r="B1206">
        <v>84590</v>
      </c>
      <c r="C1206" s="2">
        <v>24970.99</v>
      </c>
      <c r="D1206" s="1">
        <v>43766</v>
      </c>
      <c r="E1206" t="str">
        <f>"CUST#2000172616"</f>
        <v>CUST#2000172616</v>
      </c>
      <c r="F1206" s="2">
        <v>1676.27</v>
      </c>
      <c r="G1206" t="str">
        <f t="shared" si="6"/>
        <v>CUST#2000172616</v>
      </c>
    </row>
    <row r="1207" spans="1:7" x14ac:dyDescent="0.25">
      <c r="E1207" t="str">
        <f>""</f>
        <v/>
      </c>
      <c r="G1207" t="str">
        <f t="shared" si="6"/>
        <v>CUST#2000172616</v>
      </c>
    </row>
    <row r="1208" spans="1:7" x14ac:dyDescent="0.25">
      <c r="E1208" t="str">
        <f>""</f>
        <v/>
      </c>
      <c r="G1208" t="str">
        <f t="shared" si="6"/>
        <v>CUST#2000172616</v>
      </c>
    </row>
    <row r="1209" spans="1:7" x14ac:dyDescent="0.25">
      <c r="E1209" t="str">
        <f>""</f>
        <v/>
      </c>
      <c r="G1209" t="str">
        <f t="shared" ref="G1209:G1240" si="7">"CUST#2000172616"</f>
        <v>CUST#2000172616</v>
      </c>
    </row>
    <row r="1210" spans="1:7" x14ac:dyDescent="0.25">
      <c r="E1210" t="str">
        <f>""</f>
        <v/>
      </c>
      <c r="G1210" t="str">
        <f t="shared" si="7"/>
        <v>CUST#2000172616</v>
      </c>
    </row>
    <row r="1211" spans="1:7" x14ac:dyDescent="0.25">
      <c r="E1211" t="str">
        <f>""</f>
        <v/>
      </c>
      <c r="G1211" t="str">
        <f t="shared" si="7"/>
        <v>CUST#2000172616</v>
      </c>
    </row>
    <row r="1212" spans="1:7" x14ac:dyDescent="0.25">
      <c r="E1212" t="str">
        <f>""</f>
        <v/>
      </c>
      <c r="G1212" t="str">
        <f t="shared" si="7"/>
        <v>CUST#2000172616</v>
      </c>
    </row>
    <row r="1213" spans="1:7" x14ac:dyDescent="0.25">
      <c r="E1213" t="str">
        <f>""</f>
        <v/>
      </c>
      <c r="G1213" t="str">
        <f t="shared" si="7"/>
        <v>CUST#2000172616</v>
      </c>
    </row>
    <row r="1214" spans="1:7" x14ac:dyDescent="0.25">
      <c r="E1214" t="str">
        <f>""</f>
        <v/>
      </c>
      <c r="G1214" t="str">
        <f t="shared" si="7"/>
        <v>CUST#2000172616</v>
      </c>
    </row>
    <row r="1215" spans="1:7" x14ac:dyDescent="0.25">
      <c r="E1215" t="str">
        <f>""</f>
        <v/>
      </c>
      <c r="G1215" t="str">
        <f t="shared" si="7"/>
        <v>CUST#2000172616</v>
      </c>
    </row>
    <row r="1216" spans="1:7" x14ac:dyDescent="0.25">
      <c r="E1216" t="str">
        <f>""</f>
        <v/>
      </c>
      <c r="G1216" t="str">
        <f t="shared" si="7"/>
        <v>CUST#2000172616</v>
      </c>
    </row>
    <row r="1217" spans="5:7" x14ac:dyDescent="0.25">
      <c r="E1217" t="str">
        <f>""</f>
        <v/>
      </c>
      <c r="G1217" t="str">
        <f t="shared" si="7"/>
        <v>CUST#2000172616</v>
      </c>
    </row>
    <row r="1218" spans="5:7" x14ac:dyDescent="0.25">
      <c r="E1218" t="str">
        <f>""</f>
        <v/>
      </c>
      <c r="G1218" t="str">
        <f t="shared" si="7"/>
        <v>CUST#2000172616</v>
      </c>
    </row>
    <row r="1219" spans="5:7" x14ac:dyDescent="0.25">
      <c r="E1219" t="str">
        <f>"CUST#2000172616"</f>
        <v>CUST#2000172616</v>
      </c>
      <c r="F1219" s="2">
        <v>14412.3</v>
      </c>
      <c r="G1219" t="str">
        <f t="shared" si="7"/>
        <v>CUST#2000172616</v>
      </c>
    </row>
    <row r="1220" spans="5:7" x14ac:dyDescent="0.25">
      <c r="E1220" t="str">
        <f>""</f>
        <v/>
      </c>
      <c r="G1220" t="str">
        <f t="shared" si="7"/>
        <v>CUST#2000172616</v>
      </c>
    </row>
    <row r="1221" spans="5:7" x14ac:dyDescent="0.25">
      <c r="E1221" t="str">
        <f>""</f>
        <v/>
      </c>
      <c r="G1221" t="str">
        <f t="shared" si="7"/>
        <v>CUST#2000172616</v>
      </c>
    </row>
    <row r="1222" spans="5:7" x14ac:dyDescent="0.25">
      <c r="E1222" t="str">
        <f>""</f>
        <v/>
      </c>
      <c r="G1222" t="str">
        <f t="shared" si="7"/>
        <v>CUST#2000172616</v>
      </c>
    </row>
    <row r="1223" spans="5:7" x14ac:dyDescent="0.25">
      <c r="E1223" t="str">
        <f>""</f>
        <v/>
      </c>
      <c r="G1223" t="str">
        <f t="shared" si="7"/>
        <v>CUST#2000172616</v>
      </c>
    </row>
    <row r="1224" spans="5:7" x14ac:dyDescent="0.25">
      <c r="E1224" t="str">
        <f>""</f>
        <v/>
      </c>
      <c r="G1224" t="str">
        <f t="shared" si="7"/>
        <v>CUST#2000172616</v>
      </c>
    </row>
    <row r="1225" spans="5:7" x14ac:dyDescent="0.25">
      <c r="E1225" t="str">
        <f>""</f>
        <v/>
      </c>
      <c r="G1225" t="str">
        <f t="shared" si="7"/>
        <v>CUST#2000172616</v>
      </c>
    </row>
    <row r="1226" spans="5:7" x14ac:dyDescent="0.25">
      <c r="E1226" t="str">
        <f>""</f>
        <v/>
      </c>
      <c r="G1226" t="str">
        <f t="shared" si="7"/>
        <v>CUST#2000172616</v>
      </c>
    </row>
    <row r="1227" spans="5:7" x14ac:dyDescent="0.25">
      <c r="E1227" t="str">
        <f>""</f>
        <v/>
      </c>
      <c r="G1227" t="str">
        <f t="shared" si="7"/>
        <v>CUST#2000172616</v>
      </c>
    </row>
    <row r="1228" spans="5:7" x14ac:dyDescent="0.25">
      <c r="E1228" t="str">
        <f>""</f>
        <v/>
      </c>
      <c r="G1228" t="str">
        <f t="shared" si="7"/>
        <v>CUST#2000172616</v>
      </c>
    </row>
    <row r="1229" spans="5:7" x14ac:dyDescent="0.25">
      <c r="E1229" t="str">
        <f>""</f>
        <v/>
      </c>
      <c r="G1229" t="str">
        <f t="shared" si="7"/>
        <v>CUST#2000172616</v>
      </c>
    </row>
    <row r="1230" spans="5:7" x14ac:dyDescent="0.25">
      <c r="E1230" t="str">
        <f>""</f>
        <v/>
      </c>
      <c r="G1230" t="str">
        <f t="shared" si="7"/>
        <v>CUST#2000172616</v>
      </c>
    </row>
    <row r="1231" spans="5:7" x14ac:dyDescent="0.25">
      <c r="E1231" t="str">
        <f>""</f>
        <v/>
      </c>
      <c r="G1231" t="str">
        <f t="shared" si="7"/>
        <v>CUST#2000172616</v>
      </c>
    </row>
    <row r="1232" spans="5:7" x14ac:dyDescent="0.25">
      <c r="E1232" t="str">
        <f>""</f>
        <v/>
      </c>
      <c r="G1232" t="str">
        <f t="shared" si="7"/>
        <v>CUST#2000172616</v>
      </c>
    </row>
    <row r="1233" spans="5:7" x14ac:dyDescent="0.25">
      <c r="E1233" t="str">
        <f>""</f>
        <v/>
      </c>
      <c r="G1233" t="str">
        <f t="shared" si="7"/>
        <v>CUST#2000172616</v>
      </c>
    </row>
    <row r="1234" spans="5:7" x14ac:dyDescent="0.25">
      <c r="E1234" t="str">
        <f>""</f>
        <v/>
      </c>
      <c r="G1234" t="str">
        <f t="shared" si="7"/>
        <v>CUST#2000172616</v>
      </c>
    </row>
    <row r="1235" spans="5:7" x14ac:dyDescent="0.25">
      <c r="E1235" t="str">
        <f>""</f>
        <v/>
      </c>
      <c r="G1235" t="str">
        <f t="shared" si="7"/>
        <v>CUST#2000172616</v>
      </c>
    </row>
    <row r="1236" spans="5:7" x14ac:dyDescent="0.25">
      <c r="E1236" t="str">
        <f>""</f>
        <v/>
      </c>
      <c r="G1236" t="str">
        <f t="shared" si="7"/>
        <v>CUST#2000172616</v>
      </c>
    </row>
    <row r="1237" spans="5:7" x14ac:dyDescent="0.25">
      <c r="E1237" t="str">
        <f>""</f>
        <v/>
      </c>
      <c r="G1237" t="str">
        <f t="shared" si="7"/>
        <v>CUST#2000172616</v>
      </c>
    </row>
    <row r="1238" spans="5:7" x14ac:dyDescent="0.25">
      <c r="E1238" t="str">
        <f>""</f>
        <v/>
      </c>
      <c r="G1238" t="str">
        <f t="shared" si="7"/>
        <v>CUST#2000172616</v>
      </c>
    </row>
    <row r="1239" spans="5:7" x14ac:dyDescent="0.25">
      <c r="E1239" t="str">
        <f>"CUST#2000172616"</f>
        <v>CUST#2000172616</v>
      </c>
      <c r="F1239" s="2">
        <v>8882.42</v>
      </c>
      <c r="G1239" t="str">
        <f t="shared" si="7"/>
        <v>CUST#2000172616</v>
      </c>
    </row>
    <row r="1240" spans="5:7" x14ac:dyDescent="0.25">
      <c r="E1240" t="str">
        <f>""</f>
        <v/>
      </c>
      <c r="G1240" t="str">
        <f t="shared" si="7"/>
        <v>CUST#2000172616</v>
      </c>
    </row>
    <row r="1241" spans="5:7" x14ac:dyDescent="0.25">
      <c r="E1241" t="str">
        <f>""</f>
        <v/>
      </c>
      <c r="G1241" t="str">
        <f t="shared" ref="G1241:G1268" si="8">"CUST#2000172616"</f>
        <v>CUST#2000172616</v>
      </c>
    </row>
    <row r="1242" spans="5:7" x14ac:dyDescent="0.25">
      <c r="E1242" t="str">
        <f>""</f>
        <v/>
      </c>
      <c r="G1242" t="str">
        <f t="shared" si="8"/>
        <v>CUST#2000172616</v>
      </c>
    </row>
    <row r="1243" spans="5:7" x14ac:dyDescent="0.25">
      <c r="E1243" t="str">
        <f>""</f>
        <v/>
      </c>
      <c r="G1243" t="str">
        <f t="shared" si="8"/>
        <v>CUST#2000172616</v>
      </c>
    </row>
    <row r="1244" spans="5:7" x14ac:dyDescent="0.25">
      <c r="E1244" t="str">
        <f>""</f>
        <v/>
      </c>
      <c r="G1244" t="str">
        <f t="shared" si="8"/>
        <v>CUST#2000172616</v>
      </c>
    </row>
    <row r="1245" spans="5:7" x14ac:dyDescent="0.25">
      <c r="E1245" t="str">
        <f>""</f>
        <v/>
      </c>
      <c r="G1245" t="str">
        <f t="shared" si="8"/>
        <v>CUST#2000172616</v>
      </c>
    </row>
    <row r="1246" spans="5:7" x14ac:dyDescent="0.25">
      <c r="E1246" t="str">
        <f>""</f>
        <v/>
      </c>
      <c r="G1246" t="str">
        <f t="shared" si="8"/>
        <v>CUST#2000172616</v>
      </c>
    </row>
    <row r="1247" spans="5:7" x14ac:dyDescent="0.25">
      <c r="E1247" t="str">
        <f>""</f>
        <v/>
      </c>
      <c r="G1247" t="str">
        <f t="shared" si="8"/>
        <v>CUST#2000172616</v>
      </c>
    </row>
    <row r="1248" spans="5:7" x14ac:dyDescent="0.25">
      <c r="E1248" t="str">
        <f>""</f>
        <v/>
      </c>
      <c r="G1248" t="str">
        <f t="shared" si="8"/>
        <v>CUST#2000172616</v>
      </c>
    </row>
    <row r="1249" spans="5:7" x14ac:dyDescent="0.25">
      <c r="E1249" t="str">
        <f>""</f>
        <v/>
      </c>
      <c r="G1249" t="str">
        <f t="shared" si="8"/>
        <v>CUST#2000172616</v>
      </c>
    </row>
    <row r="1250" spans="5:7" x14ac:dyDescent="0.25">
      <c r="E1250" t="str">
        <f>""</f>
        <v/>
      </c>
      <c r="G1250" t="str">
        <f t="shared" si="8"/>
        <v>CUST#2000172616</v>
      </c>
    </row>
    <row r="1251" spans="5:7" x14ac:dyDescent="0.25">
      <c r="E1251" t="str">
        <f>""</f>
        <v/>
      </c>
      <c r="G1251" t="str">
        <f t="shared" si="8"/>
        <v>CUST#2000172616</v>
      </c>
    </row>
    <row r="1252" spans="5:7" x14ac:dyDescent="0.25">
      <c r="E1252" t="str">
        <f>""</f>
        <v/>
      </c>
      <c r="G1252" t="str">
        <f t="shared" si="8"/>
        <v>CUST#2000172616</v>
      </c>
    </row>
    <row r="1253" spans="5:7" x14ac:dyDescent="0.25">
      <c r="E1253" t="str">
        <f>""</f>
        <v/>
      </c>
      <c r="G1253" t="str">
        <f t="shared" si="8"/>
        <v>CUST#2000172616</v>
      </c>
    </row>
    <row r="1254" spans="5:7" x14ac:dyDescent="0.25">
      <c r="E1254" t="str">
        <f>""</f>
        <v/>
      </c>
      <c r="G1254" t="str">
        <f t="shared" si="8"/>
        <v>CUST#2000172616</v>
      </c>
    </row>
    <row r="1255" spans="5:7" x14ac:dyDescent="0.25">
      <c r="E1255" t="str">
        <f>""</f>
        <v/>
      </c>
      <c r="G1255" t="str">
        <f t="shared" si="8"/>
        <v>CUST#2000172616</v>
      </c>
    </row>
    <row r="1256" spans="5:7" x14ac:dyDescent="0.25">
      <c r="E1256" t="str">
        <f>""</f>
        <v/>
      </c>
      <c r="G1256" t="str">
        <f t="shared" si="8"/>
        <v>CUST#2000172616</v>
      </c>
    </row>
    <row r="1257" spans="5:7" x14ac:dyDescent="0.25">
      <c r="E1257" t="str">
        <f>""</f>
        <v/>
      </c>
      <c r="G1257" t="str">
        <f t="shared" si="8"/>
        <v>CUST#2000172616</v>
      </c>
    </row>
    <row r="1258" spans="5:7" x14ac:dyDescent="0.25">
      <c r="E1258" t="str">
        <f>""</f>
        <v/>
      </c>
      <c r="G1258" t="str">
        <f t="shared" si="8"/>
        <v>CUST#2000172616</v>
      </c>
    </row>
    <row r="1259" spans="5:7" x14ac:dyDescent="0.25">
      <c r="E1259" t="str">
        <f>""</f>
        <v/>
      </c>
      <c r="G1259" t="str">
        <f t="shared" si="8"/>
        <v>CUST#2000172616</v>
      </c>
    </row>
    <row r="1260" spans="5:7" x14ac:dyDescent="0.25">
      <c r="E1260" t="str">
        <f>""</f>
        <v/>
      </c>
      <c r="G1260" t="str">
        <f t="shared" si="8"/>
        <v>CUST#2000172616</v>
      </c>
    </row>
    <row r="1261" spans="5:7" x14ac:dyDescent="0.25">
      <c r="E1261" t="str">
        <f>""</f>
        <v/>
      </c>
      <c r="G1261" t="str">
        <f t="shared" si="8"/>
        <v>CUST#2000172616</v>
      </c>
    </row>
    <row r="1262" spans="5:7" x14ac:dyDescent="0.25">
      <c r="E1262" t="str">
        <f>""</f>
        <v/>
      </c>
      <c r="G1262" t="str">
        <f t="shared" si="8"/>
        <v>CUST#2000172616</v>
      </c>
    </row>
    <row r="1263" spans="5:7" x14ac:dyDescent="0.25">
      <c r="E1263" t="str">
        <f>""</f>
        <v/>
      </c>
      <c r="G1263" t="str">
        <f t="shared" si="8"/>
        <v>CUST#2000172616</v>
      </c>
    </row>
    <row r="1264" spans="5:7" x14ac:dyDescent="0.25">
      <c r="E1264" t="str">
        <f>""</f>
        <v/>
      </c>
      <c r="G1264" t="str">
        <f t="shared" si="8"/>
        <v>CUST#2000172616</v>
      </c>
    </row>
    <row r="1265" spans="1:7" x14ac:dyDescent="0.25">
      <c r="E1265" t="str">
        <f>""</f>
        <v/>
      </c>
      <c r="G1265" t="str">
        <f t="shared" si="8"/>
        <v>CUST#2000172616</v>
      </c>
    </row>
    <row r="1266" spans="1:7" x14ac:dyDescent="0.25">
      <c r="E1266" t="str">
        <f>""</f>
        <v/>
      </c>
      <c r="G1266" t="str">
        <f t="shared" si="8"/>
        <v>CUST#2000172616</v>
      </c>
    </row>
    <row r="1267" spans="1:7" x14ac:dyDescent="0.25">
      <c r="E1267" t="str">
        <f>""</f>
        <v/>
      </c>
      <c r="G1267" t="str">
        <f t="shared" si="8"/>
        <v>CUST#2000172616</v>
      </c>
    </row>
    <row r="1268" spans="1:7" x14ac:dyDescent="0.25">
      <c r="E1268" t="str">
        <f>""</f>
        <v/>
      </c>
      <c r="G1268" t="str">
        <f t="shared" si="8"/>
        <v>CUST#2000172616</v>
      </c>
    </row>
    <row r="1269" spans="1:7" x14ac:dyDescent="0.25">
      <c r="A1269" t="s">
        <v>425</v>
      </c>
      <c r="B1269">
        <v>84320</v>
      </c>
      <c r="C1269" s="2">
        <v>80</v>
      </c>
      <c r="D1269" s="1">
        <v>43753</v>
      </c>
      <c r="E1269" t="str">
        <f>"TIRE/PCT#2"</f>
        <v>TIRE/PCT#2</v>
      </c>
      <c r="F1269" s="2">
        <v>10</v>
      </c>
      <c r="G1269" t="str">
        <f>"TIRE/PCT#2"</f>
        <v>TIRE/PCT#2</v>
      </c>
    </row>
    <row r="1270" spans="1:7" x14ac:dyDescent="0.25">
      <c r="E1270" t="str">
        <f>"BALANCE/MOUNT/PCT#2"</f>
        <v>BALANCE/MOUNT/PCT#2</v>
      </c>
      <c r="F1270" s="2">
        <v>70</v>
      </c>
      <c r="G1270" t="str">
        <f>"BALANCE/MOUNT/PCT#2"</f>
        <v>BALANCE/MOUNT/PCT#2</v>
      </c>
    </row>
    <row r="1271" spans="1:7" x14ac:dyDescent="0.25">
      <c r="A1271" t="s">
        <v>426</v>
      </c>
      <c r="B1271">
        <v>1626</v>
      </c>
      <c r="C1271" s="2">
        <v>360</v>
      </c>
      <c r="D1271" s="1">
        <v>43767</v>
      </c>
      <c r="E1271" t="str">
        <f>"INV I013342 / 6539"</f>
        <v>INV I013342 / 6539</v>
      </c>
      <c r="F1271" s="2">
        <v>360</v>
      </c>
      <c r="G1271" t="str">
        <f>"INV I013342 / 6539"</f>
        <v>INV I013342 / 6539</v>
      </c>
    </row>
    <row r="1272" spans="1:7" x14ac:dyDescent="0.25">
      <c r="A1272" t="s">
        <v>427</v>
      </c>
      <c r="B1272">
        <v>1564</v>
      </c>
      <c r="C1272" s="2">
        <v>700</v>
      </c>
      <c r="D1272" s="1">
        <v>43754</v>
      </c>
      <c r="E1272" t="str">
        <f>"INV BCSOSEP19"</f>
        <v>INV BCSOSEP19</v>
      </c>
      <c r="F1272" s="2">
        <v>700</v>
      </c>
      <c r="G1272" t="str">
        <f>"INV BCSOSEP19"</f>
        <v>INV BCSOSEP19</v>
      </c>
    </row>
    <row r="1273" spans="1:7" x14ac:dyDescent="0.25">
      <c r="A1273" t="s">
        <v>428</v>
      </c>
      <c r="B1273">
        <v>84321</v>
      </c>
      <c r="C1273" s="2">
        <v>53.36</v>
      </c>
      <c r="D1273" s="1">
        <v>43753</v>
      </c>
      <c r="E1273" t="str">
        <f>"CUST ID:90564/ORD#2765168"</f>
        <v>CUST ID:90564/ORD#2765168</v>
      </c>
      <c r="F1273" s="2">
        <v>53.36</v>
      </c>
      <c r="G1273" t="str">
        <f>"CUST ID:90564/ORD#2765168"</f>
        <v>CUST ID:90564/ORD#2765168</v>
      </c>
    </row>
    <row r="1274" spans="1:7" x14ac:dyDescent="0.25">
      <c r="A1274" t="s">
        <v>429</v>
      </c>
      <c r="B1274">
        <v>84322</v>
      </c>
      <c r="C1274" s="2">
        <v>28</v>
      </c>
      <c r="D1274" s="1">
        <v>43753</v>
      </c>
      <c r="E1274" t="str">
        <f>"inv#191004-6"</f>
        <v>inv#191004-6</v>
      </c>
      <c r="F1274" s="2">
        <v>28</v>
      </c>
      <c r="G1274" t="str">
        <f>"GD64000"</f>
        <v>GD64000</v>
      </c>
    </row>
    <row r="1275" spans="1:7" x14ac:dyDescent="0.25">
      <c r="A1275" t="s">
        <v>430</v>
      </c>
      <c r="B1275">
        <v>84323</v>
      </c>
      <c r="C1275" s="2">
        <v>635</v>
      </c>
      <c r="D1275" s="1">
        <v>43753</v>
      </c>
      <c r="E1275" t="str">
        <f>"DEVELOPMENT SVCS RECORDING"</f>
        <v>DEVELOPMENT SVCS RECORDING</v>
      </c>
      <c r="F1275" s="2">
        <v>635</v>
      </c>
      <c r="G1275" t="str">
        <f>"DEVELOPMENT SVCS RECORDING"</f>
        <v>DEVELOPMENT SVCS RECORDING</v>
      </c>
    </row>
    <row r="1276" spans="1:7" x14ac:dyDescent="0.25">
      <c r="A1276" t="s">
        <v>430</v>
      </c>
      <c r="B1276">
        <v>84591</v>
      </c>
      <c r="C1276" s="2">
        <v>120</v>
      </c>
      <c r="D1276" s="1">
        <v>43766</v>
      </c>
      <c r="E1276" t="str">
        <f>"LPHCP RECORDING FEES"</f>
        <v>LPHCP RECORDING FEES</v>
      </c>
      <c r="F1276" s="2">
        <v>66</v>
      </c>
      <c r="G1276" t="str">
        <f>"LPHCP RECORDING FEES"</f>
        <v>LPHCP RECORDING FEES</v>
      </c>
    </row>
    <row r="1277" spans="1:7" x14ac:dyDescent="0.25">
      <c r="E1277" t="str">
        <f>"LPHCP RECORDING FEES"</f>
        <v>LPHCP RECORDING FEES</v>
      </c>
      <c r="F1277" s="2">
        <v>54</v>
      </c>
      <c r="G1277" t="str">
        <f>"LPHCP RECORDING FEES"</f>
        <v>LPHCP RECORDING FEES</v>
      </c>
    </row>
    <row r="1278" spans="1:7" x14ac:dyDescent="0.25">
      <c r="A1278" t="s">
        <v>430</v>
      </c>
      <c r="B1278">
        <v>84592</v>
      </c>
      <c r="C1278" s="2">
        <v>389.78</v>
      </c>
      <c r="D1278" s="1">
        <v>43766</v>
      </c>
      <c r="E1278" t="str">
        <f>"CHECKS ORDER CHARGE"</f>
        <v>CHECKS ORDER CHARGE</v>
      </c>
      <c r="F1278" s="2">
        <v>156.78</v>
      </c>
      <c r="G1278" t="str">
        <f>"CHECKS ORDER CHARGE"</f>
        <v>CHECKS ORDER CHARGE</v>
      </c>
    </row>
    <row r="1279" spans="1:7" x14ac:dyDescent="0.25">
      <c r="E1279" t="str">
        <f>"DEVELOPMENT SVCS RECORDING FEE"</f>
        <v>DEVELOPMENT SVCS RECORDING FEE</v>
      </c>
      <c r="F1279" s="2">
        <v>233</v>
      </c>
      <c r="G1279" t="str">
        <f>"DEVELOPMENT SVCS RECORDING FEE"</f>
        <v>DEVELOPMENT SVCS RECORDING FEE</v>
      </c>
    </row>
    <row r="1280" spans="1:7" x14ac:dyDescent="0.25">
      <c r="A1280" t="s">
        <v>431</v>
      </c>
      <c r="B1280">
        <v>84593</v>
      </c>
      <c r="C1280" s="2">
        <v>3303.04</v>
      </c>
      <c r="D1280" s="1">
        <v>43766</v>
      </c>
      <c r="E1280" t="str">
        <f>"RUSH TRUCK CENTERS OF TEXAS  L"</f>
        <v>RUSH TRUCK CENTERS OF TEXAS  L</v>
      </c>
      <c r="F1280" s="2">
        <v>1504.88</v>
      </c>
      <c r="G1280" t="str">
        <f>"Truck Maintenance"</f>
        <v>Truck Maintenance</v>
      </c>
    </row>
    <row r="1281" spans="1:8" x14ac:dyDescent="0.25">
      <c r="E1281" t="str">
        <f>"CUST#13696/PCT#3"</f>
        <v>CUST#13696/PCT#3</v>
      </c>
      <c r="F1281" s="2">
        <v>1798.16</v>
      </c>
      <c r="G1281" t="str">
        <f>"CUST#13696/PCT#3"</f>
        <v>CUST#13696/PCT#3</v>
      </c>
    </row>
    <row r="1282" spans="1:8" x14ac:dyDescent="0.25">
      <c r="A1282" t="s">
        <v>432</v>
      </c>
      <c r="B1282">
        <v>84324</v>
      </c>
      <c r="C1282" s="2">
        <v>276.10000000000002</v>
      </c>
      <c r="D1282" s="1">
        <v>43753</v>
      </c>
      <c r="E1282" t="str">
        <f>"SPANISH INTERPRETER 04/22/19"</f>
        <v>SPANISH INTERPRETER 04/22/19</v>
      </c>
      <c r="F1282" s="2">
        <v>276.10000000000002</v>
      </c>
      <c r="G1282" t="str">
        <f>"SPANISH INTERPRETER 04/22/19"</f>
        <v>SPANISH INTERPRETER 04/22/19</v>
      </c>
    </row>
    <row r="1283" spans="1:8" x14ac:dyDescent="0.25">
      <c r="A1283" t="s">
        <v>433</v>
      </c>
      <c r="B1283">
        <v>84325</v>
      </c>
      <c r="C1283" s="2">
        <v>99.97</v>
      </c>
      <c r="D1283" s="1">
        <v>43753</v>
      </c>
      <c r="E1283" t="str">
        <f>"ACCT#353829/2014 DODGE/PCT#2"</f>
        <v>ACCT#353829/2014 DODGE/PCT#2</v>
      </c>
      <c r="F1283" s="2">
        <v>99.97</v>
      </c>
      <c r="G1283" t="str">
        <f>"ACCT#353829/2014 DODGE/PCT#2"</f>
        <v>ACCT#353829/2014 DODGE/PCT#2</v>
      </c>
    </row>
    <row r="1284" spans="1:8" x14ac:dyDescent="0.25">
      <c r="A1284" t="s">
        <v>434</v>
      </c>
      <c r="B1284">
        <v>84326</v>
      </c>
      <c r="C1284" s="2">
        <v>780</v>
      </c>
      <c r="D1284" s="1">
        <v>43753</v>
      </c>
      <c r="E1284" t="str">
        <f>"REGISTRATION"</f>
        <v>REGISTRATION</v>
      </c>
      <c r="F1284" s="2">
        <v>780</v>
      </c>
      <c r="G1284" t="str">
        <f>"L. MILLER"</f>
        <v>L. MILLER</v>
      </c>
    </row>
    <row r="1285" spans="1:8" x14ac:dyDescent="0.25">
      <c r="E1285" t="str">
        <f>""</f>
        <v/>
      </c>
      <c r="G1285" t="str">
        <f>"B. GOMEZ"</f>
        <v>B. GOMEZ</v>
      </c>
    </row>
    <row r="1286" spans="1:8" x14ac:dyDescent="0.25">
      <c r="E1286" t="str">
        <f>""</f>
        <v/>
      </c>
      <c r="G1286" t="str">
        <f>"J. GRIFFITH"</f>
        <v>J. GRIFFITH</v>
      </c>
    </row>
    <row r="1287" spans="1:8" x14ac:dyDescent="0.25">
      <c r="A1287" t="s">
        <v>435</v>
      </c>
      <c r="B1287">
        <v>1674</v>
      </c>
      <c r="C1287" s="2">
        <v>280.38</v>
      </c>
      <c r="D1287" s="1">
        <v>43767</v>
      </c>
      <c r="E1287" t="str">
        <f>"INDIGENT HEALTH"</f>
        <v>INDIGENT HEALTH</v>
      </c>
      <c r="F1287" s="2">
        <v>280.38</v>
      </c>
      <c r="G1287" t="str">
        <f>"INDIGENT HEALTH"</f>
        <v>INDIGENT HEALTH</v>
      </c>
    </row>
    <row r="1288" spans="1:8" x14ac:dyDescent="0.25">
      <c r="A1288" t="s">
        <v>436</v>
      </c>
      <c r="B1288">
        <v>84327</v>
      </c>
      <c r="C1288" s="2">
        <v>210</v>
      </c>
      <c r="D1288" s="1">
        <v>43753</v>
      </c>
      <c r="E1288" t="str">
        <f>"SEMINAR-KRISTIN MILES"</f>
        <v>SEMINAR-KRISTIN MILES</v>
      </c>
      <c r="F1288" s="2">
        <v>210</v>
      </c>
      <c r="G1288" t="str">
        <f>"SEMINAR-KRISTIN MILES"</f>
        <v>SEMINAR-KRISTIN MILES</v>
      </c>
    </row>
    <row r="1289" spans="1:8" x14ac:dyDescent="0.25">
      <c r="A1289" t="s">
        <v>437</v>
      </c>
      <c r="B1289">
        <v>84328</v>
      </c>
      <c r="C1289" s="2">
        <v>3000</v>
      </c>
      <c r="D1289" s="1">
        <v>43753</v>
      </c>
      <c r="E1289" t="str">
        <f>"FY 19-20 GRANT"</f>
        <v>FY 19-20 GRANT</v>
      </c>
      <c r="F1289" s="2">
        <v>3000</v>
      </c>
      <c r="G1289" t="str">
        <f>"FY 19-20 GRANT"</f>
        <v>FY 19-20 GRANT</v>
      </c>
    </row>
    <row r="1290" spans="1:8" x14ac:dyDescent="0.25">
      <c r="A1290" t="s">
        <v>438</v>
      </c>
      <c r="B1290">
        <v>84594</v>
      </c>
      <c r="C1290" s="2">
        <v>79.62</v>
      </c>
      <c r="D1290" s="1">
        <v>43766</v>
      </c>
      <c r="E1290" t="str">
        <f>"INDIGENT HEALTH"</f>
        <v>INDIGENT HEALTH</v>
      </c>
      <c r="F1290" s="2">
        <v>79.62</v>
      </c>
      <c r="G1290" t="str">
        <f>"INDIGENT HEALTH"</f>
        <v>INDIGENT HEALTH</v>
      </c>
    </row>
    <row r="1291" spans="1:8" x14ac:dyDescent="0.25">
      <c r="A1291" t="s">
        <v>439</v>
      </c>
      <c r="B1291">
        <v>84595</v>
      </c>
      <c r="C1291" s="2">
        <v>5696.1</v>
      </c>
      <c r="D1291" s="1">
        <v>43766</v>
      </c>
      <c r="E1291" t="str">
        <f>"INDIGENT HEALTH"</f>
        <v>INDIGENT HEALTH</v>
      </c>
      <c r="F1291" s="2">
        <v>2363.1</v>
      </c>
      <c r="G1291" t="str">
        <f>"INDIGENT HEALTH"</f>
        <v>INDIGENT HEALTH</v>
      </c>
    </row>
    <row r="1292" spans="1:8" x14ac:dyDescent="0.25">
      <c r="E1292" t="str">
        <f>"RX ASSISTANCE PROGRAM"</f>
        <v>RX ASSISTANCE PROGRAM</v>
      </c>
      <c r="F1292" s="2">
        <v>3333</v>
      </c>
      <c r="G1292" t="str">
        <f>"RX ASSISTANCE PROGRAM"</f>
        <v>RX ASSISTANCE PROGRAM</v>
      </c>
    </row>
    <row r="1293" spans="1:8" x14ac:dyDescent="0.25">
      <c r="A1293" t="s">
        <v>440</v>
      </c>
      <c r="B1293">
        <v>84329</v>
      </c>
      <c r="C1293" s="2">
        <v>90</v>
      </c>
      <c r="D1293" s="1">
        <v>43753</v>
      </c>
      <c r="E1293" t="s">
        <v>441</v>
      </c>
      <c r="F1293" s="2" t="str">
        <f>"RESTITUTION - D. MCCOMB"</f>
        <v>RESTITUTION - D. MCCOMB</v>
      </c>
      <c r="G1293" t="str">
        <f>"210-0000"</f>
        <v>210-0000</v>
      </c>
      <c r="H1293" t="str">
        <f>""</f>
        <v/>
      </c>
    </row>
    <row r="1294" spans="1:8" x14ac:dyDescent="0.25">
      <c r="E1294" t="s">
        <v>442</v>
      </c>
      <c r="F1294" s="2" t="str">
        <f>"RESTITUTION - D. MCCOMB"</f>
        <v>RESTITUTION - D. MCCOMB</v>
      </c>
      <c r="G1294" t="str">
        <f>"210-0000"</f>
        <v>210-0000</v>
      </c>
      <c r="H1294" t="str">
        <f>""</f>
        <v/>
      </c>
    </row>
    <row r="1295" spans="1:8" x14ac:dyDescent="0.25">
      <c r="E1295" t="s">
        <v>443</v>
      </c>
      <c r="F1295" s="2" t="str">
        <f>"RESTITUTION-D. MCCOMB"</f>
        <v>RESTITUTION-D. MCCOMB</v>
      </c>
      <c r="G1295" t="str">
        <f>"210-0000"</f>
        <v>210-0000</v>
      </c>
      <c r="H1295" t="str">
        <f>""</f>
        <v/>
      </c>
    </row>
    <row r="1296" spans="1:8" x14ac:dyDescent="0.25">
      <c r="A1296" t="s">
        <v>444</v>
      </c>
      <c r="B1296">
        <v>84330</v>
      </c>
      <c r="C1296" s="2">
        <v>291.45</v>
      </c>
      <c r="D1296" s="1">
        <v>43753</v>
      </c>
      <c r="E1296" t="str">
        <f>"ACCT#20147/ANIMAL SVCS"</f>
        <v>ACCT#20147/ANIMAL SVCS</v>
      </c>
      <c r="F1296" s="2">
        <v>291.45</v>
      </c>
      <c r="G1296" t="str">
        <f>"ACCT#20147/ANIMAL SVCS"</f>
        <v>ACCT#20147/ANIMAL SVCS</v>
      </c>
    </row>
    <row r="1297" spans="1:7" x14ac:dyDescent="0.25">
      <c r="A1297" t="s">
        <v>445</v>
      </c>
      <c r="B1297">
        <v>84331</v>
      </c>
      <c r="C1297" s="2">
        <v>85</v>
      </c>
      <c r="D1297" s="1">
        <v>43753</v>
      </c>
      <c r="E1297" t="str">
        <f>"PER DIEM"</f>
        <v>PER DIEM</v>
      </c>
      <c r="F1297" s="2">
        <v>85</v>
      </c>
      <c r="G1297" t="str">
        <f>"PER DIEM"</f>
        <v>PER DIEM</v>
      </c>
    </row>
    <row r="1298" spans="1:7" x14ac:dyDescent="0.25">
      <c r="A1298" t="s">
        <v>446</v>
      </c>
      <c r="B1298">
        <v>84332</v>
      </c>
      <c r="C1298" s="2">
        <v>2552</v>
      </c>
      <c r="D1298" s="1">
        <v>43753</v>
      </c>
      <c r="E1298" t="str">
        <f>"inv# GB00343213"</f>
        <v>inv# GB00343213</v>
      </c>
      <c r="F1298" s="2">
        <v>1087</v>
      </c>
      <c r="G1298" t="str">
        <f>"inv# GB00343213"</f>
        <v>inv# GB00343213</v>
      </c>
    </row>
    <row r="1299" spans="1:7" x14ac:dyDescent="0.25">
      <c r="E1299" t="str">
        <f>"SHI Order"</f>
        <v>SHI Order</v>
      </c>
      <c r="F1299" s="2">
        <v>13</v>
      </c>
      <c r="G1299" t="str">
        <f>"MK120"</f>
        <v>MK120</v>
      </c>
    </row>
    <row r="1300" spans="1:7" x14ac:dyDescent="0.25">
      <c r="E1300" t="str">
        <f>"Toad Edge Software"</f>
        <v>Toad Edge Software</v>
      </c>
      <c r="F1300" s="2">
        <v>290</v>
      </c>
      <c r="G1300" t="str">
        <f>"Part#: PGS-TOD-TB"</f>
        <v>Part#: PGS-TOD-TB</v>
      </c>
    </row>
    <row r="1301" spans="1:7" x14ac:dyDescent="0.25">
      <c r="E1301" t="str">
        <f>"SHI Order"</f>
        <v>SHI Order</v>
      </c>
      <c r="F1301" s="2">
        <v>1162</v>
      </c>
      <c r="G1301" t="str">
        <f>"04NDXP25"</f>
        <v>04NDXP25</v>
      </c>
    </row>
    <row r="1302" spans="1:7" x14ac:dyDescent="0.25">
      <c r="A1302" t="s">
        <v>446</v>
      </c>
      <c r="B1302">
        <v>84596</v>
      </c>
      <c r="C1302" s="2">
        <v>6</v>
      </c>
      <c r="D1302" s="1">
        <v>43766</v>
      </c>
      <c r="E1302" t="str">
        <f>"HDMI cable"</f>
        <v>HDMI cable</v>
      </c>
      <c r="F1302" s="2">
        <v>6</v>
      </c>
      <c r="G1302" t="str">
        <f>"Part#: HDMM6"</f>
        <v>Part#: HDMM6</v>
      </c>
    </row>
    <row r="1303" spans="1:7" x14ac:dyDescent="0.25">
      <c r="A1303" t="s">
        <v>447</v>
      </c>
      <c r="B1303">
        <v>84333</v>
      </c>
      <c r="C1303" s="2">
        <v>872.68</v>
      </c>
      <c r="D1303" s="1">
        <v>43753</v>
      </c>
      <c r="E1303" t="str">
        <f>"ACCT#564591/PCT#2"</f>
        <v>ACCT#564591/PCT#2</v>
      </c>
      <c r="F1303" s="2">
        <v>872.68</v>
      </c>
      <c r="G1303" t="str">
        <f>"ACCT#564591/PCT#2"</f>
        <v>ACCT#564591/PCT#2</v>
      </c>
    </row>
    <row r="1304" spans="1:7" x14ac:dyDescent="0.25">
      <c r="A1304" t="s">
        <v>448</v>
      </c>
      <c r="B1304">
        <v>84334</v>
      </c>
      <c r="C1304" s="2">
        <v>670.27</v>
      </c>
      <c r="D1304" s="1">
        <v>43753</v>
      </c>
      <c r="E1304" t="str">
        <f>"INV 8128284757"</f>
        <v>INV 8128284757</v>
      </c>
      <c r="F1304" s="2">
        <v>158.99</v>
      </c>
      <c r="G1304" t="str">
        <f>"INV 8128284757 - LE"</f>
        <v>INV 8128284757 - LE</v>
      </c>
    </row>
    <row r="1305" spans="1:7" x14ac:dyDescent="0.25">
      <c r="E1305" t="str">
        <f>""</f>
        <v/>
      </c>
      <c r="G1305" t="str">
        <f>"INV 8128284757 - JAI"</f>
        <v>INV 8128284757 - JAI</v>
      </c>
    </row>
    <row r="1306" spans="1:7" x14ac:dyDescent="0.25">
      <c r="E1306" t="str">
        <f>"CUST#16155373/SHREDDING SVCS"</f>
        <v>CUST#16155373/SHREDDING SVCS</v>
      </c>
      <c r="F1306" s="2">
        <v>123.44</v>
      </c>
      <c r="G1306" t="str">
        <f t="shared" ref="G1306:G1311" si="9">"CUST#16155373/SHREDDING SVCS"</f>
        <v>CUST#16155373/SHREDDING SVCS</v>
      </c>
    </row>
    <row r="1307" spans="1:7" x14ac:dyDescent="0.25">
      <c r="E1307" t="str">
        <f>""</f>
        <v/>
      </c>
      <c r="G1307" t="str">
        <f t="shared" si="9"/>
        <v>CUST#16155373/SHREDDING SVCS</v>
      </c>
    </row>
    <row r="1308" spans="1:7" x14ac:dyDescent="0.25">
      <c r="E1308" t="str">
        <f>""</f>
        <v/>
      </c>
      <c r="G1308" t="str">
        <f t="shared" si="9"/>
        <v>CUST#16155373/SHREDDING SVCS</v>
      </c>
    </row>
    <row r="1309" spans="1:7" x14ac:dyDescent="0.25">
      <c r="E1309" t="str">
        <f>""</f>
        <v/>
      </c>
      <c r="G1309" t="str">
        <f t="shared" si="9"/>
        <v>CUST#16155373/SHREDDING SVCS</v>
      </c>
    </row>
    <row r="1310" spans="1:7" x14ac:dyDescent="0.25">
      <c r="E1310" t="str">
        <f>""</f>
        <v/>
      </c>
      <c r="G1310" t="str">
        <f t="shared" si="9"/>
        <v>CUST#16155373/SHREDDING SVCS</v>
      </c>
    </row>
    <row r="1311" spans="1:7" x14ac:dyDescent="0.25">
      <c r="E1311" t="str">
        <f>""</f>
        <v/>
      </c>
      <c r="G1311" t="str">
        <f t="shared" si="9"/>
        <v>CUST#16155373/SHREDDING SVCS</v>
      </c>
    </row>
    <row r="1312" spans="1:7" x14ac:dyDescent="0.25">
      <c r="E1312" t="str">
        <f>"CUST#16156071/SHREDDING SVCS"</f>
        <v>CUST#16156071/SHREDDING SVCS</v>
      </c>
      <c r="F1312" s="2">
        <v>266.11</v>
      </c>
      <c r="G1312" t="str">
        <f>"CUST#16156071/SHREDDING SVCS"</f>
        <v>CUST#16156071/SHREDDING SVCS</v>
      </c>
    </row>
    <row r="1313" spans="1:7" x14ac:dyDescent="0.25">
      <c r="E1313" t="str">
        <f>""</f>
        <v/>
      </c>
      <c r="G1313" t="str">
        <f>"CUST#16156071/SHREDDING SVCS"</f>
        <v>CUST#16156071/SHREDDING SVCS</v>
      </c>
    </row>
    <row r="1314" spans="1:7" x14ac:dyDescent="0.25">
      <c r="E1314" t="str">
        <f>"CUST#16158670/JP#4"</f>
        <v>CUST#16158670/JP#4</v>
      </c>
      <c r="F1314" s="2">
        <v>121.73</v>
      </c>
      <c r="G1314" t="str">
        <f>"CUST#16158670/JP#4"</f>
        <v>CUST#16158670/JP#4</v>
      </c>
    </row>
    <row r="1315" spans="1:7" x14ac:dyDescent="0.25">
      <c r="A1315" t="s">
        <v>449</v>
      </c>
      <c r="B1315">
        <v>84597</v>
      </c>
      <c r="C1315" s="2">
        <v>91.17</v>
      </c>
      <c r="D1315" s="1">
        <v>43766</v>
      </c>
      <c r="E1315" t="str">
        <f>"INDIGENT HEALTH"</f>
        <v>INDIGENT HEALTH</v>
      </c>
      <c r="F1315" s="2">
        <v>91.17</v>
      </c>
      <c r="G1315" t="str">
        <f>"INDIGENT HEALTH"</f>
        <v>INDIGENT HEALTH</v>
      </c>
    </row>
    <row r="1316" spans="1:7" x14ac:dyDescent="0.25">
      <c r="A1316" t="s">
        <v>450</v>
      </c>
      <c r="B1316">
        <v>84335</v>
      </c>
      <c r="C1316" s="2">
        <v>49.15</v>
      </c>
      <c r="D1316" s="1">
        <v>43753</v>
      </c>
      <c r="E1316" t="str">
        <f>"STATEMENT#31588/PCT#2"</f>
        <v>STATEMENT#31588/PCT#2</v>
      </c>
      <c r="F1316" s="2">
        <v>49.15</v>
      </c>
      <c r="G1316" t="str">
        <f>"STATEMENT#31588/PCT#2"</f>
        <v>STATEMENT#31588/PCT#2</v>
      </c>
    </row>
    <row r="1317" spans="1:7" x14ac:dyDescent="0.25">
      <c r="A1317" t="s">
        <v>451</v>
      </c>
      <c r="B1317">
        <v>84336</v>
      </c>
      <c r="C1317" s="2">
        <v>1196.6400000000001</v>
      </c>
      <c r="D1317" s="1">
        <v>43753</v>
      </c>
      <c r="E1317" t="str">
        <f>"ACCT#260/PCT#2"</f>
        <v>ACCT#260/PCT#2</v>
      </c>
      <c r="F1317" s="2">
        <v>1196.6400000000001</v>
      </c>
      <c r="G1317" t="str">
        <f>"ACCT#260/PCT#2"</f>
        <v>ACCT#260/PCT#2</v>
      </c>
    </row>
    <row r="1318" spans="1:7" x14ac:dyDescent="0.25">
      <c r="A1318" t="s">
        <v>452</v>
      </c>
      <c r="B1318">
        <v>84337</v>
      </c>
      <c r="C1318" s="2">
        <v>7000</v>
      </c>
      <c r="D1318" s="1">
        <v>43753</v>
      </c>
      <c r="E1318" t="str">
        <f>"PER BUDGET FY 2019-2020"</f>
        <v>PER BUDGET FY 2019-2020</v>
      </c>
      <c r="F1318" s="2">
        <v>7000</v>
      </c>
      <c r="G1318" t="str">
        <f>"PER BUDGET FY 2019-2020"</f>
        <v>PER BUDGET FY 2019-2020</v>
      </c>
    </row>
    <row r="1319" spans="1:7" x14ac:dyDescent="0.25">
      <c r="A1319" t="s">
        <v>453</v>
      </c>
      <c r="B1319">
        <v>84598</v>
      </c>
      <c r="C1319" s="2">
        <v>10.4</v>
      </c>
      <c r="D1319" s="1">
        <v>43766</v>
      </c>
      <c r="E1319" t="str">
        <f>"ARREST FEES 07/01-09/30"</f>
        <v>ARREST FEES 07/01-09/30</v>
      </c>
      <c r="F1319" s="2">
        <v>10.4</v>
      </c>
      <c r="G1319" t="str">
        <f>"ARREST FEES 07/01-09/30"</f>
        <v>ARREST FEES 07/01-09/30</v>
      </c>
    </row>
    <row r="1320" spans="1:7" x14ac:dyDescent="0.25">
      <c r="A1320" t="s">
        <v>110</v>
      </c>
      <c r="B1320">
        <v>84338</v>
      </c>
      <c r="C1320" s="2">
        <v>8500</v>
      </c>
      <c r="D1320" s="1">
        <v>43753</v>
      </c>
      <c r="E1320" t="str">
        <f>"FY 19-20 FUNDS"</f>
        <v>FY 19-20 FUNDS</v>
      </c>
      <c r="F1320" s="2">
        <v>8500</v>
      </c>
      <c r="G1320" t="str">
        <f>"FY 19-20 FUNDS"</f>
        <v>FY 19-20 FUNDS</v>
      </c>
    </row>
    <row r="1321" spans="1:7" x14ac:dyDescent="0.25">
      <c r="A1321" t="s">
        <v>454</v>
      </c>
      <c r="B1321">
        <v>84339</v>
      </c>
      <c r="C1321" s="2">
        <v>28652</v>
      </c>
      <c r="D1321" s="1">
        <v>43753</v>
      </c>
      <c r="E1321" t="str">
        <f>"70755-0001/EXPS OF FED PERM"</f>
        <v>70755-0001/EXPS OF FED PERM</v>
      </c>
      <c r="F1321" s="2">
        <v>25156</v>
      </c>
      <c r="G1321" t="str">
        <f>"70755-0001/EXPS OF FED PERM"</f>
        <v>70755-0001/EXPS OF FED PERM</v>
      </c>
    </row>
    <row r="1322" spans="1:7" x14ac:dyDescent="0.25">
      <c r="E1322" t="str">
        <f>"70755-0001/EXPS OF FED PERM"</f>
        <v>70755-0001/EXPS OF FED PERM</v>
      </c>
      <c r="F1322" s="2">
        <v>1406</v>
      </c>
      <c r="G1322" t="str">
        <f>"70755-0001/EXPS OF FED PERM"</f>
        <v>70755-0001/EXPS OF FED PERM</v>
      </c>
    </row>
    <row r="1323" spans="1:7" x14ac:dyDescent="0.25">
      <c r="E1323" t="str">
        <f>"70755-0001/EXPS OF FED PERM"</f>
        <v>70755-0001/EXPS OF FED PERM</v>
      </c>
      <c r="F1323" s="2">
        <v>2090</v>
      </c>
      <c r="G1323" t="str">
        <f>"70755-0001/EXPS OF FED PERM"</f>
        <v>70755-0001/EXPS OF FED PERM</v>
      </c>
    </row>
    <row r="1324" spans="1:7" x14ac:dyDescent="0.25">
      <c r="A1324" t="s">
        <v>455</v>
      </c>
      <c r="B1324">
        <v>84340</v>
      </c>
      <c r="C1324" s="2">
        <v>5464.98</v>
      </c>
      <c r="D1324" s="1">
        <v>43753</v>
      </c>
      <c r="E1324" t="str">
        <f>"Solar Winds renewal"</f>
        <v>Solar Winds renewal</v>
      </c>
      <c r="F1324" s="2">
        <v>5464.98</v>
      </c>
      <c r="G1324" t="str">
        <f>" IP Address Manager"</f>
        <v xml:space="preserve"> IP Address Manager</v>
      </c>
    </row>
    <row r="1325" spans="1:7" x14ac:dyDescent="0.25">
      <c r="E1325" t="str">
        <f>""</f>
        <v/>
      </c>
      <c r="G1325" t="str">
        <f>"Network Configuratio"</f>
        <v>Network Configuratio</v>
      </c>
    </row>
    <row r="1326" spans="1:7" x14ac:dyDescent="0.25">
      <c r="E1326" t="str">
        <f>""</f>
        <v/>
      </c>
      <c r="G1326" t="str">
        <f>"Device Tracker"</f>
        <v>Device Tracker</v>
      </c>
    </row>
    <row r="1327" spans="1:7" x14ac:dyDescent="0.25">
      <c r="E1327" t="str">
        <f>""</f>
        <v/>
      </c>
      <c r="G1327" t="str">
        <f>" Engineer's Toolset"</f>
        <v xml:space="preserve"> Engineer's Toolset</v>
      </c>
    </row>
    <row r="1328" spans="1:7" x14ac:dyDescent="0.25">
      <c r="E1328" t="str">
        <f>""</f>
        <v/>
      </c>
      <c r="G1328" t="str">
        <f>"s NetFlow Traffic"</f>
        <v>s NetFlow Traffic</v>
      </c>
    </row>
    <row r="1329" spans="1:7" x14ac:dyDescent="0.25">
      <c r="E1329" t="str">
        <f>""</f>
        <v/>
      </c>
      <c r="G1329" t="str">
        <f>" Network Performance"</f>
        <v xml:space="preserve"> Network Performance</v>
      </c>
    </row>
    <row r="1330" spans="1:7" x14ac:dyDescent="0.25">
      <c r="A1330" t="s">
        <v>456</v>
      </c>
      <c r="B1330">
        <v>84341</v>
      </c>
      <c r="C1330" s="2">
        <v>700</v>
      </c>
      <c r="D1330" s="1">
        <v>43753</v>
      </c>
      <c r="E1330" t="str">
        <f>"CUST#52157/PCT#4"</f>
        <v>CUST#52157/PCT#4</v>
      </c>
      <c r="F1330" s="2">
        <v>700</v>
      </c>
      <c r="G1330" t="str">
        <f>"CUST#52157/PCT#4"</f>
        <v>CUST#52157/PCT#4</v>
      </c>
    </row>
    <row r="1331" spans="1:7" x14ac:dyDescent="0.25">
      <c r="A1331" t="s">
        <v>456</v>
      </c>
      <c r="B1331">
        <v>84599</v>
      </c>
      <c r="C1331" s="2">
        <v>4239</v>
      </c>
      <c r="D1331" s="1">
        <v>43766</v>
      </c>
      <c r="E1331" t="str">
        <f>"CUST#52157/PCT#3"</f>
        <v>CUST#52157/PCT#3</v>
      </c>
      <c r="F1331" s="2">
        <v>3676.1</v>
      </c>
      <c r="G1331" t="str">
        <f>"CUST#52157/PCT#3"</f>
        <v>CUST#52157/PCT#3</v>
      </c>
    </row>
    <row r="1332" spans="1:7" x14ac:dyDescent="0.25">
      <c r="E1332" t="str">
        <f>"CUST#52157/PCT#4"</f>
        <v>CUST#52157/PCT#4</v>
      </c>
      <c r="F1332" s="2">
        <v>562.9</v>
      </c>
      <c r="G1332" t="str">
        <f>"CUST#52157/PCT#4"</f>
        <v>CUST#52157/PCT#4</v>
      </c>
    </row>
    <row r="1333" spans="1:7" x14ac:dyDescent="0.25">
      <c r="A1333" t="s">
        <v>457</v>
      </c>
      <c r="B1333">
        <v>84342</v>
      </c>
      <c r="C1333" s="2">
        <v>20.95</v>
      </c>
      <c r="D1333" s="1">
        <v>43753</v>
      </c>
      <c r="E1333" t="str">
        <f>"ACCT#46668439604456/JP#2"</f>
        <v>ACCT#46668439604456/JP#2</v>
      </c>
      <c r="F1333" s="2">
        <v>20.95</v>
      </c>
      <c r="G1333" t="str">
        <f>"ACCT#46668439604456/JP#2"</f>
        <v>ACCT#46668439604456/JP#2</v>
      </c>
    </row>
    <row r="1334" spans="1:7" x14ac:dyDescent="0.25">
      <c r="A1334" t="s">
        <v>457</v>
      </c>
      <c r="B1334">
        <v>84600</v>
      </c>
      <c r="C1334" s="2">
        <v>10.5</v>
      </c>
      <c r="D1334" s="1">
        <v>43766</v>
      </c>
      <c r="E1334" t="str">
        <f>"ACCT#46668439604456/JP2"</f>
        <v>ACCT#46668439604456/JP2</v>
      </c>
      <c r="F1334" s="2">
        <v>10.5</v>
      </c>
      <c r="G1334" t="str">
        <f>"ACCT#46668439604456/JP2"</f>
        <v>ACCT#46668439604456/JP2</v>
      </c>
    </row>
    <row r="1335" spans="1:7" x14ac:dyDescent="0.25">
      <c r="A1335" t="s">
        <v>459</v>
      </c>
      <c r="B1335">
        <v>84601</v>
      </c>
      <c r="C1335" s="2">
        <v>283.45999999999998</v>
      </c>
      <c r="D1335" s="1">
        <v>43766</v>
      </c>
      <c r="E1335" t="str">
        <f>"ACCT#114382/ANIMAL SHELTER"</f>
        <v>ACCT#114382/ANIMAL SHELTER</v>
      </c>
      <c r="F1335" s="2">
        <v>283.45999999999998</v>
      </c>
      <c r="G1335" t="str">
        <f>"ACCT#114382/ANIMAL SHELTER"</f>
        <v>ACCT#114382/ANIMAL SHELTER</v>
      </c>
    </row>
    <row r="1336" spans="1:7" x14ac:dyDescent="0.25">
      <c r="A1336" t="s">
        <v>460</v>
      </c>
      <c r="B1336">
        <v>1678</v>
      </c>
      <c r="C1336" s="2">
        <v>60</v>
      </c>
      <c r="D1336" s="1">
        <v>43767</v>
      </c>
      <c r="E1336" t="str">
        <f>"LED UTILITY 4'/PCT#4"</f>
        <v>LED UTILITY 4'/PCT#4</v>
      </c>
      <c r="F1336" s="2">
        <v>60</v>
      </c>
      <c r="G1336" t="str">
        <f>"LED UTILITY 4'/PCT#4"</f>
        <v>LED UTILITY 4'/PCT#4</v>
      </c>
    </row>
    <row r="1337" spans="1:7" x14ac:dyDescent="0.25">
      <c r="A1337" t="s">
        <v>461</v>
      </c>
      <c r="B1337">
        <v>84602</v>
      </c>
      <c r="C1337" s="2">
        <v>16431.12</v>
      </c>
      <c r="D1337" s="1">
        <v>43766</v>
      </c>
      <c r="E1337" t="str">
        <f>"INDIGENT HEALTH"</f>
        <v>INDIGENT HEALTH</v>
      </c>
      <c r="F1337" s="2">
        <v>14919.48</v>
      </c>
      <c r="G1337" t="str">
        <f>"INDIGENT HEALTH"</f>
        <v>INDIGENT HEALTH</v>
      </c>
    </row>
    <row r="1338" spans="1:7" x14ac:dyDescent="0.25">
      <c r="E1338" t="str">
        <f>"INDIGENT HEALTH"</f>
        <v>INDIGENT HEALTH</v>
      </c>
      <c r="F1338" s="2">
        <v>1511.64</v>
      </c>
      <c r="G1338" t="str">
        <f>"INDIGENT HEALTH"</f>
        <v>INDIGENT HEALTH</v>
      </c>
    </row>
    <row r="1339" spans="1:7" x14ac:dyDescent="0.25">
      <c r="A1339" t="s">
        <v>462</v>
      </c>
      <c r="B1339">
        <v>84603</v>
      </c>
      <c r="C1339" s="2">
        <v>376</v>
      </c>
      <c r="D1339" s="1">
        <v>43766</v>
      </c>
      <c r="E1339" t="str">
        <f>"INDIGENT HEALTH"</f>
        <v>INDIGENT HEALTH</v>
      </c>
      <c r="F1339" s="2">
        <v>376</v>
      </c>
      <c r="G1339" t="str">
        <f>"INDIGENT HEALTH"</f>
        <v>INDIGENT HEALTH</v>
      </c>
    </row>
    <row r="1340" spans="1:7" x14ac:dyDescent="0.25">
      <c r="A1340" t="s">
        <v>463</v>
      </c>
      <c r="B1340">
        <v>84604</v>
      </c>
      <c r="C1340" s="2">
        <v>55.06</v>
      </c>
      <c r="D1340" s="1">
        <v>43766</v>
      </c>
      <c r="E1340" t="str">
        <f>"INDIGENT HEALTH"</f>
        <v>INDIGENT HEALTH</v>
      </c>
      <c r="F1340" s="2">
        <v>55.06</v>
      </c>
      <c r="G1340" t="str">
        <f>"INDIGENT HEALTH"</f>
        <v>INDIGENT HEALTH</v>
      </c>
    </row>
    <row r="1341" spans="1:7" x14ac:dyDescent="0.25">
      <c r="A1341" t="s">
        <v>458</v>
      </c>
      <c r="B1341">
        <v>84343</v>
      </c>
      <c r="C1341" s="2">
        <v>93.33</v>
      </c>
      <c r="D1341" s="1">
        <v>43753</v>
      </c>
      <c r="E1341" t="str">
        <f>"ACCT#556850411969495"</f>
        <v>ACCT#556850411969495</v>
      </c>
      <c r="F1341" s="2">
        <v>93.33</v>
      </c>
      <c r="G1341" t="str">
        <f>"ACCT#556850411969495"</f>
        <v>ACCT#556850411969495</v>
      </c>
    </row>
    <row r="1342" spans="1:7" x14ac:dyDescent="0.25">
      <c r="A1342" t="s">
        <v>464</v>
      </c>
      <c r="B1342">
        <v>84344</v>
      </c>
      <c r="C1342" s="2">
        <v>2430.62</v>
      </c>
      <c r="D1342" s="1">
        <v>43753</v>
      </c>
      <c r="E1342" t="str">
        <f>"sum inv# 8055759434"</f>
        <v>sum inv# 8055759434</v>
      </c>
      <c r="F1342" s="2">
        <v>2430.62</v>
      </c>
      <c r="G1342" t="str">
        <f>"Inv# 3425206753"</f>
        <v>Inv# 3425206753</v>
      </c>
    </row>
    <row r="1343" spans="1:7" x14ac:dyDescent="0.25">
      <c r="E1343" t="str">
        <f>""</f>
        <v/>
      </c>
      <c r="G1343" t="str">
        <f>"Inv# 3425206745"</f>
        <v>Inv# 3425206745</v>
      </c>
    </row>
    <row r="1344" spans="1:7" x14ac:dyDescent="0.25">
      <c r="E1344" t="str">
        <f>""</f>
        <v/>
      </c>
      <c r="G1344" t="str">
        <f>"Inv# 3425206748"</f>
        <v>Inv# 3425206748</v>
      </c>
    </row>
    <row r="1345" spans="1:7" x14ac:dyDescent="0.25">
      <c r="E1345" t="str">
        <f>""</f>
        <v/>
      </c>
      <c r="G1345" t="str">
        <f>"Inv# 3425206749"</f>
        <v>Inv# 3425206749</v>
      </c>
    </row>
    <row r="1346" spans="1:7" x14ac:dyDescent="0.25">
      <c r="E1346" t="str">
        <f>""</f>
        <v/>
      </c>
      <c r="G1346" t="str">
        <f>"Inv# 3425206751"</f>
        <v>Inv# 3425206751</v>
      </c>
    </row>
    <row r="1347" spans="1:7" x14ac:dyDescent="0.25">
      <c r="E1347" t="str">
        <f>""</f>
        <v/>
      </c>
      <c r="G1347" t="str">
        <f>"Inv# 3425206755"</f>
        <v>Inv# 3425206755</v>
      </c>
    </row>
    <row r="1348" spans="1:7" x14ac:dyDescent="0.25">
      <c r="E1348" t="str">
        <f>""</f>
        <v/>
      </c>
      <c r="G1348" t="str">
        <f>"Inv# 3425206756"</f>
        <v>Inv# 3425206756</v>
      </c>
    </row>
    <row r="1349" spans="1:7" x14ac:dyDescent="0.25">
      <c r="E1349" t="str">
        <f>""</f>
        <v/>
      </c>
      <c r="G1349" t="str">
        <f>"Inv# 3425206758"</f>
        <v>Inv# 3425206758</v>
      </c>
    </row>
    <row r="1350" spans="1:7" x14ac:dyDescent="0.25">
      <c r="E1350" t="str">
        <f>""</f>
        <v/>
      </c>
      <c r="G1350" t="str">
        <f>"Inv# 3425206752"</f>
        <v>Inv# 3425206752</v>
      </c>
    </row>
    <row r="1351" spans="1:7" x14ac:dyDescent="0.25">
      <c r="E1351" t="str">
        <f>""</f>
        <v/>
      </c>
      <c r="G1351" t="str">
        <f>"Inv# 3425206743"</f>
        <v>Inv# 3425206743</v>
      </c>
    </row>
    <row r="1352" spans="1:7" x14ac:dyDescent="0.25">
      <c r="E1352" t="str">
        <f>""</f>
        <v/>
      </c>
      <c r="G1352" t="str">
        <f>"inv# 3425206736"</f>
        <v>inv# 3425206736</v>
      </c>
    </row>
    <row r="1353" spans="1:7" x14ac:dyDescent="0.25">
      <c r="E1353" t="str">
        <f>""</f>
        <v/>
      </c>
      <c r="G1353" t="str">
        <f>"Inv# 3425206759"</f>
        <v>Inv# 3425206759</v>
      </c>
    </row>
    <row r="1354" spans="1:7" x14ac:dyDescent="0.25">
      <c r="E1354" t="str">
        <f>""</f>
        <v/>
      </c>
      <c r="G1354" t="str">
        <f>"Inv# 3425206737"</f>
        <v>Inv# 3425206737</v>
      </c>
    </row>
    <row r="1355" spans="1:7" x14ac:dyDescent="0.25">
      <c r="E1355" t="str">
        <f>""</f>
        <v/>
      </c>
      <c r="G1355" t="str">
        <f>"Inv# 3425206739"</f>
        <v>Inv# 3425206739</v>
      </c>
    </row>
    <row r="1356" spans="1:7" x14ac:dyDescent="0.25">
      <c r="E1356" t="str">
        <f>""</f>
        <v/>
      </c>
      <c r="G1356" t="str">
        <f>"Inv# 3425206740"</f>
        <v>Inv# 3425206740</v>
      </c>
    </row>
    <row r="1357" spans="1:7" x14ac:dyDescent="0.25">
      <c r="E1357" t="str">
        <f>""</f>
        <v/>
      </c>
      <c r="G1357" t="str">
        <f>"Inv# 3425206741"</f>
        <v>Inv# 3425206741</v>
      </c>
    </row>
    <row r="1358" spans="1:7" x14ac:dyDescent="0.25">
      <c r="E1358" t="str">
        <f>""</f>
        <v/>
      </c>
      <c r="G1358" t="str">
        <f>"Inv# 3425206742"</f>
        <v>Inv# 3425206742</v>
      </c>
    </row>
    <row r="1359" spans="1:7" x14ac:dyDescent="0.25">
      <c r="A1359" t="s">
        <v>464</v>
      </c>
      <c r="B1359">
        <v>84605</v>
      </c>
      <c r="C1359" s="2">
        <v>2201.3200000000002</v>
      </c>
      <c r="D1359" s="1">
        <v>43766</v>
      </c>
      <c r="E1359" t="str">
        <f>"Sum inv# 8055924433"</f>
        <v>Sum inv# 8055924433</v>
      </c>
      <c r="F1359" s="2">
        <v>2201.3200000000002</v>
      </c>
      <c r="G1359" t="str">
        <f>"inv# 3426654610"</f>
        <v>inv# 3426654610</v>
      </c>
    </row>
    <row r="1360" spans="1:7" x14ac:dyDescent="0.25">
      <c r="E1360" t="str">
        <f>""</f>
        <v/>
      </c>
      <c r="G1360" t="str">
        <f>"inv# 3426654613"</f>
        <v>inv# 3426654613</v>
      </c>
    </row>
    <row r="1361" spans="1:7" x14ac:dyDescent="0.25">
      <c r="E1361" t="str">
        <f>""</f>
        <v/>
      </c>
      <c r="G1361" t="str">
        <f>"inv# 3426654615"</f>
        <v>inv# 3426654615</v>
      </c>
    </row>
    <row r="1362" spans="1:7" x14ac:dyDescent="0.25">
      <c r="E1362" t="str">
        <f>""</f>
        <v/>
      </c>
      <c r="G1362" t="str">
        <f>"inv# 3426654616"</f>
        <v>inv# 3426654616</v>
      </c>
    </row>
    <row r="1363" spans="1:7" x14ac:dyDescent="0.25">
      <c r="E1363" t="str">
        <f>""</f>
        <v/>
      </c>
      <c r="G1363" t="str">
        <f>"inv# 3426654617"</f>
        <v>inv# 3426654617</v>
      </c>
    </row>
    <row r="1364" spans="1:7" x14ac:dyDescent="0.25">
      <c r="E1364" t="str">
        <f>""</f>
        <v/>
      </c>
      <c r="G1364" t="str">
        <f>"inv# 3426654626"</f>
        <v>inv# 3426654626</v>
      </c>
    </row>
    <row r="1365" spans="1:7" x14ac:dyDescent="0.25">
      <c r="E1365" t="str">
        <f>""</f>
        <v/>
      </c>
      <c r="G1365" t="str">
        <f>"inv# 3426654627"</f>
        <v>inv# 3426654627</v>
      </c>
    </row>
    <row r="1366" spans="1:7" x14ac:dyDescent="0.25">
      <c r="E1366" t="str">
        <f>""</f>
        <v/>
      </c>
      <c r="G1366" t="str">
        <f>"inv# 3426654629"</f>
        <v>inv# 3426654629</v>
      </c>
    </row>
    <row r="1367" spans="1:7" x14ac:dyDescent="0.25">
      <c r="E1367" t="str">
        <f>""</f>
        <v/>
      </c>
      <c r="G1367" t="str">
        <f>"inv# 3426654626"</f>
        <v>inv# 3426654626</v>
      </c>
    </row>
    <row r="1368" spans="1:7" x14ac:dyDescent="0.25">
      <c r="E1368" t="str">
        <f>""</f>
        <v/>
      </c>
      <c r="G1368" t="str">
        <f>"inv# 3426654619"</f>
        <v>inv# 3426654619</v>
      </c>
    </row>
    <row r="1369" spans="1:7" x14ac:dyDescent="0.25">
      <c r="E1369" t="str">
        <f>""</f>
        <v/>
      </c>
      <c r="G1369" t="str">
        <f>"inv# 3426654622"</f>
        <v>inv# 3426654622</v>
      </c>
    </row>
    <row r="1370" spans="1:7" x14ac:dyDescent="0.25">
      <c r="E1370" t="str">
        <f>""</f>
        <v/>
      </c>
      <c r="G1370" t="str">
        <f>"inv# 3426654624"</f>
        <v>inv# 3426654624</v>
      </c>
    </row>
    <row r="1371" spans="1:7" x14ac:dyDescent="0.25">
      <c r="E1371" t="str">
        <f>""</f>
        <v/>
      </c>
      <c r="G1371" t="str">
        <f>"inv# 3426654625"</f>
        <v>inv# 3426654625</v>
      </c>
    </row>
    <row r="1372" spans="1:7" x14ac:dyDescent="0.25">
      <c r="E1372" t="str">
        <f>""</f>
        <v/>
      </c>
      <c r="G1372" t="str">
        <f>"inv# 3426654618"</f>
        <v>inv# 3426654618</v>
      </c>
    </row>
    <row r="1373" spans="1:7" x14ac:dyDescent="0.25">
      <c r="E1373" t="str">
        <f>""</f>
        <v/>
      </c>
      <c r="G1373" t="str">
        <f>"inv# 3426654621"</f>
        <v>inv# 3426654621</v>
      </c>
    </row>
    <row r="1374" spans="1:7" x14ac:dyDescent="0.25">
      <c r="A1374" t="s">
        <v>465</v>
      </c>
      <c r="B1374">
        <v>84400</v>
      </c>
      <c r="C1374" s="2">
        <v>45</v>
      </c>
      <c r="D1374" s="1">
        <v>43760</v>
      </c>
      <c r="E1374" t="str">
        <f>"2019 TX HOME VISITING PROGRAM"</f>
        <v>2019 TX HOME VISITING PROGRAM</v>
      </c>
      <c r="F1374" s="2">
        <v>45</v>
      </c>
      <c r="G1374" t="str">
        <f>"2019 TX HOME VISITING PROGRAM"</f>
        <v>2019 TX HOME VISITING PROGRAM</v>
      </c>
    </row>
    <row r="1375" spans="1:7" x14ac:dyDescent="0.25">
      <c r="A1375" t="s">
        <v>466</v>
      </c>
      <c r="B1375">
        <v>84606</v>
      </c>
      <c r="C1375" s="2">
        <v>676.88</v>
      </c>
      <c r="D1375" s="1">
        <v>43766</v>
      </c>
      <c r="E1375" t="str">
        <f>"SEPTEMBER 2019"</f>
        <v>SEPTEMBER 2019</v>
      </c>
      <c r="F1375" s="2">
        <v>676.88</v>
      </c>
      <c r="G1375" t="str">
        <f>"SEPTEMBER 2019"</f>
        <v>SEPTEMBER 2019</v>
      </c>
    </row>
    <row r="1376" spans="1:7" x14ac:dyDescent="0.25">
      <c r="A1376" t="s">
        <v>467</v>
      </c>
      <c r="B1376">
        <v>84345</v>
      </c>
      <c r="C1376" s="2">
        <v>7141.05</v>
      </c>
      <c r="D1376" s="1">
        <v>43753</v>
      </c>
      <c r="E1376" t="str">
        <f>"INV 4008860433"</f>
        <v>INV 4008860433</v>
      </c>
      <c r="F1376" s="2">
        <v>795.59</v>
      </c>
      <c r="G1376" t="str">
        <f>"INV 4008860433"</f>
        <v>INV 4008860433</v>
      </c>
    </row>
    <row r="1377" spans="1:7" x14ac:dyDescent="0.25">
      <c r="E1377" t="str">
        <f>"STERICYCLE  INC."</f>
        <v>STERICYCLE  INC.</v>
      </c>
      <c r="F1377" s="2">
        <v>6345.46</v>
      </c>
      <c r="G1377" t="str">
        <f>"HHW Removal"</f>
        <v>HHW Removal</v>
      </c>
    </row>
    <row r="1378" spans="1:7" x14ac:dyDescent="0.25">
      <c r="A1378" t="s">
        <v>467</v>
      </c>
      <c r="B1378">
        <v>84607</v>
      </c>
      <c r="C1378" s="2">
        <v>795.59</v>
      </c>
      <c r="D1378" s="1">
        <v>43766</v>
      </c>
      <c r="E1378" t="str">
        <f>"INV 4008921786"</f>
        <v>INV 4008921786</v>
      </c>
      <c r="F1378" s="2">
        <v>795.59</v>
      </c>
      <c r="G1378" t="str">
        <f>"INV 4008921786"</f>
        <v>INV 4008921786</v>
      </c>
    </row>
    <row r="1379" spans="1:7" x14ac:dyDescent="0.25">
      <c r="A1379" t="s">
        <v>468</v>
      </c>
      <c r="B1379">
        <v>84346</v>
      </c>
      <c r="C1379" s="2">
        <v>539.5</v>
      </c>
      <c r="D1379" s="1">
        <v>43753</v>
      </c>
      <c r="E1379" t="str">
        <f>"TRASH REMOVAL 09/23-09/30/P4"</f>
        <v>TRASH REMOVAL 09/23-09/30/P4</v>
      </c>
      <c r="F1379" s="2">
        <v>227.5</v>
      </c>
      <c r="G1379" t="str">
        <f>"TRASH REMOVAL 09/23-09/30/P4"</f>
        <v>TRASH REMOVAL 09/23-09/30/P4</v>
      </c>
    </row>
    <row r="1380" spans="1:7" x14ac:dyDescent="0.25">
      <c r="E1380" t="str">
        <f>"TRASH REMOVAL 10/01-10/11/P4"</f>
        <v>TRASH REMOVAL 10/01-10/11/P4</v>
      </c>
      <c r="F1380" s="2">
        <v>312</v>
      </c>
      <c r="G1380" t="str">
        <f>"TRASH REMOVAL 10/01-10/11/P4"</f>
        <v>TRASH REMOVAL 10/01-10/11/P4</v>
      </c>
    </row>
    <row r="1381" spans="1:7" x14ac:dyDescent="0.25">
      <c r="A1381" t="s">
        <v>468</v>
      </c>
      <c r="B1381">
        <v>84608</v>
      </c>
      <c r="C1381" s="2">
        <v>370.5</v>
      </c>
      <c r="D1381" s="1">
        <v>43766</v>
      </c>
      <c r="E1381" t="str">
        <f>"TRASH REMOVAL 10/14-10/25/P4"</f>
        <v>TRASH REMOVAL 10/14-10/25/P4</v>
      </c>
      <c r="F1381" s="2">
        <v>370.5</v>
      </c>
      <c r="G1381" t="str">
        <f>"TRASH REMOVAL 10/14-10/25/P4"</f>
        <v>TRASH REMOVAL 10/14-10/25/P4</v>
      </c>
    </row>
    <row r="1382" spans="1:7" x14ac:dyDescent="0.25">
      <c r="A1382" t="s">
        <v>469</v>
      </c>
      <c r="B1382">
        <v>84347</v>
      </c>
      <c r="C1382" s="2">
        <v>175</v>
      </c>
      <c r="D1382" s="1">
        <v>43753</v>
      </c>
      <c r="E1382" t="str">
        <f>"OCT. 04  2019 INVOICE"</f>
        <v>OCT. 04  2019 INVOICE</v>
      </c>
      <c r="F1382" s="2">
        <v>175</v>
      </c>
      <c r="G1382" t="str">
        <f>"OCT. 04  2019 INVOICE"</f>
        <v>OCT. 04  2019 INVOICE</v>
      </c>
    </row>
    <row r="1383" spans="1:7" x14ac:dyDescent="0.25">
      <c r="A1383" t="s">
        <v>470</v>
      </c>
      <c r="B1383">
        <v>1567</v>
      </c>
      <c r="C1383" s="2">
        <v>8320</v>
      </c>
      <c r="D1383" s="1">
        <v>43754</v>
      </c>
      <c r="E1383" t="str">
        <f>"SHREDDING/MOWING/PCT#2"</f>
        <v>SHREDDING/MOWING/PCT#2</v>
      </c>
      <c r="F1383" s="2">
        <v>8320</v>
      </c>
      <c r="G1383" t="str">
        <f>"SHREDDING/MOWING/PCT#2"</f>
        <v>SHREDDING/MOWING/PCT#2</v>
      </c>
    </row>
    <row r="1384" spans="1:7" x14ac:dyDescent="0.25">
      <c r="A1384" t="s">
        <v>470</v>
      </c>
      <c r="B1384">
        <v>1646</v>
      </c>
      <c r="C1384" s="2">
        <v>8320</v>
      </c>
      <c r="D1384" s="1">
        <v>43767</v>
      </c>
      <c r="E1384" t="str">
        <f>"SHREDDING/MOWING/PCT#2"</f>
        <v>SHREDDING/MOWING/PCT#2</v>
      </c>
      <c r="F1384" s="2">
        <v>8320</v>
      </c>
      <c r="G1384" t="str">
        <f>"SHREDDING/MOWING/PCT#2"</f>
        <v>SHREDDING/MOWING/PCT#2</v>
      </c>
    </row>
    <row r="1385" spans="1:7" x14ac:dyDescent="0.25">
      <c r="A1385" t="s">
        <v>471</v>
      </c>
      <c r="B1385">
        <v>1576</v>
      </c>
      <c r="C1385" s="2">
        <v>5682.98</v>
      </c>
      <c r="D1385" s="1">
        <v>43754</v>
      </c>
      <c r="E1385" t="str">
        <f>"ACCT#10187718/PCT#2"</f>
        <v>ACCT#10187718/PCT#2</v>
      </c>
      <c r="F1385" s="2">
        <v>3037.02</v>
      </c>
      <c r="G1385" t="str">
        <f>"ACCT#10187718/PCT#2"</f>
        <v>ACCT#10187718/PCT#2</v>
      </c>
    </row>
    <row r="1386" spans="1:7" x14ac:dyDescent="0.25">
      <c r="E1386" t="str">
        <f>"ACCT#10187718/FUEL/PCT#2"</f>
        <v>ACCT#10187718/FUEL/PCT#2</v>
      </c>
      <c r="F1386" s="2">
        <v>2645.96</v>
      </c>
      <c r="G1386" t="str">
        <f>"ACCT#10187718/FUEL/PCT#2"</f>
        <v>ACCT#10187718/FUEL/PCT#2</v>
      </c>
    </row>
    <row r="1387" spans="1:7" x14ac:dyDescent="0.25">
      <c r="A1387" t="s">
        <v>471</v>
      </c>
      <c r="B1387">
        <v>1652</v>
      </c>
      <c r="C1387" s="2">
        <v>3935.93</v>
      </c>
      <c r="D1387" s="1">
        <v>43767</v>
      </c>
      <c r="E1387" t="str">
        <f>"ACCT#10187718/PCT#2"</f>
        <v>ACCT#10187718/PCT#2</v>
      </c>
      <c r="F1387" s="2">
        <v>2483.65</v>
      </c>
      <c r="G1387" t="str">
        <f>"ACCT#10187718/PCT#2"</f>
        <v>ACCT#10187718/PCT#2</v>
      </c>
    </row>
    <row r="1388" spans="1:7" x14ac:dyDescent="0.25">
      <c r="E1388" t="str">
        <f>"ACCT#10187718/PCT#2"</f>
        <v>ACCT#10187718/PCT#2</v>
      </c>
      <c r="F1388" s="2">
        <v>1452.28</v>
      </c>
      <c r="G1388" t="str">
        <f>"ACCT#10187718/PCT#2"</f>
        <v>ACCT#10187718/PCT#2</v>
      </c>
    </row>
    <row r="1389" spans="1:7" x14ac:dyDescent="0.25">
      <c r="A1389" t="s">
        <v>472</v>
      </c>
      <c r="B1389">
        <v>84348</v>
      </c>
      <c r="C1389" s="2">
        <v>30</v>
      </c>
      <c r="D1389" s="1">
        <v>43753</v>
      </c>
      <c r="E1389" t="str">
        <f>"INV 1003 / UNIT 1663"</f>
        <v>INV 1003 / UNIT 1663</v>
      </c>
      <c r="F1389" s="2">
        <v>30</v>
      </c>
      <c r="G1389" t="str">
        <f>"INV 1003 / UNIT 1663"</f>
        <v>INV 1003 / UNIT 1663</v>
      </c>
    </row>
    <row r="1390" spans="1:7" x14ac:dyDescent="0.25">
      <c r="A1390" t="s">
        <v>473</v>
      </c>
      <c r="B1390">
        <v>84609</v>
      </c>
      <c r="C1390" s="2">
        <v>836.61</v>
      </c>
      <c r="D1390" s="1">
        <v>43766</v>
      </c>
      <c r="E1390" t="str">
        <f>"Camera for Nature Park"</f>
        <v>Camera for Nature Park</v>
      </c>
      <c r="F1390" s="2">
        <v>836.61</v>
      </c>
      <c r="G1390" t="str">
        <f>"XS8"</f>
        <v>XS8</v>
      </c>
    </row>
    <row r="1391" spans="1:7" x14ac:dyDescent="0.25">
      <c r="E1391" t="str">
        <f>""</f>
        <v/>
      </c>
      <c r="G1391" t="str">
        <f>"UFSE"</f>
        <v>UFSE</v>
      </c>
    </row>
    <row r="1392" spans="1:7" x14ac:dyDescent="0.25">
      <c r="E1392" t="str">
        <f>""</f>
        <v/>
      </c>
      <c r="G1392" t="str">
        <f>"PYTHONCABLE"</f>
        <v>PYTHONCABLE</v>
      </c>
    </row>
    <row r="1393" spans="1:8" x14ac:dyDescent="0.25">
      <c r="E1393" t="str">
        <f>""</f>
        <v/>
      </c>
      <c r="G1393" t="str">
        <f>"32GBSD"</f>
        <v>32GBSD</v>
      </c>
    </row>
    <row r="1394" spans="1:8" x14ac:dyDescent="0.25">
      <c r="E1394" t="str">
        <f>""</f>
        <v/>
      </c>
      <c r="G1394" t="str">
        <f>"Shipping Discount"</f>
        <v>Shipping Discount</v>
      </c>
    </row>
    <row r="1395" spans="1:8" x14ac:dyDescent="0.25">
      <c r="E1395" t="str">
        <f>""</f>
        <v/>
      </c>
      <c r="G1395" t="str">
        <f>"UPS Ground"</f>
        <v>UPS Ground</v>
      </c>
    </row>
    <row r="1396" spans="1:8" x14ac:dyDescent="0.25">
      <c r="A1396" t="s">
        <v>474</v>
      </c>
      <c r="B1396">
        <v>84610</v>
      </c>
      <c r="C1396" s="2">
        <v>102</v>
      </c>
      <c r="D1396" s="1">
        <v>43766</v>
      </c>
      <c r="E1396" t="str">
        <f>"INV 9375268341"</f>
        <v>INV 9375268341</v>
      </c>
      <c r="F1396" s="2">
        <v>102</v>
      </c>
      <c r="G1396" t="str">
        <f>"INV 9375268341"</f>
        <v>INV 9375268341</v>
      </c>
    </row>
    <row r="1397" spans="1:8" x14ac:dyDescent="0.25">
      <c r="A1397" t="s">
        <v>475</v>
      </c>
      <c r="B1397">
        <v>1658</v>
      </c>
      <c r="C1397" s="2">
        <v>635</v>
      </c>
      <c r="D1397" s="1">
        <v>43767</v>
      </c>
      <c r="E1397" t="str">
        <f>"ORANGE AEROSOL/PCT#4"</f>
        <v>ORANGE AEROSOL/PCT#4</v>
      </c>
      <c r="F1397" s="2">
        <v>635</v>
      </c>
      <c r="G1397" t="str">
        <f>"ORANGE AEROSOL/PCT#4"</f>
        <v>ORANGE AEROSOL/PCT#4</v>
      </c>
    </row>
    <row r="1398" spans="1:8" x14ac:dyDescent="0.25">
      <c r="A1398" t="s">
        <v>476</v>
      </c>
      <c r="B1398">
        <v>84611</v>
      </c>
      <c r="C1398" s="2">
        <v>1251.4100000000001</v>
      </c>
      <c r="D1398" s="1">
        <v>43766</v>
      </c>
      <c r="E1398" t="str">
        <f>"CUST#3451510/FOLDERS/COUNTY CL"</f>
        <v>CUST#3451510/FOLDERS/COUNTY CL</v>
      </c>
      <c r="F1398" s="2">
        <v>1251.4100000000001</v>
      </c>
      <c r="G1398" t="str">
        <f>"CUST#3451510/FOLDERS/COUNTY CL"</f>
        <v>CUST#3451510/FOLDERS/COUNTY CL</v>
      </c>
    </row>
    <row r="1399" spans="1:8" x14ac:dyDescent="0.25">
      <c r="A1399" t="s">
        <v>477</v>
      </c>
      <c r="B1399">
        <v>84349</v>
      </c>
      <c r="C1399" s="2">
        <v>675</v>
      </c>
      <c r="D1399" s="1">
        <v>43753</v>
      </c>
      <c r="E1399" t="str">
        <f>"DMO MEMBERSHIP DUES"</f>
        <v>DMO MEMBERSHIP DUES</v>
      </c>
      <c r="F1399" s="2">
        <v>675</v>
      </c>
      <c r="G1399" t="str">
        <f>"DMO MEMBERSHIP DUES"</f>
        <v>DMO MEMBERSHIP DUES</v>
      </c>
    </row>
    <row r="1400" spans="1:8" x14ac:dyDescent="0.25">
      <c r="A1400" t="s">
        <v>478</v>
      </c>
      <c r="B1400">
        <v>84350</v>
      </c>
      <c r="C1400" s="2">
        <v>175</v>
      </c>
      <c r="D1400" s="1">
        <v>43753</v>
      </c>
      <c r="E1400" t="str">
        <f>"AGENCY/ORG MBSHIP-K. UNGER"</f>
        <v>AGENCY/ORG MBSHIP-K. UNGER</v>
      </c>
      <c r="F1400" s="2">
        <v>175</v>
      </c>
      <c r="G1400" t="str">
        <f>"AGENCY/ORG MBSHIP-K. UNGER"</f>
        <v>AGENCY/ORG MBSHIP-K. UNGER</v>
      </c>
    </row>
    <row r="1401" spans="1:8" x14ac:dyDescent="0.25">
      <c r="A1401" t="s">
        <v>479</v>
      </c>
      <c r="B1401">
        <v>84351</v>
      </c>
      <c r="C1401" s="2">
        <v>75</v>
      </c>
      <c r="D1401" s="1">
        <v>43753</v>
      </c>
      <c r="E1401" t="s">
        <v>59</v>
      </c>
      <c r="F1401" s="2" t="str">
        <f>"SERVICE"</f>
        <v>SERVICE</v>
      </c>
      <c r="G1401" t="str">
        <f>"995-4110"</f>
        <v>995-4110</v>
      </c>
      <c r="H1401" t="str">
        <f>""</f>
        <v/>
      </c>
    </row>
    <row r="1402" spans="1:8" x14ac:dyDescent="0.25">
      <c r="A1402" t="s">
        <v>480</v>
      </c>
      <c r="B1402">
        <v>84612</v>
      </c>
      <c r="C1402" s="2">
        <v>75</v>
      </c>
      <c r="D1402" s="1">
        <v>43766</v>
      </c>
      <c r="E1402" t="str">
        <f>"SERVICE"</f>
        <v>SERVICE</v>
      </c>
      <c r="F1402" s="2">
        <v>75</v>
      </c>
      <c r="G1402" t="str">
        <f>"SERVICE"</f>
        <v>SERVICE</v>
      </c>
    </row>
    <row r="1403" spans="1:8" x14ac:dyDescent="0.25">
      <c r="A1403" t="s">
        <v>481</v>
      </c>
      <c r="B1403">
        <v>1561</v>
      </c>
      <c r="C1403" s="2">
        <v>111.92</v>
      </c>
      <c r="D1403" s="1">
        <v>43754</v>
      </c>
      <c r="E1403" t="str">
        <f>"SVC CONTRACT PMT 09/03-10/01"</f>
        <v>SVC CONTRACT PMT 09/03-10/01</v>
      </c>
      <c r="F1403" s="2">
        <v>111.92</v>
      </c>
      <c r="G1403" t="str">
        <f>"SVC CONTRACT PMT 09/03-10/01"</f>
        <v>SVC CONTRACT PMT 09/03-10/01</v>
      </c>
    </row>
    <row r="1404" spans="1:8" x14ac:dyDescent="0.25">
      <c r="A1404" t="s">
        <v>482</v>
      </c>
      <c r="B1404">
        <v>84613</v>
      </c>
      <c r="C1404" s="2">
        <v>4920.3100000000004</v>
      </c>
      <c r="D1404" s="1">
        <v>43766</v>
      </c>
      <c r="E1404" t="str">
        <f>"Fire Panel Replacement"</f>
        <v>Fire Panel Replacement</v>
      </c>
      <c r="F1404" s="2">
        <v>4920.3100000000004</v>
      </c>
      <c r="G1404" t="str">
        <f>"Materials"</f>
        <v>Materials</v>
      </c>
    </row>
    <row r="1405" spans="1:8" x14ac:dyDescent="0.25">
      <c r="E1405" t="str">
        <f>""</f>
        <v/>
      </c>
      <c r="G1405" t="str">
        <f>"Labor"</f>
        <v>Labor</v>
      </c>
    </row>
    <row r="1406" spans="1:8" x14ac:dyDescent="0.25">
      <c r="A1406" t="s">
        <v>483</v>
      </c>
      <c r="B1406">
        <v>84352</v>
      </c>
      <c r="C1406" s="2">
        <v>225</v>
      </c>
      <c r="D1406" s="1">
        <v>43753</v>
      </c>
      <c r="E1406" t="str">
        <f>"TRAINING"</f>
        <v>TRAINING</v>
      </c>
      <c r="F1406" s="2">
        <v>225</v>
      </c>
      <c r="G1406" t="str">
        <f>"TRAINING"</f>
        <v>TRAINING</v>
      </c>
    </row>
    <row r="1407" spans="1:8" x14ac:dyDescent="0.25">
      <c r="A1407" t="s">
        <v>484</v>
      </c>
      <c r="B1407">
        <v>84614</v>
      </c>
      <c r="C1407" s="2">
        <v>400</v>
      </c>
      <c r="D1407" s="1">
        <v>43766</v>
      </c>
      <c r="E1407" t="str">
        <f>"2019 LEGISLATIVE UPDATE"</f>
        <v>2019 LEGISLATIVE UPDATE</v>
      </c>
      <c r="F1407" s="2">
        <v>100</v>
      </c>
      <c r="G1407" t="str">
        <f>"2019 LEGISLATIVE UPDATE"</f>
        <v>2019 LEGISLATIVE UPDATE</v>
      </c>
    </row>
    <row r="1408" spans="1:8" x14ac:dyDescent="0.25">
      <c r="E1408" t="str">
        <f>"2019 LEGISLATIVE UPDATE"</f>
        <v>2019 LEGISLATIVE UPDATE</v>
      </c>
      <c r="F1408" s="2">
        <v>100</v>
      </c>
      <c r="G1408" t="str">
        <f>"2019 LEGISLATIVE UPDATE"</f>
        <v>2019 LEGISLATIVE UPDATE</v>
      </c>
    </row>
    <row r="1409" spans="1:7" x14ac:dyDescent="0.25">
      <c r="E1409" t="str">
        <f>"2019 LEGISLATIVE UPDATE"</f>
        <v>2019 LEGISLATIVE UPDATE</v>
      </c>
      <c r="F1409" s="2">
        <v>100</v>
      </c>
      <c r="G1409" t="str">
        <f>"2019 LEGISLATIVE UPDATE"</f>
        <v>2019 LEGISLATIVE UPDATE</v>
      </c>
    </row>
    <row r="1410" spans="1:7" x14ac:dyDescent="0.25">
      <c r="E1410" t="str">
        <f>"2019 LEGISLATIVE UPDATE"</f>
        <v>2019 LEGISLATIVE UPDATE</v>
      </c>
      <c r="F1410" s="2">
        <v>100</v>
      </c>
      <c r="G1410" t="str">
        <f>"2019 LEGISLATIVE UPDATE"</f>
        <v>2019 LEGISLATIVE UPDATE</v>
      </c>
    </row>
    <row r="1411" spans="1:7" x14ac:dyDescent="0.25">
      <c r="A1411" t="s">
        <v>485</v>
      </c>
      <c r="B1411">
        <v>84353</v>
      </c>
      <c r="C1411" s="2">
        <v>1972.8</v>
      </c>
      <c r="D1411" s="1">
        <v>43753</v>
      </c>
      <c r="E1411" t="str">
        <f>"inv# 2105663918"</f>
        <v>inv# 2105663918</v>
      </c>
      <c r="F1411" s="2">
        <v>1972.8</v>
      </c>
      <c r="G1411" t="str">
        <f>"inv# 2105663918"</f>
        <v>inv# 2105663918</v>
      </c>
    </row>
    <row r="1412" spans="1:7" x14ac:dyDescent="0.25">
      <c r="A1412" t="s">
        <v>486</v>
      </c>
      <c r="B1412">
        <v>1617</v>
      </c>
      <c r="C1412" s="2">
        <v>205</v>
      </c>
      <c r="D1412" s="1">
        <v>43754</v>
      </c>
      <c r="E1412" t="str">
        <f>"CUST ID:BASTROP CNTY CT/GEN SV"</f>
        <v>CUST ID:BASTROP CNTY CT/GEN SV</v>
      </c>
      <c r="F1412" s="2">
        <v>205</v>
      </c>
      <c r="G1412" t="str">
        <f>"CUST ID:BASTROP CNTY CT/GEN SV"</f>
        <v>CUST ID:BASTROP CNTY CT/GEN SV</v>
      </c>
    </row>
    <row r="1413" spans="1:7" x14ac:dyDescent="0.25">
      <c r="A1413" t="s">
        <v>486</v>
      </c>
      <c r="B1413">
        <v>1687</v>
      </c>
      <c r="C1413" s="2">
        <v>209</v>
      </c>
      <c r="D1413" s="1">
        <v>43767</v>
      </c>
      <c r="E1413" t="str">
        <f>"BASTROP CNTY/MONTHLY CONTRACT"</f>
        <v>BASTROP CNTY/MONTHLY CONTRACT</v>
      </c>
      <c r="F1413" s="2">
        <v>209</v>
      </c>
      <c r="G1413" t="str">
        <f>"BASTROP CNTY/MONTHLY CONTRACT"</f>
        <v>BASTROP CNTY/MONTHLY CONTRACT</v>
      </c>
    </row>
    <row r="1414" spans="1:7" x14ac:dyDescent="0.25">
      <c r="A1414" t="s">
        <v>487</v>
      </c>
      <c r="B1414">
        <v>1605</v>
      </c>
      <c r="C1414" s="2">
        <v>139.19999999999999</v>
      </c>
      <c r="D1414" s="1">
        <v>43754</v>
      </c>
      <c r="E1414" t="str">
        <f>"MILEAGE REIMBURSEMENT"</f>
        <v>MILEAGE REIMBURSEMENT</v>
      </c>
      <c r="F1414" s="2">
        <v>139.19999999999999</v>
      </c>
      <c r="G1414" t="str">
        <f>"MILEAGE REIMBURSEMENT"</f>
        <v>MILEAGE REIMBURSEMENT</v>
      </c>
    </row>
    <row r="1415" spans="1:7" x14ac:dyDescent="0.25">
      <c r="A1415" t="s">
        <v>488</v>
      </c>
      <c r="B1415">
        <v>84615</v>
      </c>
      <c r="C1415" s="2">
        <v>542.89</v>
      </c>
      <c r="D1415" s="1">
        <v>43766</v>
      </c>
      <c r="E1415" t="str">
        <f>"Air Filter order"</f>
        <v>Air Filter order</v>
      </c>
      <c r="F1415" s="2">
        <v>542.89</v>
      </c>
      <c r="G1415" t="str">
        <f>"24x24x2 Pleated Air"</f>
        <v>24x24x2 Pleated Air</v>
      </c>
    </row>
    <row r="1416" spans="1:7" x14ac:dyDescent="0.25">
      <c r="E1416" t="str">
        <f>""</f>
        <v/>
      </c>
      <c r="G1416" t="str">
        <f>"18x24x2 Pleated Air"</f>
        <v>18x24x2 Pleated Air</v>
      </c>
    </row>
    <row r="1417" spans="1:7" x14ac:dyDescent="0.25">
      <c r="E1417" t="str">
        <f>""</f>
        <v/>
      </c>
      <c r="G1417" t="str">
        <f>"19x22x1 Pleated Air"</f>
        <v>19x22x1 Pleated Air</v>
      </c>
    </row>
    <row r="1418" spans="1:7" x14ac:dyDescent="0.25">
      <c r="E1418" t="str">
        <f>""</f>
        <v/>
      </c>
      <c r="G1418" t="str">
        <f>"14x30x1 Pleated Air"</f>
        <v>14x30x1 Pleated Air</v>
      </c>
    </row>
    <row r="1419" spans="1:7" x14ac:dyDescent="0.25">
      <c r="E1419" t="str">
        <f>""</f>
        <v/>
      </c>
      <c r="G1419" t="str">
        <f>"20x25x1 Pleated Air"</f>
        <v>20x25x1 Pleated Air</v>
      </c>
    </row>
    <row r="1420" spans="1:7" x14ac:dyDescent="0.25">
      <c r="E1420" t="str">
        <f>""</f>
        <v/>
      </c>
      <c r="G1420" t="str">
        <f>"20x20x1 Pleated Air"</f>
        <v>20x20x1 Pleated Air</v>
      </c>
    </row>
    <row r="1421" spans="1:7" x14ac:dyDescent="0.25">
      <c r="E1421" t="str">
        <f>""</f>
        <v/>
      </c>
      <c r="G1421" t="str">
        <f>"18 1/2 x 37 x 3 3/4"</f>
        <v>18 1/2 x 37 x 3 3/4</v>
      </c>
    </row>
    <row r="1422" spans="1:7" x14ac:dyDescent="0.25">
      <c r="A1422" t="s">
        <v>489</v>
      </c>
      <c r="B1422">
        <v>1608</v>
      </c>
      <c r="C1422" s="2">
        <v>203.55</v>
      </c>
      <c r="D1422" s="1">
        <v>43754</v>
      </c>
      <c r="E1422" t="str">
        <f>"ACCT#63275/CUST ID:BASCO1/P2"</f>
        <v>ACCT#63275/CUST ID:BASCO1/P2</v>
      </c>
      <c r="F1422" s="2">
        <v>143.55000000000001</v>
      </c>
      <c r="G1422" t="str">
        <f>"ACCT#63275/CUST ID:BASCO1/P2"</f>
        <v>ACCT#63275/CUST ID:BASCO1/P2</v>
      </c>
    </row>
    <row r="1423" spans="1:7" x14ac:dyDescent="0.25">
      <c r="E1423" t="str">
        <f>"ACCT#63275/PCT#3"</f>
        <v>ACCT#63275/PCT#3</v>
      </c>
      <c r="F1423" s="2">
        <v>60</v>
      </c>
      <c r="G1423" t="str">
        <f>"ACCT#63275/PCT#3"</f>
        <v>ACCT#63275/PCT#3</v>
      </c>
    </row>
    <row r="1424" spans="1:7" x14ac:dyDescent="0.25">
      <c r="A1424" t="s">
        <v>490</v>
      </c>
      <c r="B1424">
        <v>84354</v>
      </c>
      <c r="C1424" s="2">
        <v>18960.8</v>
      </c>
      <c r="D1424" s="1">
        <v>43753</v>
      </c>
      <c r="E1424" t="str">
        <f>"ACCT#01-0112917/FUEL/PCT#3"</f>
        <v>ACCT#01-0112917/FUEL/PCT#3</v>
      </c>
      <c r="F1424" s="2">
        <v>3270.02</v>
      </c>
      <c r="G1424" t="str">
        <f>"ACCT#01-0112917/FUEL/PCT#3"</f>
        <v>ACCT#01-0112917/FUEL/PCT#3</v>
      </c>
    </row>
    <row r="1425" spans="1:7" x14ac:dyDescent="0.25">
      <c r="E1425" t="str">
        <f>"ACCT#01-0112917/PCT#4"</f>
        <v>ACCT#01-0112917/PCT#4</v>
      </c>
      <c r="F1425" s="2">
        <v>5582.72</v>
      </c>
      <c r="G1425" t="str">
        <f>"ACCT#01-0112917/PCT#4"</f>
        <v>ACCT#01-0112917/PCT#4</v>
      </c>
    </row>
    <row r="1426" spans="1:7" x14ac:dyDescent="0.25">
      <c r="E1426" t="str">
        <f>"ACCT#01-0112917/FUEL/PCT#1"</f>
        <v>ACCT#01-0112917/FUEL/PCT#1</v>
      </c>
      <c r="F1426" s="2">
        <v>5635.75</v>
      </c>
      <c r="G1426" t="str">
        <f>"ACCT#01-0112917/FUEL/PCT#1"</f>
        <v>ACCT#01-0112917/FUEL/PCT#1</v>
      </c>
    </row>
    <row r="1427" spans="1:7" x14ac:dyDescent="0.25">
      <c r="E1427" t="str">
        <f>"ACCT#01-0112917/BOL#322448/P3"</f>
        <v>ACCT#01-0112917/BOL#322448/P3</v>
      </c>
      <c r="F1427" s="2">
        <v>4472.3100000000004</v>
      </c>
      <c r="G1427" t="str">
        <f>"ACCT#01-0112917/BOL#322448/P3"</f>
        <v>ACCT#01-0112917/BOL#322448/P3</v>
      </c>
    </row>
    <row r="1428" spans="1:7" x14ac:dyDescent="0.25">
      <c r="A1428" t="s">
        <v>490</v>
      </c>
      <c r="B1428">
        <v>84616</v>
      </c>
      <c r="C1428" s="2">
        <v>9477.65</v>
      </c>
      <c r="D1428" s="1">
        <v>43766</v>
      </c>
      <c r="E1428" t="str">
        <f>"ACCT#01-0112917/BOL#701856/P4"</f>
        <v>ACCT#01-0112917/BOL#701856/P4</v>
      </c>
      <c r="F1428" s="2">
        <v>5384.21</v>
      </c>
      <c r="G1428" t="str">
        <f>"ACCT#01-0112917/BOL#701856/P4"</f>
        <v>ACCT#01-0112917/BOL#701856/P4</v>
      </c>
    </row>
    <row r="1429" spans="1:7" x14ac:dyDescent="0.25">
      <c r="E1429" t="str">
        <f>"ACCT#01-0112917/OIL/PCT#3"</f>
        <v>ACCT#01-0112917/OIL/PCT#3</v>
      </c>
      <c r="F1429" s="2">
        <v>4093.44</v>
      </c>
      <c r="G1429" t="str">
        <f>"ACCT#01-0112917/OIL/PCT#3"</f>
        <v>ACCT#01-0112917/OIL/PCT#3</v>
      </c>
    </row>
    <row r="1430" spans="1:7" x14ac:dyDescent="0.25">
      <c r="A1430" t="s">
        <v>491</v>
      </c>
      <c r="B1430">
        <v>84617</v>
      </c>
      <c r="C1430" s="2">
        <v>118.95</v>
      </c>
      <c r="D1430" s="1">
        <v>43766</v>
      </c>
      <c r="E1430" t="str">
        <f>"INDIGENT HEALTH"</f>
        <v>INDIGENT HEALTH</v>
      </c>
      <c r="F1430" s="2">
        <v>118.95</v>
      </c>
      <c r="G1430" t="str">
        <f>"INDIGENT HEALTH"</f>
        <v>INDIGENT HEALTH</v>
      </c>
    </row>
    <row r="1431" spans="1:7" x14ac:dyDescent="0.25">
      <c r="A1431" t="s">
        <v>492</v>
      </c>
      <c r="B1431">
        <v>84355</v>
      </c>
      <c r="C1431" s="2">
        <v>1036.1400000000001</v>
      </c>
      <c r="D1431" s="1">
        <v>43753</v>
      </c>
      <c r="E1431" t="str">
        <f>"RIP RAP/PCT#1"</f>
        <v>RIP RAP/PCT#1</v>
      </c>
      <c r="F1431" s="2">
        <v>865.2</v>
      </c>
      <c r="G1431" t="str">
        <f>"RIP RAP/PCT#1"</f>
        <v>RIP RAP/PCT#1</v>
      </c>
    </row>
    <row r="1432" spans="1:7" x14ac:dyDescent="0.25">
      <c r="E1432" t="str">
        <f>"TICKET#1132593/BULLROCK/PCT#1"</f>
        <v>TICKET#1132593/BULLROCK/PCT#1</v>
      </c>
      <c r="F1432" s="2">
        <v>170.94</v>
      </c>
      <c r="G1432" t="str">
        <f>"TICKET#1132593/BULLROCK/PCT#1"</f>
        <v>TICKET#1132593/BULLROCK/PCT#1</v>
      </c>
    </row>
    <row r="1433" spans="1:7" x14ac:dyDescent="0.25">
      <c r="A1433" t="s">
        <v>492</v>
      </c>
      <c r="B1433">
        <v>84618</v>
      </c>
      <c r="C1433" s="2">
        <v>420.7</v>
      </c>
      <c r="D1433" s="1">
        <v>43766</v>
      </c>
      <c r="E1433" t="str">
        <f>"TICKET#1134662/RIP RAP/PCT#4"</f>
        <v>TICKET#1134662/RIP RAP/PCT#4</v>
      </c>
      <c r="F1433" s="2">
        <v>420.7</v>
      </c>
      <c r="G1433" t="str">
        <f>"TICKET#1134662/RIP RAP/PCT#4"</f>
        <v>TICKET#1134662/RIP RAP/PCT#4</v>
      </c>
    </row>
    <row r="1434" spans="1:7" x14ac:dyDescent="0.25">
      <c r="A1434" t="s">
        <v>493</v>
      </c>
      <c r="B1434">
        <v>1680</v>
      </c>
      <c r="C1434" s="2">
        <v>335.4</v>
      </c>
      <c r="D1434" s="1">
        <v>43767</v>
      </c>
      <c r="E1434" t="str">
        <f>"CUST#EM-431/PCT#2"</f>
        <v>CUST#EM-431/PCT#2</v>
      </c>
      <c r="F1434" s="2">
        <v>335.4</v>
      </c>
      <c r="G1434" t="str">
        <f>"CUST#EM-431/PCT#2"</f>
        <v>CUST#EM-431/PCT#2</v>
      </c>
    </row>
    <row r="1435" spans="1:7" x14ac:dyDescent="0.25">
      <c r="A1435" t="s">
        <v>494</v>
      </c>
      <c r="B1435">
        <v>84356</v>
      </c>
      <c r="C1435" s="2">
        <v>621</v>
      </c>
      <c r="D1435" s="1">
        <v>43753</v>
      </c>
      <c r="E1435" t="str">
        <f>"OCTOBER BONDS"</f>
        <v>OCTOBER BONDS</v>
      </c>
      <c r="F1435" s="2">
        <v>400</v>
      </c>
      <c r="G1435" t="str">
        <f>"OCTOBER BONDS"</f>
        <v>OCTOBER BONDS</v>
      </c>
    </row>
    <row r="1436" spans="1:7" x14ac:dyDescent="0.25">
      <c r="E1436" t="str">
        <f>"inv# 4037"</f>
        <v>inv# 4037</v>
      </c>
      <c r="F1436" s="2">
        <v>71</v>
      </c>
      <c r="G1436" t="str">
        <f>"inv# 4037"</f>
        <v>inv# 4037</v>
      </c>
    </row>
    <row r="1437" spans="1:7" x14ac:dyDescent="0.25">
      <c r="E1437" t="str">
        <f>"INV 4013"</f>
        <v>INV 4013</v>
      </c>
      <c r="F1437" s="2">
        <v>50</v>
      </c>
      <c r="G1437" t="str">
        <f>"INV 4013"</f>
        <v>INV 4013</v>
      </c>
    </row>
    <row r="1438" spans="1:7" x14ac:dyDescent="0.25">
      <c r="E1438" t="str">
        <f>"ITEM#88845/ACCT#BASTCOU-08"</f>
        <v>ITEM#88845/ACCT#BASTCOU-08</v>
      </c>
      <c r="F1438" s="2">
        <v>50</v>
      </c>
      <c r="G1438" t="str">
        <f>"ITEM#88845/ACCT#BASTCOU-08"</f>
        <v>ITEM#88845/ACCT#BASTCOU-08</v>
      </c>
    </row>
    <row r="1439" spans="1:7" x14ac:dyDescent="0.25">
      <c r="E1439" t="str">
        <f>"ITEM#88847/ACCT#BASCOU-08"</f>
        <v>ITEM#88847/ACCT#BASCOU-08</v>
      </c>
      <c r="F1439" s="2">
        <v>50</v>
      </c>
      <c r="G1439" t="str">
        <f>"ITEM#88847/ACCT#BASCOU-08"</f>
        <v>ITEM#88847/ACCT#BASCOU-08</v>
      </c>
    </row>
    <row r="1440" spans="1:7" x14ac:dyDescent="0.25">
      <c r="A1440" t="s">
        <v>494</v>
      </c>
      <c r="B1440">
        <v>84619</v>
      </c>
      <c r="C1440" s="2">
        <v>421</v>
      </c>
      <c r="D1440" s="1">
        <v>43766</v>
      </c>
      <c r="E1440" t="str">
        <f>"NOVEMBER BOND RENEWALS"</f>
        <v>NOVEMBER BOND RENEWALS</v>
      </c>
      <c r="F1440" s="2">
        <v>250</v>
      </c>
      <c r="G1440" t="str">
        <f>"NOVEMBER BOND RENEWALS"</f>
        <v>NOVEMBER BOND RENEWALS</v>
      </c>
    </row>
    <row r="1441" spans="1:7" x14ac:dyDescent="0.25">
      <c r="E1441" t="str">
        <f>"INV 4114"</f>
        <v>INV 4114</v>
      </c>
      <c r="F1441" s="2">
        <v>71</v>
      </c>
      <c r="G1441" t="str">
        <f>"INV 4114"</f>
        <v>INV 4114</v>
      </c>
    </row>
    <row r="1442" spans="1:7" x14ac:dyDescent="0.25">
      <c r="E1442" t="str">
        <f>"ACCT#BASTCOU-08/19-20 BOND REN"</f>
        <v>ACCT#BASTCOU-08/19-20 BOND REN</v>
      </c>
      <c r="F1442" s="2">
        <v>50</v>
      </c>
      <c r="G1442" t="str">
        <f>"ACCT#BASTCOU-08/19-20 BOND REN"</f>
        <v>ACCT#BASTCOU-08/19-20 BOND REN</v>
      </c>
    </row>
    <row r="1443" spans="1:7" x14ac:dyDescent="0.25">
      <c r="E1443" t="str">
        <f>"ACCT#BASTCOU-08/19-20 BOND REN"</f>
        <v>ACCT#BASTCOU-08/19-20 BOND REN</v>
      </c>
      <c r="F1443" s="2">
        <v>50</v>
      </c>
      <c r="G1443" t="str">
        <f>"ACCT#BASTCOU-08/19-20 BOND REN"</f>
        <v>ACCT#BASTCOU-08/19-20 BOND REN</v>
      </c>
    </row>
    <row r="1444" spans="1:7" x14ac:dyDescent="0.25">
      <c r="A1444" t="s">
        <v>495</v>
      </c>
      <c r="B1444">
        <v>84357</v>
      </c>
      <c r="C1444" s="2">
        <v>160</v>
      </c>
      <c r="D1444" s="1">
        <v>43753</v>
      </c>
      <c r="E1444" t="str">
        <f>"MEMBER ID:203296 LISA SMITH"</f>
        <v>MEMBER ID:203296 LISA SMITH</v>
      </c>
      <c r="F1444" s="2">
        <v>160</v>
      </c>
      <c r="G1444" t="str">
        <f>"MEMBER ID:203296 LISA SMITH"</f>
        <v>MEMBER ID:203296 LISA SMITH</v>
      </c>
    </row>
    <row r="1445" spans="1:7" x14ac:dyDescent="0.25">
      <c r="A1445" t="s">
        <v>495</v>
      </c>
      <c r="B1445">
        <v>84358</v>
      </c>
      <c r="C1445" s="2">
        <v>10316.01</v>
      </c>
      <c r="D1445" s="1">
        <v>43753</v>
      </c>
      <c r="E1445" t="str">
        <f>"UNEMPLOYMENT QTR END 09/30/19"</f>
        <v>UNEMPLOYMENT QTR END 09/30/19</v>
      </c>
      <c r="F1445" s="2">
        <v>4483.78</v>
      </c>
      <c r="G1445" t="str">
        <f t="shared" ref="G1445:G1482" si="10">"UNEMPLOYMENT QTR END 09/30/19"</f>
        <v>UNEMPLOYMENT QTR END 09/30/19</v>
      </c>
    </row>
    <row r="1446" spans="1:7" x14ac:dyDescent="0.25">
      <c r="E1446" t="str">
        <f>""</f>
        <v/>
      </c>
      <c r="G1446" t="str">
        <f t="shared" si="10"/>
        <v>UNEMPLOYMENT QTR END 09/30/19</v>
      </c>
    </row>
    <row r="1447" spans="1:7" x14ac:dyDescent="0.25">
      <c r="E1447" t="str">
        <f>""</f>
        <v/>
      </c>
      <c r="G1447" t="str">
        <f t="shared" si="10"/>
        <v>UNEMPLOYMENT QTR END 09/30/19</v>
      </c>
    </row>
    <row r="1448" spans="1:7" x14ac:dyDescent="0.25">
      <c r="E1448" t="str">
        <f>""</f>
        <v/>
      </c>
      <c r="G1448" t="str">
        <f t="shared" si="10"/>
        <v>UNEMPLOYMENT QTR END 09/30/19</v>
      </c>
    </row>
    <row r="1449" spans="1:7" x14ac:dyDescent="0.25">
      <c r="E1449" t="str">
        <f>""</f>
        <v/>
      </c>
      <c r="G1449" t="str">
        <f t="shared" si="10"/>
        <v>UNEMPLOYMENT QTR END 09/30/19</v>
      </c>
    </row>
    <row r="1450" spans="1:7" x14ac:dyDescent="0.25">
      <c r="E1450" t="str">
        <f>""</f>
        <v/>
      </c>
      <c r="G1450" t="str">
        <f t="shared" si="10"/>
        <v>UNEMPLOYMENT QTR END 09/30/19</v>
      </c>
    </row>
    <row r="1451" spans="1:7" x14ac:dyDescent="0.25">
      <c r="E1451" t="str">
        <f>""</f>
        <v/>
      </c>
      <c r="G1451" t="str">
        <f t="shared" si="10"/>
        <v>UNEMPLOYMENT QTR END 09/30/19</v>
      </c>
    </row>
    <row r="1452" spans="1:7" x14ac:dyDescent="0.25">
      <c r="E1452" t="str">
        <f>""</f>
        <v/>
      </c>
      <c r="G1452" t="str">
        <f t="shared" si="10"/>
        <v>UNEMPLOYMENT QTR END 09/30/19</v>
      </c>
    </row>
    <row r="1453" spans="1:7" x14ac:dyDescent="0.25">
      <c r="E1453" t="str">
        <f>""</f>
        <v/>
      </c>
      <c r="G1453" t="str">
        <f t="shared" si="10"/>
        <v>UNEMPLOYMENT QTR END 09/30/19</v>
      </c>
    </row>
    <row r="1454" spans="1:7" x14ac:dyDescent="0.25">
      <c r="E1454" t="str">
        <f>""</f>
        <v/>
      </c>
      <c r="G1454" t="str">
        <f t="shared" si="10"/>
        <v>UNEMPLOYMENT QTR END 09/30/19</v>
      </c>
    </row>
    <row r="1455" spans="1:7" x14ac:dyDescent="0.25">
      <c r="E1455" t="str">
        <f>""</f>
        <v/>
      </c>
      <c r="G1455" t="str">
        <f t="shared" si="10"/>
        <v>UNEMPLOYMENT QTR END 09/30/19</v>
      </c>
    </row>
    <row r="1456" spans="1:7" x14ac:dyDescent="0.25">
      <c r="E1456" t="str">
        <f>""</f>
        <v/>
      </c>
      <c r="G1456" t="str">
        <f t="shared" si="10"/>
        <v>UNEMPLOYMENT QTR END 09/30/19</v>
      </c>
    </row>
    <row r="1457" spans="5:7" x14ac:dyDescent="0.25">
      <c r="E1457" t="str">
        <f>""</f>
        <v/>
      </c>
      <c r="G1457" t="str">
        <f t="shared" si="10"/>
        <v>UNEMPLOYMENT QTR END 09/30/19</v>
      </c>
    </row>
    <row r="1458" spans="5:7" x14ac:dyDescent="0.25">
      <c r="E1458" t="str">
        <f>""</f>
        <v/>
      </c>
      <c r="G1458" t="str">
        <f t="shared" si="10"/>
        <v>UNEMPLOYMENT QTR END 09/30/19</v>
      </c>
    </row>
    <row r="1459" spans="5:7" x14ac:dyDescent="0.25">
      <c r="E1459" t="str">
        <f>""</f>
        <v/>
      </c>
      <c r="G1459" t="str">
        <f t="shared" si="10"/>
        <v>UNEMPLOYMENT QTR END 09/30/19</v>
      </c>
    </row>
    <row r="1460" spans="5:7" x14ac:dyDescent="0.25">
      <c r="E1460" t="str">
        <f>""</f>
        <v/>
      </c>
      <c r="G1460" t="str">
        <f t="shared" si="10"/>
        <v>UNEMPLOYMENT QTR END 09/30/19</v>
      </c>
    </row>
    <row r="1461" spans="5:7" x14ac:dyDescent="0.25">
      <c r="E1461" t="str">
        <f>""</f>
        <v/>
      </c>
      <c r="G1461" t="str">
        <f t="shared" si="10"/>
        <v>UNEMPLOYMENT QTR END 09/30/19</v>
      </c>
    </row>
    <row r="1462" spans="5:7" x14ac:dyDescent="0.25">
      <c r="E1462" t="str">
        <f>""</f>
        <v/>
      </c>
      <c r="G1462" t="str">
        <f t="shared" si="10"/>
        <v>UNEMPLOYMENT QTR END 09/30/19</v>
      </c>
    </row>
    <row r="1463" spans="5:7" x14ac:dyDescent="0.25">
      <c r="E1463" t="str">
        <f>""</f>
        <v/>
      </c>
      <c r="G1463" t="str">
        <f t="shared" si="10"/>
        <v>UNEMPLOYMENT QTR END 09/30/19</v>
      </c>
    </row>
    <row r="1464" spans="5:7" x14ac:dyDescent="0.25">
      <c r="E1464" t="str">
        <f>""</f>
        <v/>
      </c>
      <c r="G1464" t="str">
        <f t="shared" si="10"/>
        <v>UNEMPLOYMENT QTR END 09/30/19</v>
      </c>
    </row>
    <row r="1465" spans="5:7" x14ac:dyDescent="0.25">
      <c r="E1465" t="str">
        <f>""</f>
        <v/>
      </c>
      <c r="G1465" t="str">
        <f t="shared" si="10"/>
        <v>UNEMPLOYMENT QTR END 09/30/19</v>
      </c>
    </row>
    <row r="1466" spans="5:7" x14ac:dyDescent="0.25">
      <c r="E1466" t="str">
        <f>""</f>
        <v/>
      </c>
      <c r="G1466" t="str">
        <f t="shared" si="10"/>
        <v>UNEMPLOYMENT QTR END 09/30/19</v>
      </c>
    </row>
    <row r="1467" spans="5:7" x14ac:dyDescent="0.25">
      <c r="E1467" t="str">
        <f>""</f>
        <v/>
      </c>
      <c r="G1467" t="str">
        <f t="shared" si="10"/>
        <v>UNEMPLOYMENT QTR END 09/30/19</v>
      </c>
    </row>
    <row r="1468" spans="5:7" x14ac:dyDescent="0.25">
      <c r="E1468" t="str">
        <f>""</f>
        <v/>
      </c>
      <c r="G1468" t="str">
        <f t="shared" si="10"/>
        <v>UNEMPLOYMENT QTR END 09/30/19</v>
      </c>
    </row>
    <row r="1469" spans="5:7" x14ac:dyDescent="0.25">
      <c r="E1469" t="str">
        <f>""</f>
        <v/>
      </c>
      <c r="G1469" t="str">
        <f t="shared" si="10"/>
        <v>UNEMPLOYMENT QTR END 09/30/19</v>
      </c>
    </row>
    <row r="1470" spans="5:7" x14ac:dyDescent="0.25">
      <c r="E1470" t="str">
        <f>""</f>
        <v/>
      </c>
      <c r="G1470" t="str">
        <f t="shared" si="10"/>
        <v>UNEMPLOYMENT QTR END 09/30/19</v>
      </c>
    </row>
    <row r="1471" spans="5:7" x14ac:dyDescent="0.25">
      <c r="E1471" t="str">
        <f>""</f>
        <v/>
      </c>
      <c r="G1471" t="str">
        <f t="shared" si="10"/>
        <v>UNEMPLOYMENT QTR END 09/30/19</v>
      </c>
    </row>
    <row r="1472" spans="5:7" x14ac:dyDescent="0.25">
      <c r="E1472" t="str">
        <f>""</f>
        <v/>
      </c>
      <c r="G1472" t="str">
        <f t="shared" si="10"/>
        <v>UNEMPLOYMENT QTR END 09/30/19</v>
      </c>
    </row>
    <row r="1473" spans="5:7" x14ac:dyDescent="0.25">
      <c r="E1473" t="str">
        <f>""</f>
        <v/>
      </c>
      <c r="G1473" t="str">
        <f t="shared" si="10"/>
        <v>UNEMPLOYMENT QTR END 09/30/19</v>
      </c>
    </row>
    <row r="1474" spans="5:7" x14ac:dyDescent="0.25">
      <c r="E1474" t="str">
        <f>""</f>
        <v/>
      </c>
      <c r="G1474" t="str">
        <f t="shared" si="10"/>
        <v>UNEMPLOYMENT QTR END 09/30/19</v>
      </c>
    </row>
    <row r="1475" spans="5:7" x14ac:dyDescent="0.25">
      <c r="E1475" t="str">
        <f>""</f>
        <v/>
      </c>
      <c r="G1475" t="str">
        <f t="shared" si="10"/>
        <v>UNEMPLOYMENT QTR END 09/30/19</v>
      </c>
    </row>
    <row r="1476" spans="5:7" x14ac:dyDescent="0.25">
      <c r="E1476" t="str">
        <f>""</f>
        <v/>
      </c>
      <c r="G1476" t="str">
        <f t="shared" si="10"/>
        <v>UNEMPLOYMENT QTR END 09/30/19</v>
      </c>
    </row>
    <row r="1477" spans="5:7" x14ac:dyDescent="0.25">
      <c r="E1477" t="str">
        <f>""</f>
        <v/>
      </c>
      <c r="G1477" t="str">
        <f t="shared" si="10"/>
        <v>UNEMPLOYMENT QTR END 09/30/19</v>
      </c>
    </row>
    <row r="1478" spans="5:7" x14ac:dyDescent="0.25">
      <c r="E1478" t="str">
        <f>""</f>
        <v/>
      </c>
      <c r="G1478" t="str">
        <f t="shared" si="10"/>
        <v>UNEMPLOYMENT QTR END 09/30/19</v>
      </c>
    </row>
    <row r="1479" spans="5:7" x14ac:dyDescent="0.25">
      <c r="E1479" t="str">
        <f>""</f>
        <v/>
      </c>
      <c r="G1479" t="str">
        <f t="shared" si="10"/>
        <v>UNEMPLOYMENT QTR END 09/30/19</v>
      </c>
    </row>
    <row r="1480" spans="5:7" x14ac:dyDescent="0.25">
      <c r="E1480" t="str">
        <f>""</f>
        <v/>
      </c>
      <c r="G1480" t="str">
        <f t="shared" si="10"/>
        <v>UNEMPLOYMENT QTR END 09/30/19</v>
      </c>
    </row>
    <row r="1481" spans="5:7" x14ac:dyDescent="0.25">
      <c r="E1481" t="str">
        <f>""</f>
        <v/>
      </c>
      <c r="G1481" t="str">
        <f t="shared" si="10"/>
        <v>UNEMPLOYMENT QTR END 09/30/19</v>
      </c>
    </row>
    <row r="1482" spans="5:7" x14ac:dyDescent="0.25">
      <c r="E1482" t="str">
        <f>""</f>
        <v/>
      </c>
      <c r="G1482" t="str">
        <f t="shared" si="10"/>
        <v>UNEMPLOYMENT QTR END 09/30/19</v>
      </c>
    </row>
    <row r="1483" spans="5:7" x14ac:dyDescent="0.25">
      <c r="E1483" t="str">
        <f>"UNEMP FUND DEFICIT-QTR1&amp;2 2019"</f>
        <v>UNEMP FUND DEFICIT-QTR1&amp;2 2019</v>
      </c>
      <c r="F1483" s="2">
        <v>5832.23</v>
      </c>
      <c r="G1483" t="str">
        <f t="shared" ref="G1483:G1520" si="11">"UNEMP FUND DEFICIT-QTR1&amp;2 2019"</f>
        <v>UNEMP FUND DEFICIT-QTR1&amp;2 2019</v>
      </c>
    </row>
    <row r="1484" spans="5:7" x14ac:dyDescent="0.25">
      <c r="E1484" t="str">
        <f>""</f>
        <v/>
      </c>
      <c r="G1484" t="str">
        <f t="shared" si="11"/>
        <v>UNEMP FUND DEFICIT-QTR1&amp;2 2019</v>
      </c>
    </row>
    <row r="1485" spans="5:7" x14ac:dyDescent="0.25">
      <c r="E1485" t="str">
        <f>""</f>
        <v/>
      </c>
      <c r="G1485" t="str">
        <f t="shared" si="11"/>
        <v>UNEMP FUND DEFICIT-QTR1&amp;2 2019</v>
      </c>
    </row>
    <row r="1486" spans="5:7" x14ac:dyDescent="0.25">
      <c r="E1486" t="str">
        <f>""</f>
        <v/>
      </c>
      <c r="G1486" t="str">
        <f t="shared" si="11"/>
        <v>UNEMP FUND DEFICIT-QTR1&amp;2 2019</v>
      </c>
    </row>
    <row r="1487" spans="5:7" x14ac:dyDescent="0.25">
      <c r="E1487" t="str">
        <f>""</f>
        <v/>
      </c>
      <c r="G1487" t="str">
        <f t="shared" si="11"/>
        <v>UNEMP FUND DEFICIT-QTR1&amp;2 2019</v>
      </c>
    </row>
    <row r="1488" spans="5:7" x14ac:dyDescent="0.25">
      <c r="E1488" t="str">
        <f>""</f>
        <v/>
      </c>
      <c r="G1488" t="str">
        <f t="shared" si="11"/>
        <v>UNEMP FUND DEFICIT-QTR1&amp;2 2019</v>
      </c>
    </row>
    <row r="1489" spans="5:7" x14ac:dyDescent="0.25">
      <c r="E1489" t="str">
        <f>""</f>
        <v/>
      </c>
      <c r="G1489" t="str">
        <f t="shared" si="11"/>
        <v>UNEMP FUND DEFICIT-QTR1&amp;2 2019</v>
      </c>
    </row>
    <row r="1490" spans="5:7" x14ac:dyDescent="0.25">
      <c r="E1490" t="str">
        <f>""</f>
        <v/>
      </c>
      <c r="G1490" t="str">
        <f t="shared" si="11"/>
        <v>UNEMP FUND DEFICIT-QTR1&amp;2 2019</v>
      </c>
    </row>
    <row r="1491" spans="5:7" x14ac:dyDescent="0.25">
      <c r="E1491" t="str">
        <f>""</f>
        <v/>
      </c>
      <c r="G1491" t="str">
        <f t="shared" si="11"/>
        <v>UNEMP FUND DEFICIT-QTR1&amp;2 2019</v>
      </c>
    </row>
    <row r="1492" spans="5:7" x14ac:dyDescent="0.25">
      <c r="E1492" t="str">
        <f>""</f>
        <v/>
      </c>
      <c r="G1492" t="str">
        <f t="shared" si="11"/>
        <v>UNEMP FUND DEFICIT-QTR1&amp;2 2019</v>
      </c>
    </row>
    <row r="1493" spans="5:7" x14ac:dyDescent="0.25">
      <c r="E1493" t="str">
        <f>""</f>
        <v/>
      </c>
      <c r="G1493" t="str">
        <f t="shared" si="11"/>
        <v>UNEMP FUND DEFICIT-QTR1&amp;2 2019</v>
      </c>
    </row>
    <row r="1494" spans="5:7" x14ac:dyDescent="0.25">
      <c r="E1494" t="str">
        <f>""</f>
        <v/>
      </c>
      <c r="G1494" t="str">
        <f t="shared" si="11"/>
        <v>UNEMP FUND DEFICIT-QTR1&amp;2 2019</v>
      </c>
    </row>
    <row r="1495" spans="5:7" x14ac:dyDescent="0.25">
      <c r="E1495" t="str">
        <f>""</f>
        <v/>
      </c>
      <c r="G1495" t="str">
        <f t="shared" si="11"/>
        <v>UNEMP FUND DEFICIT-QTR1&amp;2 2019</v>
      </c>
    </row>
    <row r="1496" spans="5:7" x14ac:dyDescent="0.25">
      <c r="E1496" t="str">
        <f>""</f>
        <v/>
      </c>
      <c r="G1496" t="str">
        <f t="shared" si="11"/>
        <v>UNEMP FUND DEFICIT-QTR1&amp;2 2019</v>
      </c>
    </row>
    <row r="1497" spans="5:7" x14ac:dyDescent="0.25">
      <c r="E1497" t="str">
        <f>""</f>
        <v/>
      </c>
      <c r="G1497" t="str">
        <f t="shared" si="11"/>
        <v>UNEMP FUND DEFICIT-QTR1&amp;2 2019</v>
      </c>
    </row>
    <row r="1498" spans="5:7" x14ac:dyDescent="0.25">
      <c r="E1498" t="str">
        <f>""</f>
        <v/>
      </c>
      <c r="G1498" t="str">
        <f t="shared" si="11"/>
        <v>UNEMP FUND DEFICIT-QTR1&amp;2 2019</v>
      </c>
    </row>
    <row r="1499" spans="5:7" x14ac:dyDescent="0.25">
      <c r="E1499" t="str">
        <f>""</f>
        <v/>
      </c>
      <c r="G1499" t="str">
        <f t="shared" si="11"/>
        <v>UNEMP FUND DEFICIT-QTR1&amp;2 2019</v>
      </c>
    </row>
    <row r="1500" spans="5:7" x14ac:dyDescent="0.25">
      <c r="E1500" t="str">
        <f>""</f>
        <v/>
      </c>
      <c r="G1500" t="str">
        <f t="shared" si="11"/>
        <v>UNEMP FUND DEFICIT-QTR1&amp;2 2019</v>
      </c>
    </row>
    <row r="1501" spans="5:7" x14ac:dyDescent="0.25">
      <c r="E1501" t="str">
        <f>""</f>
        <v/>
      </c>
      <c r="G1501" t="str">
        <f t="shared" si="11"/>
        <v>UNEMP FUND DEFICIT-QTR1&amp;2 2019</v>
      </c>
    </row>
    <row r="1502" spans="5:7" x14ac:dyDescent="0.25">
      <c r="E1502" t="str">
        <f>""</f>
        <v/>
      </c>
      <c r="G1502" t="str">
        <f t="shared" si="11"/>
        <v>UNEMP FUND DEFICIT-QTR1&amp;2 2019</v>
      </c>
    </row>
    <row r="1503" spans="5:7" x14ac:dyDescent="0.25">
      <c r="E1503" t="str">
        <f>""</f>
        <v/>
      </c>
      <c r="G1503" t="str">
        <f t="shared" si="11"/>
        <v>UNEMP FUND DEFICIT-QTR1&amp;2 2019</v>
      </c>
    </row>
    <row r="1504" spans="5:7" x14ac:dyDescent="0.25">
      <c r="E1504" t="str">
        <f>""</f>
        <v/>
      </c>
      <c r="G1504" t="str">
        <f t="shared" si="11"/>
        <v>UNEMP FUND DEFICIT-QTR1&amp;2 2019</v>
      </c>
    </row>
    <row r="1505" spans="5:7" x14ac:dyDescent="0.25">
      <c r="E1505" t="str">
        <f>""</f>
        <v/>
      </c>
      <c r="G1505" t="str">
        <f t="shared" si="11"/>
        <v>UNEMP FUND DEFICIT-QTR1&amp;2 2019</v>
      </c>
    </row>
    <row r="1506" spans="5:7" x14ac:dyDescent="0.25">
      <c r="E1506" t="str">
        <f>""</f>
        <v/>
      </c>
      <c r="G1506" t="str">
        <f t="shared" si="11"/>
        <v>UNEMP FUND DEFICIT-QTR1&amp;2 2019</v>
      </c>
    </row>
    <row r="1507" spans="5:7" x14ac:dyDescent="0.25">
      <c r="E1507" t="str">
        <f>""</f>
        <v/>
      </c>
      <c r="G1507" t="str">
        <f t="shared" si="11"/>
        <v>UNEMP FUND DEFICIT-QTR1&amp;2 2019</v>
      </c>
    </row>
    <row r="1508" spans="5:7" x14ac:dyDescent="0.25">
      <c r="E1508" t="str">
        <f>""</f>
        <v/>
      </c>
      <c r="G1508" t="str">
        <f t="shared" si="11"/>
        <v>UNEMP FUND DEFICIT-QTR1&amp;2 2019</v>
      </c>
    </row>
    <row r="1509" spans="5:7" x14ac:dyDescent="0.25">
      <c r="E1509" t="str">
        <f>""</f>
        <v/>
      </c>
      <c r="G1509" t="str">
        <f t="shared" si="11"/>
        <v>UNEMP FUND DEFICIT-QTR1&amp;2 2019</v>
      </c>
    </row>
    <row r="1510" spans="5:7" x14ac:dyDescent="0.25">
      <c r="E1510" t="str">
        <f>""</f>
        <v/>
      </c>
      <c r="G1510" t="str">
        <f t="shared" si="11"/>
        <v>UNEMP FUND DEFICIT-QTR1&amp;2 2019</v>
      </c>
    </row>
    <row r="1511" spans="5:7" x14ac:dyDescent="0.25">
      <c r="E1511" t="str">
        <f>""</f>
        <v/>
      </c>
      <c r="G1511" t="str">
        <f t="shared" si="11"/>
        <v>UNEMP FUND DEFICIT-QTR1&amp;2 2019</v>
      </c>
    </row>
    <row r="1512" spans="5:7" x14ac:dyDescent="0.25">
      <c r="E1512" t="str">
        <f>""</f>
        <v/>
      </c>
      <c r="G1512" t="str">
        <f t="shared" si="11"/>
        <v>UNEMP FUND DEFICIT-QTR1&amp;2 2019</v>
      </c>
    </row>
    <row r="1513" spans="5:7" x14ac:dyDescent="0.25">
      <c r="E1513" t="str">
        <f>""</f>
        <v/>
      </c>
      <c r="G1513" t="str">
        <f t="shared" si="11"/>
        <v>UNEMP FUND DEFICIT-QTR1&amp;2 2019</v>
      </c>
    </row>
    <row r="1514" spans="5:7" x14ac:dyDescent="0.25">
      <c r="E1514" t="str">
        <f>""</f>
        <v/>
      </c>
      <c r="G1514" t="str">
        <f t="shared" si="11"/>
        <v>UNEMP FUND DEFICIT-QTR1&amp;2 2019</v>
      </c>
    </row>
    <row r="1515" spans="5:7" x14ac:dyDescent="0.25">
      <c r="E1515" t="str">
        <f>""</f>
        <v/>
      </c>
      <c r="G1515" t="str">
        <f t="shared" si="11"/>
        <v>UNEMP FUND DEFICIT-QTR1&amp;2 2019</v>
      </c>
    </row>
    <row r="1516" spans="5:7" x14ac:dyDescent="0.25">
      <c r="E1516" t="str">
        <f>""</f>
        <v/>
      </c>
      <c r="G1516" t="str">
        <f t="shared" si="11"/>
        <v>UNEMP FUND DEFICIT-QTR1&amp;2 2019</v>
      </c>
    </row>
    <row r="1517" spans="5:7" x14ac:dyDescent="0.25">
      <c r="E1517" t="str">
        <f>""</f>
        <v/>
      </c>
      <c r="G1517" t="str">
        <f t="shared" si="11"/>
        <v>UNEMP FUND DEFICIT-QTR1&amp;2 2019</v>
      </c>
    </row>
    <row r="1518" spans="5:7" x14ac:dyDescent="0.25">
      <c r="E1518" t="str">
        <f>""</f>
        <v/>
      </c>
      <c r="G1518" t="str">
        <f t="shared" si="11"/>
        <v>UNEMP FUND DEFICIT-QTR1&amp;2 2019</v>
      </c>
    </row>
    <row r="1519" spans="5:7" x14ac:dyDescent="0.25">
      <c r="E1519" t="str">
        <f>""</f>
        <v/>
      </c>
      <c r="G1519" t="str">
        <f t="shared" si="11"/>
        <v>UNEMP FUND DEFICIT-QTR1&amp;2 2019</v>
      </c>
    </row>
    <row r="1520" spans="5:7" x14ac:dyDescent="0.25">
      <c r="E1520" t="str">
        <f>""</f>
        <v/>
      </c>
      <c r="G1520" t="str">
        <f t="shared" si="11"/>
        <v>UNEMP FUND DEFICIT-QTR1&amp;2 2019</v>
      </c>
    </row>
    <row r="1521" spans="1:8" x14ac:dyDescent="0.25">
      <c r="A1521" t="s">
        <v>496</v>
      </c>
      <c r="B1521">
        <v>84359</v>
      </c>
      <c r="C1521" s="2">
        <v>3980</v>
      </c>
      <c r="D1521" s="1">
        <v>43753</v>
      </c>
      <c r="E1521" t="str">
        <f>"ACCT#0620010/ONSITE COUNCIL FE"</f>
        <v>ACCT#0620010/ONSITE COUNCIL FE</v>
      </c>
      <c r="F1521" s="2">
        <v>3980</v>
      </c>
      <c r="G1521" t="str">
        <f>"ACCT#0620010/ONSITE COUNCIL FE"</f>
        <v>ACCT#0620010/ONSITE COUNCIL FE</v>
      </c>
    </row>
    <row r="1522" spans="1:8" x14ac:dyDescent="0.25">
      <c r="A1522" t="s">
        <v>497</v>
      </c>
      <c r="B1522">
        <v>1582</v>
      </c>
      <c r="C1522" s="2">
        <v>55</v>
      </c>
      <c r="D1522" s="1">
        <v>43754</v>
      </c>
      <c r="E1522" t="str">
        <f>"ACCT#1267/MEDICAL WASTE PICKUP"</f>
        <v>ACCT#1267/MEDICAL WASTE PICKUP</v>
      </c>
      <c r="F1522" s="2">
        <v>55</v>
      </c>
      <c r="G1522" t="str">
        <f>"ACCT#1267/MEDICAL WASTE PICKUP"</f>
        <v>ACCT#1267/MEDICAL WASTE PICKUP</v>
      </c>
    </row>
    <row r="1523" spans="1:8" x14ac:dyDescent="0.25">
      <c r="A1523" t="s">
        <v>498</v>
      </c>
      <c r="B1523">
        <v>84360</v>
      </c>
      <c r="C1523" s="2">
        <v>25</v>
      </c>
      <c r="D1523" s="1">
        <v>43753</v>
      </c>
      <c r="E1523" t="str">
        <f>"SECURE SITE CCH NAME SEARCH"</f>
        <v>SECURE SITE CCH NAME SEARCH</v>
      </c>
      <c r="F1523" s="2">
        <v>25</v>
      </c>
      <c r="G1523" t="str">
        <f>"SECURE SITE CCH NAME SEARCH"</f>
        <v>SECURE SITE CCH NAME SEARCH</v>
      </c>
    </row>
    <row r="1524" spans="1:8" x14ac:dyDescent="0.25">
      <c r="A1524" t="s">
        <v>498</v>
      </c>
      <c r="B1524">
        <v>84361</v>
      </c>
      <c r="C1524" s="2">
        <v>204.5</v>
      </c>
      <c r="D1524" s="1">
        <v>43753</v>
      </c>
      <c r="E1524" t="s">
        <v>499</v>
      </c>
      <c r="F1524" s="2" t="str">
        <f>"RESTITUTION - J. TULLUS"</f>
        <v>RESTITUTION - J. TULLUS</v>
      </c>
      <c r="G1524" t="str">
        <f>"210-0000"</f>
        <v>210-0000</v>
      </c>
      <c r="H1524" t="str">
        <f>""</f>
        <v/>
      </c>
    </row>
    <row r="1525" spans="1:8" x14ac:dyDescent="0.25">
      <c r="E1525" t="s">
        <v>500</v>
      </c>
      <c r="F1525" s="2" t="str">
        <f>"RESTITUTION-G. CORONA"</f>
        <v>RESTITUTION-G. CORONA</v>
      </c>
      <c r="G1525" t="str">
        <f>"210-0000"</f>
        <v>210-0000</v>
      </c>
      <c r="H1525" t="str">
        <f>""</f>
        <v/>
      </c>
    </row>
    <row r="1526" spans="1:8" x14ac:dyDescent="0.25">
      <c r="E1526" t="s">
        <v>501</v>
      </c>
      <c r="F1526" s="2" t="str">
        <f>"RESTITUTION-B. HARRIS"</f>
        <v>RESTITUTION-B. HARRIS</v>
      </c>
      <c r="G1526" t="str">
        <f>"210-0000"</f>
        <v>210-0000</v>
      </c>
      <c r="H1526" t="str">
        <f>""</f>
        <v/>
      </c>
    </row>
    <row r="1527" spans="1:8" x14ac:dyDescent="0.25">
      <c r="A1527" t="s">
        <v>498</v>
      </c>
      <c r="B1527">
        <v>84620</v>
      </c>
      <c r="C1527" s="2">
        <v>19</v>
      </c>
      <c r="D1527" s="1">
        <v>43766</v>
      </c>
      <c r="E1527" t="str">
        <f>"SECURE SITE CCH NAME SEARCH"</f>
        <v>SECURE SITE CCH NAME SEARCH</v>
      </c>
      <c r="F1527" s="2">
        <v>19</v>
      </c>
      <c r="G1527" t="str">
        <f>"SECURE SITE CCH NAME SEARCH"</f>
        <v>SECURE SITE CCH NAME SEARCH</v>
      </c>
    </row>
    <row r="1528" spans="1:8" x14ac:dyDescent="0.25">
      <c r="A1528" t="s">
        <v>495</v>
      </c>
      <c r="B1528">
        <v>84362</v>
      </c>
      <c r="C1528" s="2">
        <v>200</v>
      </c>
      <c r="D1528" s="1">
        <v>43753</v>
      </c>
      <c r="E1528" t="str">
        <f>"MBRSHP DUES-P. PAPE 9/1-8/31"</f>
        <v>MBRSHP DUES-P. PAPE 9/1-8/31</v>
      </c>
      <c r="F1528" s="2">
        <v>16.670000000000002</v>
      </c>
      <c r="G1528" t="str">
        <f>"MBRSHP DUES-P. PAPE 9/1-8/31"</f>
        <v>MBRSHP DUES-P. PAPE 9/1-8/31</v>
      </c>
    </row>
    <row r="1529" spans="1:8" x14ac:dyDescent="0.25">
      <c r="E1529" t="str">
        <f>"MBRSHP DUES-P. PAPE 9/1-8/31"</f>
        <v>MBRSHP DUES-P. PAPE 9/1-8/31</v>
      </c>
      <c r="F1529" s="2">
        <v>183.33</v>
      </c>
      <c r="G1529" t="str">
        <f>"MBRSHP DUES-P. PAPE 9/1-8/31"</f>
        <v>MBRSHP DUES-P. PAPE 9/1-8/31</v>
      </c>
    </row>
    <row r="1530" spans="1:8" x14ac:dyDescent="0.25">
      <c r="A1530" t="s">
        <v>502</v>
      </c>
      <c r="B1530">
        <v>84363</v>
      </c>
      <c r="C1530" s="2">
        <v>1915</v>
      </c>
      <c r="D1530" s="1">
        <v>43753</v>
      </c>
      <c r="E1530" t="str">
        <f>"FY_20 EXP CT PERS SEM-A. BROWN"</f>
        <v>FY_20 EXP CT PERS SEM-A. BROWN</v>
      </c>
      <c r="F1530" s="2">
        <v>150</v>
      </c>
      <c r="G1530" t="str">
        <f>"FY_20 EXP CT PERS SEM-A. BROWN"</f>
        <v>FY_20 EXP CT PERS SEM-A. BROWN</v>
      </c>
    </row>
    <row r="1531" spans="1:8" x14ac:dyDescent="0.25">
      <c r="E1531" t="str">
        <f>"FY_20 CT PERS SEM-N. GONZALES"</f>
        <v>FY_20 CT PERS SEM-N. GONZALES</v>
      </c>
      <c r="F1531" s="2">
        <v>260</v>
      </c>
      <c r="G1531" t="str">
        <f>"FY_20 CT PERS SEM-N. GONZALES"</f>
        <v>FY_20 CT PERS SEM-N. GONZALES</v>
      </c>
    </row>
    <row r="1532" spans="1:8" x14ac:dyDescent="0.25">
      <c r="E1532" t="str">
        <f>"FY_20-EXP CT PERS SEM-D MONTOY"</f>
        <v>FY_20-EXP CT PERS SEM-D MONTOY</v>
      </c>
      <c r="F1532" s="2">
        <v>150</v>
      </c>
      <c r="G1532" t="str">
        <f>"FY_20-EXP CT PERS SEM-D MONTOY"</f>
        <v>FY_20-EXP CT PERS SEM-D MONTOY</v>
      </c>
    </row>
    <row r="1533" spans="1:8" x14ac:dyDescent="0.25">
      <c r="E1533" t="str">
        <f>"FY_20 EXP CT PERSONNEL-D TINER"</f>
        <v>FY_20 EXP CT PERSONNEL-D TINER</v>
      </c>
      <c r="F1533" s="2">
        <v>150</v>
      </c>
      <c r="G1533" t="str">
        <f>"FY_20 EXP CT PERSONNEL-D TINER"</f>
        <v>FY_20 EXP CT PERSONNEL-D TINER</v>
      </c>
    </row>
    <row r="1534" spans="1:8" x14ac:dyDescent="0.25">
      <c r="E1534" t="str">
        <f>"FY_20 CT PERS SEMINAR-D. GUTHR"</f>
        <v>FY_20 CT PERS SEMINAR-D. GUTHR</v>
      </c>
      <c r="F1534" s="2">
        <v>260</v>
      </c>
      <c r="G1534" t="str">
        <f>"FY_20 CT PERS SEMINAR-D. GUTHR"</f>
        <v>FY_20 CT PERS SEMINAR-D. GUTHR</v>
      </c>
    </row>
    <row r="1535" spans="1:8" x14ac:dyDescent="0.25">
      <c r="E1535" t="str">
        <f>"FY_20 JP SEMINAR-K. HANNA"</f>
        <v>FY_20 JP SEMINAR-K. HANNA</v>
      </c>
      <c r="F1535" s="2">
        <v>315</v>
      </c>
      <c r="G1535" t="str">
        <f>"FY_20 JP SEMINAR-K. HANNA"</f>
        <v>FY_20 JP SEMINAR-K. HANNA</v>
      </c>
    </row>
    <row r="1536" spans="1:8" x14ac:dyDescent="0.25">
      <c r="E1536" t="str">
        <f>"FY-20 JP SEMINAR-RAYMAH DAVIS"</f>
        <v>FY-20 JP SEMINAR-RAYMAH DAVIS</v>
      </c>
      <c r="F1536" s="2">
        <v>315</v>
      </c>
      <c r="G1536" t="str">
        <f>"FY-20 JP SEMINAR-RAYMAH DAVIS"</f>
        <v>FY-20 JP SEMINAR-RAYMAH DAVIS</v>
      </c>
    </row>
    <row r="1537" spans="1:7" x14ac:dyDescent="0.25">
      <c r="E1537" t="str">
        <f>"FY_20 JP SEMINAR-CEDELIA ALLEN"</f>
        <v>FY_20 JP SEMINAR-CEDELIA ALLEN</v>
      </c>
      <c r="F1537" s="2">
        <v>315</v>
      </c>
      <c r="G1537" t="str">
        <f>"FY_20 JP SEMINAR-CEDELIA ALLEN"</f>
        <v>FY_20 JP SEMINAR-CEDELIA ALLEN</v>
      </c>
    </row>
    <row r="1538" spans="1:7" x14ac:dyDescent="0.25">
      <c r="A1538" t="s">
        <v>502</v>
      </c>
      <c r="B1538">
        <v>84621</v>
      </c>
      <c r="C1538" s="2">
        <v>210</v>
      </c>
      <c r="D1538" s="1">
        <v>43766</v>
      </c>
      <c r="E1538" t="str">
        <f>"FY_20 CIVIL TRIAL WORKSHOP"</f>
        <v>FY_20 CIVIL TRIAL WORKSHOP</v>
      </c>
      <c r="F1538" s="2">
        <v>210</v>
      </c>
      <c r="G1538" t="str">
        <f>"FY_20 CIVIL TRIAL WORKSHOP"</f>
        <v>FY_20 CIVIL TRIAL WORKSHOP</v>
      </c>
    </row>
    <row r="1539" spans="1:7" x14ac:dyDescent="0.25">
      <c r="A1539" t="s">
        <v>503</v>
      </c>
      <c r="B1539">
        <v>84364</v>
      </c>
      <c r="C1539" s="2">
        <v>16232.15</v>
      </c>
      <c r="D1539" s="1">
        <v>43753</v>
      </c>
      <c r="E1539" t="str">
        <f>"CUST#255120/PCT#2"</f>
        <v>CUST#255120/PCT#2</v>
      </c>
      <c r="F1539" s="2">
        <v>8142.2</v>
      </c>
      <c r="G1539" t="str">
        <f>"CUST#255120/PCT#2"</f>
        <v>CUST#255120/PCT#2</v>
      </c>
    </row>
    <row r="1540" spans="1:7" x14ac:dyDescent="0.25">
      <c r="E1540" t="str">
        <f>"CUST#255120/COLD MIX/PCT#2"</f>
        <v>CUST#255120/COLD MIX/PCT#2</v>
      </c>
      <c r="F1540" s="2">
        <v>8089.95</v>
      </c>
      <c r="G1540" t="str">
        <f>"CUST#255120/COLD MIX/PCT#2"</f>
        <v>CUST#255120/COLD MIX/PCT#2</v>
      </c>
    </row>
    <row r="1541" spans="1:7" x14ac:dyDescent="0.25">
      <c r="A1541" t="s">
        <v>503</v>
      </c>
      <c r="B1541">
        <v>84622</v>
      </c>
      <c r="C1541" s="2">
        <v>17704.5</v>
      </c>
      <c r="D1541" s="1">
        <v>43766</v>
      </c>
      <c r="E1541" t="str">
        <f>"CUST#255120/PCT#2"</f>
        <v>CUST#255120/PCT#2</v>
      </c>
      <c r="F1541" s="2">
        <v>12309.55</v>
      </c>
      <c r="G1541" t="str">
        <f>"CUST#255120/PCT#2"</f>
        <v>CUST#255120/PCT#2</v>
      </c>
    </row>
    <row r="1542" spans="1:7" x14ac:dyDescent="0.25">
      <c r="E1542" t="str">
        <f>"CUST#255120/PCT#2"</f>
        <v>CUST#255120/PCT#2</v>
      </c>
      <c r="F1542" s="2">
        <v>5394.95</v>
      </c>
      <c r="G1542" t="str">
        <f>"CUST#255120/PCT#2"</f>
        <v>CUST#255120/PCT#2</v>
      </c>
    </row>
    <row r="1543" spans="1:7" x14ac:dyDescent="0.25">
      <c r="A1543" t="s">
        <v>504</v>
      </c>
      <c r="B1543">
        <v>84365</v>
      </c>
      <c r="C1543" s="2">
        <v>510.34</v>
      </c>
      <c r="D1543" s="1">
        <v>43753</v>
      </c>
      <c r="E1543" t="str">
        <f>"A8193646 - M.S. RUIZ"</f>
        <v>A8193646 - M.S. RUIZ</v>
      </c>
      <c r="F1543" s="2">
        <v>157.59</v>
      </c>
      <c r="G1543" t="str">
        <f>"A8193646 - M.S. RUIZ"</f>
        <v>A8193646 - M.S. RUIZ</v>
      </c>
    </row>
    <row r="1544" spans="1:7" x14ac:dyDescent="0.25">
      <c r="E1544" t="str">
        <f>"A8044779 - C. MCCALLUM"</f>
        <v>A8044779 - C. MCCALLUM</v>
      </c>
      <c r="F1544" s="2">
        <v>114.75</v>
      </c>
      <c r="G1544" t="str">
        <f>"A8044779 - C. MCCALLUM"</f>
        <v>A8044779 - C. MCCALLUM</v>
      </c>
    </row>
    <row r="1545" spans="1:7" x14ac:dyDescent="0.25">
      <c r="E1545" t="str">
        <f>"A8245322 - S. CHANABOON"</f>
        <v>A8245322 - S. CHANABOON</v>
      </c>
      <c r="F1545" s="2">
        <v>157.25</v>
      </c>
      <c r="G1545" t="str">
        <f>"A8245322 - S. CHANABOON"</f>
        <v>A8245322 - S. CHANABOON</v>
      </c>
    </row>
    <row r="1546" spans="1:7" x14ac:dyDescent="0.25">
      <c r="E1546" t="str">
        <f>"A8286487 - C.A. MCADAM"</f>
        <v>A8286487 - C.A. MCADAM</v>
      </c>
      <c r="F1546" s="2">
        <v>80.75</v>
      </c>
      <c r="G1546" t="str">
        <f>"A8286487 - C.A. MCADAM"</f>
        <v>A8286487 - C.A. MCADAM</v>
      </c>
    </row>
    <row r="1547" spans="1:7" x14ac:dyDescent="0.25">
      <c r="A1547" t="s">
        <v>505</v>
      </c>
      <c r="B1547">
        <v>1654</v>
      </c>
      <c r="C1547" s="2">
        <v>398.58</v>
      </c>
      <c r="D1547" s="1">
        <v>43767</v>
      </c>
      <c r="E1547" t="str">
        <f>"INDIGENT HEALTH"</f>
        <v>INDIGENT HEALTH</v>
      </c>
      <c r="F1547" s="2">
        <v>398.58</v>
      </c>
      <c r="G1547" t="str">
        <f>"INDIGENT HEALTH"</f>
        <v>INDIGENT HEALTH</v>
      </c>
    </row>
    <row r="1548" spans="1:7" x14ac:dyDescent="0.25">
      <c r="A1548" t="s">
        <v>506</v>
      </c>
      <c r="B1548">
        <v>84623</v>
      </c>
      <c r="C1548" s="2">
        <v>113.5</v>
      </c>
      <c r="D1548" s="1">
        <v>43766</v>
      </c>
      <c r="E1548" t="str">
        <f>"CUST ID:BASTR5/PCT#4"</f>
        <v>CUST ID:BASTR5/PCT#4</v>
      </c>
      <c r="F1548" s="2">
        <v>113.5</v>
      </c>
      <c r="G1548" t="str">
        <f>"CUST ID:BASTR5/PCT#4"</f>
        <v>CUST ID:BASTR5/PCT#4</v>
      </c>
    </row>
    <row r="1549" spans="1:7" x14ac:dyDescent="0.25">
      <c r="A1549" t="s">
        <v>507</v>
      </c>
      <c r="B1549">
        <v>84366</v>
      </c>
      <c r="C1549" s="2">
        <v>1392</v>
      </c>
      <c r="D1549" s="1">
        <v>43753</v>
      </c>
      <c r="E1549" t="str">
        <f>"ACCT#188757/MIKE FISHER BLDG"</f>
        <v>ACCT#188757/MIKE FISHER BLDG</v>
      </c>
      <c r="F1549" s="2">
        <v>112</v>
      </c>
      <c r="G1549" t="str">
        <f>"ACCT#188757/MIKE FISHER BLDG"</f>
        <v>ACCT#188757/MIKE FISHER BLDG</v>
      </c>
    </row>
    <row r="1550" spans="1:7" x14ac:dyDescent="0.25">
      <c r="E1550" t="str">
        <f>"ACCT#188757/RD&amp;BRIDGE/SIGN SHP"</f>
        <v>ACCT#188757/RD&amp;BRIDGE/SIGN SHP</v>
      </c>
      <c r="F1550" s="2">
        <v>95</v>
      </c>
      <c r="G1550" t="str">
        <f>"ACCT#188757/RD&amp;BRIDGE/SIGN SHP"</f>
        <v>ACCT#188757/RD&amp;BRIDGE/SIGN SHP</v>
      </c>
    </row>
    <row r="1551" spans="1:7" x14ac:dyDescent="0.25">
      <c r="E1551" t="str">
        <f>"ACCT#188757/JUVENILE BOOT CAMP"</f>
        <v>ACCT#188757/JUVENILE BOOT CAMP</v>
      </c>
      <c r="F1551" s="2">
        <v>118.5</v>
      </c>
      <c r="G1551" t="str">
        <f>"ACCT#188757/JUVENILE BOOT CAMP"</f>
        <v>ACCT#188757/JUVENILE BOOT CAMP</v>
      </c>
    </row>
    <row r="1552" spans="1:7" x14ac:dyDescent="0.25">
      <c r="E1552" t="str">
        <f>"ACCT#188757/JUVENILE PROBATION"</f>
        <v>ACCT#188757/JUVENILE PROBATION</v>
      </c>
      <c r="F1552" s="2">
        <v>132</v>
      </c>
      <c r="G1552" t="str">
        <f>"ACCT#188757/JUVENILE PROBATION"</f>
        <v>ACCT#188757/JUVENILE PROBATION</v>
      </c>
    </row>
    <row r="1553" spans="1:7" x14ac:dyDescent="0.25">
      <c r="E1553" t="str">
        <f>"ACCT#188757/HISTORIC JAIL"</f>
        <v>ACCT#188757/HISTORIC JAIL</v>
      </c>
      <c r="F1553" s="2">
        <v>76</v>
      </c>
      <c r="G1553" t="str">
        <f>"ACCT#188757/HISTORIC JAIL"</f>
        <v>ACCT#188757/HISTORIC JAIL</v>
      </c>
    </row>
    <row r="1554" spans="1:7" x14ac:dyDescent="0.25">
      <c r="E1554" t="str">
        <f>"ACCT#188757/EXT HABITAT OFFICE"</f>
        <v>ACCT#188757/EXT HABITAT OFFICE</v>
      </c>
      <c r="F1554" s="2">
        <v>89</v>
      </c>
      <c r="G1554" t="str">
        <f>"ACCT#188757/EXT HABITAT OFFICE"</f>
        <v>ACCT#188757/EXT HABITAT OFFICE</v>
      </c>
    </row>
    <row r="1555" spans="1:7" x14ac:dyDescent="0.25">
      <c r="E1555" t="str">
        <f>"ACCT#125170/CT HSE (MAIN &amp; AN)"</f>
        <v>ACCT#125170/CT HSE (MAIN &amp; AN)</v>
      </c>
      <c r="F1555" s="2">
        <v>137</v>
      </c>
      <c r="G1555" t="str">
        <f>"ACCT#125170/CT HSE (MAIN &amp; AN)"</f>
        <v>ACCT#125170/CT HSE (MAIN &amp; AN)</v>
      </c>
    </row>
    <row r="1556" spans="1:7" x14ac:dyDescent="0.25">
      <c r="E1556" t="str">
        <f>"ACCT#188757/LBJ BLDG/HLTH DEPT"</f>
        <v>ACCT#188757/LBJ BLDG/HLTH DEPT</v>
      </c>
      <c r="F1556" s="2">
        <v>69</v>
      </c>
      <c r="G1556" t="str">
        <f>"ACCT#188757/LBJ BLDG/HLTH DEPT"</f>
        <v>ACCT#188757/LBJ BLDG/HLTH DEPT</v>
      </c>
    </row>
    <row r="1557" spans="1:7" x14ac:dyDescent="0.25">
      <c r="E1557" t="str">
        <f>"ACCT#188757/PCT4 RD &amp; BRIDGE"</f>
        <v>ACCT#188757/PCT4 RD &amp; BRIDGE</v>
      </c>
      <c r="F1557" s="2">
        <v>95.5</v>
      </c>
      <c r="G1557" t="str">
        <f>"ACCT#188757/PCT4 RD &amp; BRIDGE"</f>
        <v>ACCT#188757/PCT4 RD &amp; BRIDGE</v>
      </c>
    </row>
    <row r="1558" spans="1:7" x14ac:dyDescent="0.25">
      <c r="E1558" t="str">
        <f>"ACCT#188757/TAX OFFICE"</f>
        <v>ACCT#188757/TAX OFFICE</v>
      </c>
      <c r="F1558" s="2">
        <v>102</v>
      </c>
      <c r="G1558" t="str">
        <f>"ACCT#188757/TAX OFFICE"</f>
        <v>ACCT#188757/TAX OFFICE</v>
      </c>
    </row>
    <row r="1559" spans="1:7" x14ac:dyDescent="0.25">
      <c r="E1559" t="str">
        <f>"ACCT#188757/ANIMAL SHELTER"</f>
        <v>ACCT#188757/ANIMAL SHELTER</v>
      </c>
      <c r="F1559" s="2">
        <v>290</v>
      </c>
      <c r="G1559" t="str">
        <f>"ACCT#188757/ANIMAL SHELTER"</f>
        <v>ACCT#188757/ANIMAL SHELTER</v>
      </c>
    </row>
    <row r="1560" spans="1:7" x14ac:dyDescent="0.25">
      <c r="E1560" t="str">
        <f>"ACCT#188757/DPS/TDL"</f>
        <v>ACCT#188757/DPS/TDL</v>
      </c>
      <c r="F1560" s="2">
        <v>76</v>
      </c>
      <c r="G1560" t="str">
        <f>"ACCT#188757/DPS/TDL"</f>
        <v>ACCT#188757/DPS/TDL</v>
      </c>
    </row>
    <row r="1561" spans="1:7" x14ac:dyDescent="0.25">
      <c r="A1561" t="s">
        <v>507</v>
      </c>
      <c r="B1561">
        <v>84624</v>
      </c>
      <c r="C1561" s="2">
        <v>515.5</v>
      </c>
      <c r="D1561" s="1">
        <v>43766</v>
      </c>
      <c r="E1561" t="str">
        <f>"ACCT#188757/JUVENILE BOOTCAMP"</f>
        <v>ACCT#188757/JUVENILE BOOTCAMP</v>
      </c>
      <c r="F1561" s="2">
        <v>118.5</v>
      </c>
      <c r="G1561" t="str">
        <f>"ACCT#188757/JUVENILE BOOTCAMP"</f>
        <v>ACCT#188757/JUVENILE BOOTCAMP</v>
      </c>
    </row>
    <row r="1562" spans="1:7" x14ac:dyDescent="0.25">
      <c r="E1562" t="str">
        <f>"ACCT#128852/RD&amp;BRIDGE/SIGN SHO"</f>
        <v>ACCT#128852/RD&amp;BRIDGE/SIGN SHO</v>
      </c>
      <c r="F1562" s="2">
        <v>95</v>
      </c>
      <c r="G1562" t="str">
        <f>"ACCT#128852/RD&amp;BRIDGE/SIGN SHO"</f>
        <v>ACCT#128852/RD&amp;BRIDGE/SIGN SHO</v>
      </c>
    </row>
    <row r="1563" spans="1:7" x14ac:dyDescent="0.25">
      <c r="E1563" t="str">
        <f>"ACCT#188757/JP4/TAX OFFICE"</f>
        <v>ACCT#188757/JP4/TAX OFFICE</v>
      </c>
      <c r="F1563" s="2">
        <v>95</v>
      </c>
      <c r="G1563" t="str">
        <f>"ACCT#188757/JP4/TAX OFFICE"</f>
        <v>ACCT#188757/JP4/TAX OFFICE</v>
      </c>
    </row>
    <row r="1564" spans="1:7" x14ac:dyDescent="0.25">
      <c r="E1564" t="str">
        <f>"ACCT#188757/JP 3 TAX OFFICE"</f>
        <v>ACCT#188757/JP 3 TAX OFFICE</v>
      </c>
      <c r="F1564" s="2">
        <v>95</v>
      </c>
      <c r="G1564" t="str">
        <f>"ACCT#188757/JP 3 TAX OFFICE"</f>
        <v>ACCT#188757/JP 3 TAX OFFICE</v>
      </c>
    </row>
    <row r="1565" spans="1:7" x14ac:dyDescent="0.25">
      <c r="E1565" t="str">
        <f>"ACCT#188757/MIKE FISHER BLDG"</f>
        <v>ACCT#188757/MIKE FISHER BLDG</v>
      </c>
      <c r="F1565" s="2">
        <v>112</v>
      </c>
      <c r="G1565" t="str">
        <f>"ACCT#188757/MIKE FISHER BLDG"</f>
        <v>ACCT#188757/MIKE FISHER BLDG</v>
      </c>
    </row>
    <row r="1566" spans="1:7" x14ac:dyDescent="0.25">
      <c r="A1566" t="s">
        <v>508</v>
      </c>
      <c r="B1566">
        <v>1557</v>
      </c>
      <c r="C1566" s="2">
        <v>250</v>
      </c>
      <c r="D1566" s="1">
        <v>43754</v>
      </c>
      <c r="E1566" t="str">
        <f>"CH-20170707-A"</f>
        <v>CH-20170707-A</v>
      </c>
      <c r="F1566" s="2">
        <v>250</v>
      </c>
      <c r="G1566" t="str">
        <f>"CH-20170707-A"</f>
        <v>CH-20170707-A</v>
      </c>
    </row>
    <row r="1567" spans="1:7" x14ac:dyDescent="0.25">
      <c r="A1567" t="s">
        <v>509</v>
      </c>
      <c r="B1567">
        <v>1542</v>
      </c>
      <c r="C1567" s="2">
        <v>475</v>
      </c>
      <c r="D1567" s="1">
        <v>43754</v>
      </c>
      <c r="E1567" t="str">
        <f>"17-18617"</f>
        <v>17-18617</v>
      </c>
      <c r="F1567" s="2">
        <v>225</v>
      </c>
      <c r="G1567" t="str">
        <f>"17-18617"</f>
        <v>17-18617</v>
      </c>
    </row>
    <row r="1568" spans="1:7" x14ac:dyDescent="0.25">
      <c r="E1568" t="str">
        <f>"55 552"</f>
        <v>55 552</v>
      </c>
      <c r="F1568" s="2">
        <v>250</v>
      </c>
      <c r="G1568" t="str">
        <f>"55 552"</f>
        <v>55 552</v>
      </c>
    </row>
    <row r="1569" spans="1:7" x14ac:dyDescent="0.25">
      <c r="A1569" t="s">
        <v>509</v>
      </c>
      <c r="B1569">
        <v>1634</v>
      </c>
      <c r="C1569" s="2">
        <v>4475</v>
      </c>
      <c r="D1569" s="1">
        <v>43767</v>
      </c>
      <c r="E1569" t="str">
        <f>"16944  SO 17-3375"</f>
        <v>16944  SO 17-3375</v>
      </c>
      <c r="F1569" s="2">
        <v>750</v>
      </c>
      <c r="G1569" t="str">
        <f>"16944  SO 17-3375"</f>
        <v>16944  SO 17-3375</v>
      </c>
    </row>
    <row r="1570" spans="1:7" x14ac:dyDescent="0.25">
      <c r="E1570" t="str">
        <f>"1307-21"</f>
        <v>1307-21</v>
      </c>
      <c r="F1570" s="2">
        <v>200</v>
      </c>
      <c r="G1570" t="str">
        <f>"1307-21"</f>
        <v>1307-21</v>
      </c>
    </row>
    <row r="1571" spans="1:7" x14ac:dyDescent="0.25">
      <c r="E1571" t="str">
        <f>"JP106082019"</f>
        <v>JP106082019</v>
      </c>
      <c r="F1571" s="2">
        <v>100</v>
      </c>
      <c r="G1571" t="str">
        <f>"JP106082019"</f>
        <v>JP106082019</v>
      </c>
    </row>
    <row r="1572" spans="1:7" x14ac:dyDescent="0.25">
      <c r="E1572" t="str">
        <f>"19-19591"</f>
        <v>19-19591</v>
      </c>
      <c r="F1572" s="2">
        <v>175</v>
      </c>
      <c r="G1572" t="str">
        <f>"19-19591"</f>
        <v>19-19591</v>
      </c>
    </row>
    <row r="1573" spans="1:7" x14ac:dyDescent="0.25">
      <c r="E1573" t="str">
        <f>"18-19410"</f>
        <v>18-19410</v>
      </c>
      <c r="F1573" s="2">
        <v>250</v>
      </c>
      <c r="G1573" t="str">
        <f>"18-19410"</f>
        <v>18-19410</v>
      </c>
    </row>
    <row r="1574" spans="1:7" x14ac:dyDescent="0.25">
      <c r="E1574" t="str">
        <f>"19-19914"</f>
        <v>19-19914</v>
      </c>
      <c r="F1574" s="2">
        <v>100</v>
      </c>
      <c r="G1574" t="str">
        <f>"19-19914"</f>
        <v>19-19914</v>
      </c>
    </row>
    <row r="1575" spans="1:7" x14ac:dyDescent="0.25">
      <c r="E1575" t="str">
        <f>"16 557 16 467"</f>
        <v>16 557 16 467</v>
      </c>
      <c r="F1575" s="2">
        <v>1200</v>
      </c>
      <c r="G1575" t="str">
        <f>"16 557 16 467"</f>
        <v>16 557 16 467</v>
      </c>
    </row>
    <row r="1576" spans="1:7" x14ac:dyDescent="0.25">
      <c r="E1576" t="str">
        <f>"56 839"</f>
        <v>56 839</v>
      </c>
      <c r="F1576" s="2">
        <v>250</v>
      </c>
      <c r="G1576" t="str">
        <f>"56 839"</f>
        <v>56 839</v>
      </c>
    </row>
    <row r="1577" spans="1:7" x14ac:dyDescent="0.25">
      <c r="E1577" t="str">
        <f>"10042019P"</f>
        <v>10042019P</v>
      </c>
      <c r="F1577" s="2">
        <v>250</v>
      </c>
      <c r="G1577" t="str">
        <f>"10042019P"</f>
        <v>10042019P</v>
      </c>
    </row>
    <row r="1578" spans="1:7" x14ac:dyDescent="0.25">
      <c r="E1578" t="str">
        <f>"02-0720218"</f>
        <v>02-0720218</v>
      </c>
      <c r="F1578" s="2">
        <v>250</v>
      </c>
      <c r="G1578" t="str">
        <f>"02-0720218"</f>
        <v>02-0720218</v>
      </c>
    </row>
    <row r="1579" spans="1:7" x14ac:dyDescent="0.25">
      <c r="E1579" t="str">
        <f>"020612.1"</f>
        <v>020612.1</v>
      </c>
      <c r="F1579" s="2">
        <v>250</v>
      </c>
      <c r="G1579" t="str">
        <f>"020612.1"</f>
        <v>020612.1</v>
      </c>
    </row>
    <row r="1580" spans="1:7" x14ac:dyDescent="0.25">
      <c r="E1580" t="str">
        <f>"18-19365"</f>
        <v>18-19365</v>
      </c>
      <c r="F1580" s="2">
        <v>175</v>
      </c>
      <c r="G1580" t="str">
        <f>"18-19365"</f>
        <v>18-19365</v>
      </c>
    </row>
    <row r="1581" spans="1:7" x14ac:dyDescent="0.25">
      <c r="E1581" t="str">
        <f>"19-19811"</f>
        <v>19-19811</v>
      </c>
      <c r="F1581" s="2">
        <v>175</v>
      </c>
      <c r="G1581" t="str">
        <f>"19-19811"</f>
        <v>19-19811</v>
      </c>
    </row>
    <row r="1582" spans="1:7" x14ac:dyDescent="0.25">
      <c r="E1582" t="str">
        <f>"18-18974"</f>
        <v>18-18974</v>
      </c>
      <c r="F1582" s="2">
        <v>175</v>
      </c>
      <c r="G1582" t="str">
        <f>"18-18974"</f>
        <v>18-18974</v>
      </c>
    </row>
    <row r="1583" spans="1:7" x14ac:dyDescent="0.25">
      <c r="E1583" t="str">
        <f>"19-19863"</f>
        <v>19-19863</v>
      </c>
      <c r="F1583" s="2">
        <v>175</v>
      </c>
      <c r="G1583" t="str">
        <f>"19-19863"</f>
        <v>19-19863</v>
      </c>
    </row>
    <row r="1584" spans="1:7" x14ac:dyDescent="0.25">
      <c r="A1584" t="s">
        <v>510</v>
      </c>
      <c r="B1584">
        <v>1685</v>
      </c>
      <c r="C1584" s="2">
        <v>1522</v>
      </c>
      <c r="D1584" s="1">
        <v>43767</v>
      </c>
      <c r="E1584" t="str">
        <f>"ACCT#BASTRCOU/AUTO AUDIT"</f>
        <v>ACCT#BASTRCOU/AUTO AUDIT</v>
      </c>
      <c r="F1584" s="2">
        <v>1522</v>
      </c>
      <c r="G1584" t="str">
        <f>"ACCT#BASTRCOU/AUTO AUDIT"</f>
        <v>ACCT#BASTRCOU/AUTO AUDIT</v>
      </c>
    </row>
    <row r="1585" spans="1:7" x14ac:dyDescent="0.25">
      <c r="A1585" t="s">
        <v>511</v>
      </c>
      <c r="B1585">
        <v>84625</v>
      </c>
      <c r="C1585" s="2">
        <v>366.24</v>
      </c>
      <c r="D1585" s="1">
        <v>43766</v>
      </c>
      <c r="E1585" t="str">
        <f>"INV 41985300164"</f>
        <v>INV 41985300164</v>
      </c>
      <c r="F1585" s="2">
        <v>366.24</v>
      </c>
      <c r="G1585" t="str">
        <f>"INV 41985300164"</f>
        <v>INV 41985300164</v>
      </c>
    </row>
    <row r="1586" spans="1:7" x14ac:dyDescent="0.25">
      <c r="A1586" t="s">
        <v>512</v>
      </c>
      <c r="B1586">
        <v>84367</v>
      </c>
      <c r="C1586" s="2">
        <v>1464.5</v>
      </c>
      <c r="D1586" s="1">
        <v>43753</v>
      </c>
      <c r="E1586" t="str">
        <f>"ACCT#1005022937/WEST INFO CHRG"</f>
        <v>ACCT#1005022937/WEST INFO CHRG</v>
      </c>
      <c r="F1586" s="2">
        <v>572</v>
      </c>
      <c r="G1586" t="str">
        <f>"ACCT#1005022937/WEST INFO CHRG"</f>
        <v>ACCT#1005022937/WEST INFO CHRG</v>
      </c>
    </row>
    <row r="1587" spans="1:7" x14ac:dyDescent="0.25">
      <c r="E1587" t="str">
        <f>"ACCT#1005022937/WEST INFO CHRG"</f>
        <v>ACCT#1005022937/WEST INFO CHRG</v>
      </c>
      <c r="F1587" s="2">
        <v>892.5</v>
      </c>
      <c r="G1587" t="str">
        <f>"ACCT#1005022937/WEST INFO CHRG"</f>
        <v>ACCT#1005022937/WEST INFO CHRG</v>
      </c>
    </row>
    <row r="1588" spans="1:7" x14ac:dyDescent="0.25">
      <c r="A1588" t="s">
        <v>512</v>
      </c>
      <c r="B1588">
        <v>84626</v>
      </c>
      <c r="C1588" s="2">
        <v>375</v>
      </c>
      <c r="D1588" s="1">
        <v>43766</v>
      </c>
      <c r="E1588" t="str">
        <f>"ACCT#1003035377/DIST ATTNY"</f>
        <v>ACCT#1003035377/DIST ATTNY</v>
      </c>
      <c r="F1588" s="2">
        <v>375</v>
      </c>
      <c r="G1588" t="str">
        <f>"ACCT#1003035377/DIST ATTNY"</f>
        <v>ACCT#1003035377/DIST ATTNY</v>
      </c>
    </row>
    <row r="1589" spans="1:7" x14ac:dyDescent="0.25">
      <c r="A1589" t="s">
        <v>513</v>
      </c>
      <c r="B1589">
        <v>84368</v>
      </c>
      <c r="C1589" s="2">
        <v>375</v>
      </c>
      <c r="D1589" s="1">
        <v>43753</v>
      </c>
      <c r="E1589" t="str">
        <f>"423-6363"</f>
        <v>423-6363</v>
      </c>
      <c r="F1589" s="2">
        <v>375</v>
      </c>
      <c r="G1589" t="str">
        <f>"423-6363"</f>
        <v>423-6363</v>
      </c>
    </row>
    <row r="1590" spans="1:7" x14ac:dyDescent="0.25">
      <c r="A1590" t="s">
        <v>514</v>
      </c>
      <c r="B1590">
        <v>84369</v>
      </c>
      <c r="C1590" s="2">
        <v>11330.96</v>
      </c>
      <c r="D1590" s="1">
        <v>43753</v>
      </c>
      <c r="E1590" t="str">
        <f>"ACCT#8260163000003669"</f>
        <v>ACCT#8260163000003669</v>
      </c>
      <c r="F1590" s="2">
        <v>11330.96</v>
      </c>
      <c r="G1590" t="str">
        <f>"ACCT#8260163000003669"</f>
        <v>ACCT#8260163000003669</v>
      </c>
    </row>
    <row r="1591" spans="1:7" x14ac:dyDescent="0.25">
      <c r="E1591" t="str">
        <f>""</f>
        <v/>
      </c>
      <c r="G1591" t="str">
        <f>"ACCT#8260163000003669"</f>
        <v>ACCT#8260163000003669</v>
      </c>
    </row>
    <row r="1592" spans="1:7" x14ac:dyDescent="0.25">
      <c r="A1592" t="s">
        <v>515</v>
      </c>
      <c r="B1592">
        <v>84370</v>
      </c>
      <c r="C1592" s="2">
        <v>881.49</v>
      </c>
      <c r="D1592" s="1">
        <v>43753</v>
      </c>
      <c r="E1592" t="str">
        <f>"acct# 6035301200160982"</f>
        <v>acct# 6035301200160982</v>
      </c>
      <c r="F1592" s="2">
        <v>881.49</v>
      </c>
      <c r="G1592" t="str">
        <f>"Inv# 200593664"</f>
        <v>Inv# 200593664</v>
      </c>
    </row>
    <row r="1593" spans="1:7" x14ac:dyDescent="0.25">
      <c r="E1593" t="str">
        <f>""</f>
        <v/>
      </c>
      <c r="G1593" t="str">
        <f>"Inv# 300572308"</f>
        <v>Inv# 300572308</v>
      </c>
    </row>
    <row r="1594" spans="1:7" x14ac:dyDescent="0.25">
      <c r="E1594" t="str">
        <f>""</f>
        <v/>
      </c>
      <c r="G1594" t="str">
        <f>"Inv# 200594159"</f>
        <v>Inv# 200594159</v>
      </c>
    </row>
    <row r="1595" spans="1:7" x14ac:dyDescent="0.25">
      <c r="E1595" t="str">
        <f>""</f>
        <v/>
      </c>
      <c r="G1595" t="str">
        <f>"Inv# 300567824"</f>
        <v>Inv# 300567824</v>
      </c>
    </row>
    <row r="1596" spans="1:7" x14ac:dyDescent="0.25">
      <c r="E1596" t="str">
        <f>""</f>
        <v/>
      </c>
      <c r="G1596" t="str">
        <f>"Inv# 100127771"</f>
        <v>Inv# 100127771</v>
      </c>
    </row>
    <row r="1597" spans="1:7" x14ac:dyDescent="0.25">
      <c r="E1597" t="str">
        <f>""</f>
        <v/>
      </c>
      <c r="G1597" t="str">
        <f>"Inv# 100130790"</f>
        <v>Inv# 100130790</v>
      </c>
    </row>
    <row r="1598" spans="1:7" x14ac:dyDescent="0.25">
      <c r="E1598" t="str">
        <f>""</f>
        <v/>
      </c>
      <c r="G1598" t="str">
        <f>"Inv# 100132389"</f>
        <v>Inv# 100132389</v>
      </c>
    </row>
    <row r="1599" spans="1:7" x14ac:dyDescent="0.25">
      <c r="E1599" t="str">
        <f>""</f>
        <v/>
      </c>
      <c r="G1599" t="str">
        <f>"Inv# 100132564"</f>
        <v>Inv# 100132564</v>
      </c>
    </row>
    <row r="1600" spans="1:7" x14ac:dyDescent="0.25">
      <c r="E1600" t="str">
        <f>""</f>
        <v/>
      </c>
      <c r="G1600" t="str">
        <f>"Inv# 100132707"</f>
        <v>Inv# 100132707</v>
      </c>
    </row>
    <row r="1601" spans="1:8" x14ac:dyDescent="0.25">
      <c r="E1601" t="str">
        <f>""</f>
        <v/>
      </c>
      <c r="G1601" t="str">
        <f>"Inv# 100133803"</f>
        <v>Inv# 100133803</v>
      </c>
    </row>
    <row r="1602" spans="1:8" x14ac:dyDescent="0.25">
      <c r="A1602" t="s">
        <v>516</v>
      </c>
      <c r="B1602">
        <v>84371</v>
      </c>
      <c r="C1602" s="2">
        <v>1025</v>
      </c>
      <c r="D1602" s="1">
        <v>43753</v>
      </c>
      <c r="E1602" t="s">
        <v>59</v>
      </c>
      <c r="F1602" s="2" t="str">
        <f>"SERVICE"</f>
        <v>SERVICE</v>
      </c>
      <c r="G1602" t="str">
        <f>"995-4110"</f>
        <v>995-4110</v>
      </c>
      <c r="H1602" t="str">
        <f>""</f>
        <v/>
      </c>
    </row>
    <row r="1603" spans="1:8" x14ac:dyDescent="0.25">
      <c r="E1603" t="str">
        <f>"SERVICE"</f>
        <v>SERVICE</v>
      </c>
      <c r="F1603" s="2">
        <v>75</v>
      </c>
      <c r="G1603" t="str">
        <f>"SERVICE"</f>
        <v>SERVICE</v>
      </c>
    </row>
    <row r="1604" spans="1:8" x14ac:dyDescent="0.25">
      <c r="E1604" t="str">
        <f>"SERVICE"</f>
        <v>SERVICE</v>
      </c>
      <c r="F1604" s="2">
        <v>150</v>
      </c>
      <c r="G1604" t="str">
        <f>"SERVICE"</f>
        <v>SERVICE</v>
      </c>
    </row>
    <row r="1605" spans="1:8" x14ac:dyDescent="0.25">
      <c r="E1605" t="str">
        <f>"SERVICE"</f>
        <v>SERVICE</v>
      </c>
      <c r="F1605" s="2">
        <v>300</v>
      </c>
      <c r="G1605" t="str">
        <f>"SERVICE"</f>
        <v>SERVICE</v>
      </c>
    </row>
    <row r="1606" spans="1:8" x14ac:dyDescent="0.25">
      <c r="A1606" t="s">
        <v>516</v>
      </c>
      <c r="B1606">
        <v>84627</v>
      </c>
      <c r="C1606" s="2">
        <v>122</v>
      </c>
      <c r="D1606" s="1">
        <v>43766</v>
      </c>
      <c r="E1606" t="str">
        <f>"SERVICE"</f>
        <v>SERVICE</v>
      </c>
      <c r="F1606" s="2">
        <v>57</v>
      </c>
      <c r="G1606" t="str">
        <f>"SERVICE"</f>
        <v>SERVICE</v>
      </c>
    </row>
    <row r="1607" spans="1:8" x14ac:dyDescent="0.25">
      <c r="E1607" t="str">
        <f>"SERVICE"</f>
        <v>SERVICE</v>
      </c>
      <c r="F1607" s="2">
        <v>65</v>
      </c>
      <c r="G1607" t="str">
        <f>"SERVICE"</f>
        <v>SERVICE</v>
      </c>
    </row>
    <row r="1608" spans="1:8" x14ac:dyDescent="0.25">
      <c r="A1608" t="s">
        <v>517</v>
      </c>
      <c r="B1608">
        <v>84372</v>
      </c>
      <c r="C1608" s="2">
        <v>29000</v>
      </c>
      <c r="D1608" s="1">
        <v>43753</v>
      </c>
      <c r="E1608" t="str">
        <f>"CUST#100011/INV#3300002701"</f>
        <v>CUST#100011/INV#3300002701</v>
      </c>
      <c r="F1608" s="2">
        <v>5800</v>
      </c>
      <c r="G1608" t="str">
        <f>"CUST#100011/INV#3300002701"</f>
        <v>CUST#100011/INV#3300002701</v>
      </c>
    </row>
    <row r="1609" spans="1:8" x14ac:dyDescent="0.25">
      <c r="E1609" t="str">
        <f>"CUST#100733/INV#3300002737"</f>
        <v>CUST#100733/INV#3300002737</v>
      </c>
      <c r="F1609" s="2">
        <v>8700</v>
      </c>
      <c r="G1609" t="str">
        <f>"CUST#100733/INV#3300002737"</f>
        <v>CUST#100733/INV#3300002737</v>
      </c>
    </row>
    <row r="1610" spans="1:8" x14ac:dyDescent="0.25">
      <c r="E1610" t="str">
        <f>"CUST#100009/INV#3300002765"</f>
        <v>CUST#100009/INV#3300002765</v>
      </c>
      <c r="F1610" s="2">
        <v>2900</v>
      </c>
      <c r="G1610" t="str">
        <f>"CUST#100009/INV#3300002765"</f>
        <v>CUST#100009/INV#3300002765</v>
      </c>
    </row>
    <row r="1611" spans="1:8" x14ac:dyDescent="0.25">
      <c r="E1611" t="str">
        <f>"CUST#100010/INV#3300002766"</f>
        <v>CUST#100010/INV#3300002766</v>
      </c>
      <c r="F1611" s="2">
        <v>11600</v>
      </c>
      <c r="G1611" t="str">
        <f>"CUST#100010/INV#3300002766"</f>
        <v>CUST#100010/INV#3300002766</v>
      </c>
    </row>
    <row r="1612" spans="1:8" x14ac:dyDescent="0.25">
      <c r="A1612" t="s">
        <v>518</v>
      </c>
      <c r="B1612">
        <v>1548</v>
      </c>
      <c r="C1612" s="2">
        <v>3201.13</v>
      </c>
      <c r="D1612" s="1">
        <v>43754</v>
      </c>
      <c r="E1612" t="str">
        <f>"MULTILPE INVOICES"</f>
        <v>MULTILPE INVOICES</v>
      </c>
      <c r="F1612" s="2">
        <v>2774.8</v>
      </c>
      <c r="G1612" t="str">
        <f>"776868"</f>
        <v>776868</v>
      </c>
    </row>
    <row r="1613" spans="1:8" x14ac:dyDescent="0.25">
      <c r="E1613" t="str">
        <f>""</f>
        <v/>
      </c>
      <c r="G1613" t="str">
        <f>"780520"</f>
        <v>780520</v>
      </c>
    </row>
    <row r="1614" spans="1:8" x14ac:dyDescent="0.25">
      <c r="E1614" t="str">
        <f>""</f>
        <v/>
      </c>
      <c r="G1614" t="str">
        <f>"780521"</f>
        <v>780521</v>
      </c>
    </row>
    <row r="1615" spans="1:8" x14ac:dyDescent="0.25">
      <c r="E1615" t="str">
        <f>""</f>
        <v/>
      </c>
      <c r="G1615" t="str">
        <f>"781933"</f>
        <v>781933</v>
      </c>
    </row>
    <row r="1616" spans="1:8" x14ac:dyDescent="0.25">
      <c r="E1616" t="str">
        <f>""</f>
        <v/>
      </c>
      <c r="G1616" t="str">
        <f>"782287"</f>
        <v>782287</v>
      </c>
    </row>
    <row r="1617" spans="1:7" x14ac:dyDescent="0.25">
      <c r="E1617" t="str">
        <f>""</f>
        <v/>
      </c>
      <c r="G1617" t="str">
        <f>"782481"</f>
        <v>782481</v>
      </c>
    </row>
    <row r="1618" spans="1:7" x14ac:dyDescent="0.25">
      <c r="E1618" t="str">
        <f>""</f>
        <v/>
      </c>
      <c r="G1618" t="str">
        <f>"782482"</f>
        <v>782482</v>
      </c>
    </row>
    <row r="1619" spans="1:7" x14ac:dyDescent="0.25">
      <c r="E1619" t="str">
        <f>""</f>
        <v/>
      </c>
      <c r="G1619" t="str">
        <f>"782657"</f>
        <v>782657</v>
      </c>
    </row>
    <row r="1620" spans="1:7" x14ac:dyDescent="0.25">
      <c r="E1620" t="str">
        <f>"INV 782657 / UNIT 1663"</f>
        <v>INV 782657 / UNIT 1663</v>
      </c>
      <c r="F1620" s="2">
        <v>426.33</v>
      </c>
      <c r="G1620" t="str">
        <f>"INV 782657 / UNIT 1663"</f>
        <v>INV 782657 / UNIT 1663</v>
      </c>
    </row>
    <row r="1621" spans="1:7" x14ac:dyDescent="0.25">
      <c r="A1621" t="s">
        <v>518</v>
      </c>
      <c r="B1621">
        <v>1637</v>
      </c>
      <c r="C1621" s="2">
        <v>595.72</v>
      </c>
      <c r="D1621" s="1">
        <v>43767</v>
      </c>
      <c r="E1621" t="str">
        <f>"INV 785910 / UNIT 0311"</f>
        <v>INV 785910 / UNIT 0311</v>
      </c>
      <c r="F1621" s="2">
        <v>595.72</v>
      </c>
      <c r="G1621" t="str">
        <f>"INV 785910 / UNIT 0311"</f>
        <v>INV 785910 / UNIT 0311</v>
      </c>
    </row>
    <row r="1622" spans="1:7" x14ac:dyDescent="0.25">
      <c r="A1622" t="s">
        <v>519</v>
      </c>
      <c r="B1622">
        <v>84628</v>
      </c>
      <c r="C1622" s="2">
        <v>475</v>
      </c>
      <c r="D1622" s="1">
        <v>43766</v>
      </c>
      <c r="E1622" t="str">
        <f>"CUS#BASTROPCO/JOB#AUS002498/P3"</f>
        <v>CUS#BASTROPCO/JOB#AUS002498/P3</v>
      </c>
      <c r="F1622" s="2">
        <v>475</v>
      </c>
      <c r="G1622" t="str">
        <f>"CUS#BASTROPCO/JOB#AUS002498/P3"</f>
        <v>CUS#BASTROPCO/JOB#AUS002498/P3</v>
      </c>
    </row>
    <row r="1623" spans="1:7" x14ac:dyDescent="0.25">
      <c r="A1623" t="s">
        <v>520</v>
      </c>
      <c r="B1623">
        <v>1691</v>
      </c>
      <c r="C1623" s="2">
        <v>600</v>
      </c>
      <c r="D1623" s="1">
        <v>43767</v>
      </c>
      <c r="E1623" t="str">
        <f>"16 772"</f>
        <v>16 772</v>
      </c>
      <c r="F1623" s="2">
        <v>400</v>
      </c>
      <c r="G1623" t="str">
        <f>"16 772"</f>
        <v>16 772</v>
      </c>
    </row>
    <row r="1624" spans="1:7" x14ac:dyDescent="0.25">
      <c r="E1624" t="str">
        <f>"DCPC-19-089"</f>
        <v>DCPC-19-089</v>
      </c>
      <c r="F1624" s="2">
        <v>100</v>
      </c>
      <c r="G1624" t="str">
        <f>"DCPC-19-089"</f>
        <v>DCPC-19-089</v>
      </c>
    </row>
    <row r="1625" spans="1:7" x14ac:dyDescent="0.25">
      <c r="E1625" t="str">
        <f>"19-S-01256"</f>
        <v>19-S-01256</v>
      </c>
      <c r="F1625" s="2">
        <v>100</v>
      </c>
      <c r="G1625" t="str">
        <f>"19-S-01256"</f>
        <v>19-S-01256</v>
      </c>
    </row>
    <row r="1626" spans="1:7" x14ac:dyDescent="0.25">
      <c r="A1626" t="s">
        <v>521</v>
      </c>
      <c r="B1626">
        <v>84629</v>
      </c>
      <c r="C1626" s="2">
        <v>2121.81</v>
      </c>
      <c r="D1626" s="1">
        <v>43766</v>
      </c>
      <c r="E1626" t="str">
        <f>"CUST#42161/ANNUAL MAINT"</f>
        <v>CUST#42161/ANNUAL MAINT</v>
      </c>
      <c r="F1626" s="2">
        <v>2121.81</v>
      </c>
      <c r="G1626" t="str">
        <f>"CUST#42161/ANNUAL MAINT"</f>
        <v>CUST#42161/ANNUAL MAINT</v>
      </c>
    </row>
    <row r="1627" spans="1:7" x14ac:dyDescent="0.25">
      <c r="E1627" t="str">
        <f>""</f>
        <v/>
      </c>
      <c r="G1627" t="str">
        <f>"CUST#42161/ANNUAL MAINT"</f>
        <v>CUST#42161/ANNUAL MAINT</v>
      </c>
    </row>
    <row r="1628" spans="1:7" x14ac:dyDescent="0.25">
      <c r="A1628" t="s">
        <v>522</v>
      </c>
      <c r="B1628">
        <v>1536</v>
      </c>
      <c r="C1628" s="2">
        <v>301.14</v>
      </c>
      <c r="D1628" s="1">
        <v>43754</v>
      </c>
      <c r="E1628" t="str">
        <f>"Cat Kennel Bogus Paper"</f>
        <v>Cat Kennel Bogus Paper</v>
      </c>
      <c r="F1628" s="2">
        <v>301.14</v>
      </c>
      <c r="G1628" t="str">
        <f>"Model: S-12832"</f>
        <v>Model: S-12832</v>
      </c>
    </row>
    <row r="1629" spans="1:7" x14ac:dyDescent="0.25">
      <c r="E1629" t="str">
        <f>""</f>
        <v/>
      </c>
      <c r="G1629" t="str">
        <f>"shipping"</f>
        <v>shipping</v>
      </c>
    </row>
    <row r="1630" spans="1:7" x14ac:dyDescent="0.25">
      <c r="A1630" t="s">
        <v>523</v>
      </c>
      <c r="B1630">
        <v>1681</v>
      </c>
      <c r="C1630" s="2">
        <v>1017.66</v>
      </c>
      <c r="D1630" s="1">
        <v>43767</v>
      </c>
      <c r="E1630" t="str">
        <f>"INV 70623742-00"</f>
        <v>INV 70623742-00</v>
      </c>
      <c r="F1630" s="2">
        <v>1017.66</v>
      </c>
      <c r="G1630" t="str">
        <f>"INV 70623742-00"</f>
        <v>INV 70623742-00</v>
      </c>
    </row>
    <row r="1631" spans="1:7" x14ac:dyDescent="0.25">
      <c r="A1631" t="s">
        <v>524</v>
      </c>
      <c r="B1631">
        <v>84373</v>
      </c>
      <c r="C1631" s="2">
        <v>1305</v>
      </c>
      <c r="D1631" s="1">
        <v>43753</v>
      </c>
      <c r="E1631" t="str">
        <f>"UNIVERSITY OF TEXAS"</f>
        <v>UNIVERSITY OF TEXAS</v>
      </c>
      <c r="F1631" s="2">
        <v>435</v>
      </c>
      <c r="G1631" t="str">
        <f>"Change Order Process"</f>
        <v>Change Order Process</v>
      </c>
    </row>
    <row r="1632" spans="1:7" x14ac:dyDescent="0.25">
      <c r="E1632" t="str">
        <f>"Const Auditing"</f>
        <v>Const Auditing</v>
      </c>
      <c r="F1632" s="2">
        <v>435</v>
      </c>
      <c r="G1632" t="str">
        <f>"Const Auditing"</f>
        <v>Const Auditing</v>
      </c>
    </row>
    <row r="1633" spans="1:7" x14ac:dyDescent="0.25">
      <c r="E1633" t="str">
        <f>"UNIVERSITY OF TEXAS"</f>
        <v>UNIVERSITY OF TEXAS</v>
      </c>
      <c r="F1633" s="2">
        <v>435</v>
      </c>
      <c r="G1633" t="str">
        <f>"Legal Aspects"</f>
        <v>Legal Aspects</v>
      </c>
    </row>
    <row r="1634" spans="1:7" x14ac:dyDescent="0.25">
      <c r="A1634" t="s">
        <v>525</v>
      </c>
      <c r="B1634">
        <v>84630</v>
      </c>
      <c r="C1634" s="2">
        <v>135.13</v>
      </c>
      <c r="D1634" s="1">
        <v>43766</v>
      </c>
      <c r="E1634" t="str">
        <f>"SHIPPER#18VW63"</f>
        <v>SHIPPER#18VW63</v>
      </c>
      <c r="F1634" s="2">
        <v>135.13</v>
      </c>
      <c r="G1634" t="str">
        <f>"SHIPPER#18VW63"</f>
        <v>SHIPPER#18VW63</v>
      </c>
    </row>
    <row r="1635" spans="1:7" x14ac:dyDescent="0.25">
      <c r="A1635" t="s">
        <v>526</v>
      </c>
      <c r="B1635">
        <v>84374</v>
      </c>
      <c r="C1635" s="2">
        <v>245.55</v>
      </c>
      <c r="D1635" s="1">
        <v>43753</v>
      </c>
      <c r="E1635" t="str">
        <f>"REIMBURSE HOTEL"</f>
        <v>REIMBURSE HOTEL</v>
      </c>
      <c r="F1635" s="2">
        <v>245.55</v>
      </c>
      <c r="G1635" t="str">
        <f>"REIMBURSE HOTEL"</f>
        <v>REIMBURSE HOTEL</v>
      </c>
    </row>
    <row r="1636" spans="1:7" x14ac:dyDescent="0.25">
      <c r="A1636" t="s">
        <v>527</v>
      </c>
      <c r="B1636">
        <v>84631</v>
      </c>
      <c r="C1636" s="2">
        <v>597</v>
      </c>
      <c r="D1636" s="1">
        <v>43766</v>
      </c>
      <c r="E1636" t="str">
        <f>"SUPPLIES/ANIMAL CONTROL"</f>
        <v>SUPPLIES/ANIMAL CONTROL</v>
      </c>
      <c r="F1636" s="2">
        <v>597</v>
      </c>
      <c r="G1636" t="str">
        <f>"SUPPLIES/ANIMAL CONTROL"</f>
        <v>SUPPLIES/ANIMAL CONTROL</v>
      </c>
    </row>
    <row r="1637" spans="1:7" x14ac:dyDescent="0.25">
      <c r="A1637" t="s">
        <v>528</v>
      </c>
      <c r="B1637">
        <v>84375</v>
      </c>
      <c r="C1637" s="2">
        <v>217.77</v>
      </c>
      <c r="D1637" s="1">
        <v>43753</v>
      </c>
      <c r="E1637" t="str">
        <f>"ACCT#17460002268 003/REMOTE BA"</f>
        <v>ACCT#17460002268 003/REMOTE BA</v>
      </c>
      <c r="F1637" s="2">
        <v>217.77</v>
      </c>
      <c r="G1637" t="str">
        <f>"ACCT#17460002268 003/REMOTE BA"</f>
        <v>ACCT#17460002268 003/REMOTE BA</v>
      </c>
    </row>
    <row r="1638" spans="1:7" x14ac:dyDescent="0.25">
      <c r="A1638" t="s">
        <v>529</v>
      </c>
      <c r="B1638">
        <v>84376</v>
      </c>
      <c r="C1638" s="2">
        <v>30370.26</v>
      </c>
      <c r="D1638" s="1">
        <v>43753</v>
      </c>
      <c r="E1638" t="str">
        <f>"VEMACS SUPPORT/ELECTIONS"</f>
        <v>VEMACS SUPPORT/ELECTIONS</v>
      </c>
      <c r="F1638" s="2">
        <v>26590.26</v>
      </c>
      <c r="G1638" t="str">
        <f>"VEMACS SUPPORT/ELECTIONS"</f>
        <v>VEMACS SUPPORT/ELECTIONS</v>
      </c>
    </row>
    <row r="1639" spans="1:7" x14ac:dyDescent="0.25">
      <c r="E1639" t="str">
        <f>"SOFTWARE SUPPORT"</f>
        <v>SOFTWARE SUPPORT</v>
      </c>
      <c r="F1639" s="2">
        <v>3780</v>
      </c>
      <c r="G1639" t="str">
        <f>"SOFTWARE SUPPORT"</f>
        <v>SOFTWARE SUPPORT</v>
      </c>
    </row>
    <row r="1640" spans="1:7" x14ac:dyDescent="0.25">
      <c r="A1640" t="s">
        <v>530</v>
      </c>
      <c r="B1640">
        <v>84377</v>
      </c>
      <c r="C1640" s="2">
        <v>39596.699999999997</v>
      </c>
      <c r="D1640" s="1">
        <v>43753</v>
      </c>
      <c r="E1640" t="str">
        <f>"inv# 869395921939"</f>
        <v>inv# 869395921939</v>
      </c>
      <c r="F1640" s="2">
        <v>39596.699999999997</v>
      </c>
      <c r="G1640" t="str">
        <f>"fuel"</f>
        <v>fuel</v>
      </c>
    </row>
    <row r="1641" spans="1:7" x14ac:dyDescent="0.25">
      <c r="E1641" t="str">
        <f>""</f>
        <v/>
      </c>
      <c r="G1641" t="str">
        <f>"tax"</f>
        <v>tax</v>
      </c>
    </row>
    <row r="1642" spans="1:7" x14ac:dyDescent="0.25">
      <c r="E1642" t="str">
        <f>""</f>
        <v/>
      </c>
      <c r="G1642" t="str">
        <f>"maintenace"</f>
        <v>maintenace</v>
      </c>
    </row>
    <row r="1643" spans="1:7" x14ac:dyDescent="0.25">
      <c r="E1643" t="str">
        <f>""</f>
        <v/>
      </c>
      <c r="G1643" t="str">
        <f>"fuel"</f>
        <v>fuel</v>
      </c>
    </row>
    <row r="1644" spans="1:7" x14ac:dyDescent="0.25">
      <c r="E1644" t="str">
        <f>""</f>
        <v/>
      </c>
      <c r="G1644" t="str">
        <f>"tax"</f>
        <v>tax</v>
      </c>
    </row>
    <row r="1645" spans="1:7" x14ac:dyDescent="0.25">
      <c r="E1645" t="str">
        <f>""</f>
        <v/>
      </c>
      <c r="G1645" t="str">
        <f>"maintenance"</f>
        <v>maintenance</v>
      </c>
    </row>
    <row r="1646" spans="1:7" x14ac:dyDescent="0.25">
      <c r="E1646" t="str">
        <f>""</f>
        <v/>
      </c>
      <c r="G1646" t="str">
        <f>"fuel"</f>
        <v>fuel</v>
      </c>
    </row>
    <row r="1647" spans="1:7" x14ac:dyDescent="0.25">
      <c r="E1647" t="str">
        <f>""</f>
        <v/>
      </c>
      <c r="G1647" t="str">
        <f>"tax"</f>
        <v>tax</v>
      </c>
    </row>
    <row r="1648" spans="1:7" x14ac:dyDescent="0.25">
      <c r="E1648" t="str">
        <f>""</f>
        <v/>
      </c>
      <c r="G1648" t="str">
        <f>"fuel"</f>
        <v>fuel</v>
      </c>
    </row>
    <row r="1649" spans="5:7" x14ac:dyDescent="0.25">
      <c r="E1649" t="str">
        <f>""</f>
        <v/>
      </c>
      <c r="G1649" t="str">
        <f>"tax"</f>
        <v>tax</v>
      </c>
    </row>
    <row r="1650" spans="5:7" x14ac:dyDescent="0.25">
      <c r="E1650" t="str">
        <f>""</f>
        <v/>
      </c>
      <c r="G1650" t="str">
        <f>"maintenace"</f>
        <v>maintenace</v>
      </c>
    </row>
    <row r="1651" spans="5:7" x14ac:dyDescent="0.25">
      <c r="E1651" t="str">
        <f>""</f>
        <v/>
      </c>
      <c r="G1651" t="str">
        <f>"fuel"</f>
        <v>fuel</v>
      </c>
    </row>
    <row r="1652" spans="5:7" x14ac:dyDescent="0.25">
      <c r="E1652" t="str">
        <f>""</f>
        <v/>
      </c>
      <c r="G1652" t="str">
        <f>"tax"</f>
        <v>tax</v>
      </c>
    </row>
    <row r="1653" spans="5:7" x14ac:dyDescent="0.25">
      <c r="E1653" t="str">
        <f>""</f>
        <v/>
      </c>
      <c r="G1653" t="str">
        <f>"maintenance"</f>
        <v>maintenance</v>
      </c>
    </row>
    <row r="1654" spans="5:7" x14ac:dyDescent="0.25">
      <c r="E1654" t="str">
        <f>""</f>
        <v/>
      </c>
      <c r="G1654" t="str">
        <f>"fuel"</f>
        <v>fuel</v>
      </c>
    </row>
    <row r="1655" spans="5:7" x14ac:dyDescent="0.25">
      <c r="E1655" t="str">
        <f>""</f>
        <v/>
      </c>
      <c r="G1655" t="str">
        <f>"tax"</f>
        <v>tax</v>
      </c>
    </row>
    <row r="1656" spans="5:7" x14ac:dyDescent="0.25">
      <c r="E1656" t="str">
        <f>""</f>
        <v/>
      </c>
      <c r="G1656" t="str">
        <f>"fuel"</f>
        <v>fuel</v>
      </c>
    </row>
    <row r="1657" spans="5:7" x14ac:dyDescent="0.25">
      <c r="E1657" t="str">
        <f>""</f>
        <v/>
      </c>
      <c r="G1657" t="str">
        <f>"tax"</f>
        <v>tax</v>
      </c>
    </row>
    <row r="1658" spans="5:7" x14ac:dyDescent="0.25">
      <c r="E1658" t="str">
        <f>""</f>
        <v/>
      </c>
      <c r="G1658" t="str">
        <f>"Fuel"</f>
        <v>Fuel</v>
      </c>
    </row>
    <row r="1659" spans="5:7" x14ac:dyDescent="0.25">
      <c r="E1659" t="str">
        <f>""</f>
        <v/>
      </c>
      <c r="G1659" t="str">
        <f>"tax"</f>
        <v>tax</v>
      </c>
    </row>
    <row r="1660" spans="5:7" x14ac:dyDescent="0.25">
      <c r="E1660" t="str">
        <f>""</f>
        <v/>
      </c>
      <c r="G1660" t="str">
        <f>"rebate"</f>
        <v>rebate</v>
      </c>
    </row>
    <row r="1661" spans="5:7" x14ac:dyDescent="0.25">
      <c r="E1661" t="str">
        <f>""</f>
        <v/>
      </c>
      <c r="G1661" t="str">
        <f>"fuel"</f>
        <v>fuel</v>
      </c>
    </row>
    <row r="1662" spans="5:7" x14ac:dyDescent="0.25">
      <c r="E1662" t="str">
        <f>""</f>
        <v/>
      </c>
      <c r="G1662" t="str">
        <f>"tax"</f>
        <v>tax</v>
      </c>
    </row>
    <row r="1663" spans="5:7" x14ac:dyDescent="0.25">
      <c r="E1663" t="str">
        <f>""</f>
        <v/>
      </c>
      <c r="G1663" t="str">
        <f>"maintenace"</f>
        <v>maintenace</v>
      </c>
    </row>
    <row r="1664" spans="5:7" x14ac:dyDescent="0.25">
      <c r="E1664" t="str">
        <f>""</f>
        <v/>
      </c>
      <c r="G1664" t="str">
        <f>"maintenace"</f>
        <v>maintenace</v>
      </c>
    </row>
    <row r="1665" spans="1:7" x14ac:dyDescent="0.25">
      <c r="A1665" t="s">
        <v>531</v>
      </c>
      <c r="B1665">
        <v>1621</v>
      </c>
      <c r="C1665" s="2">
        <v>1337.5</v>
      </c>
      <c r="D1665" s="1">
        <v>43754</v>
      </c>
      <c r="E1665" t="str">
        <f>"Sign Shop Material"</f>
        <v>Sign Shop Material</v>
      </c>
      <c r="F1665" s="2">
        <v>1337.5</v>
      </c>
      <c r="G1665" t="str">
        <f>"9 x18"</f>
        <v>9 x18</v>
      </c>
    </row>
    <row r="1666" spans="1:7" x14ac:dyDescent="0.25">
      <c r="E1666" t="str">
        <f>""</f>
        <v/>
      </c>
      <c r="G1666" t="str">
        <f>"9 x24"</f>
        <v>9 x24</v>
      </c>
    </row>
    <row r="1667" spans="1:7" x14ac:dyDescent="0.25">
      <c r="E1667" t="str">
        <f>""</f>
        <v/>
      </c>
      <c r="G1667" t="str">
        <f>"6'x1.12#"</f>
        <v>6'x1.12#</v>
      </c>
    </row>
    <row r="1668" spans="1:7" x14ac:dyDescent="0.25">
      <c r="A1668" t="s">
        <v>532</v>
      </c>
      <c r="B1668">
        <v>1552</v>
      </c>
      <c r="C1668" s="2">
        <v>10578.12</v>
      </c>
      <c r="D1668" s="1">
        <v>43754</v>
      </c>
      <c r="E1668" t="str">
        <f>"COLD MIX/ FREIGHT/PCT#1"</f>
        <v>COLD MIX/ FREIGHT/PCT#1</v>
      </c>
      <c r="F1668" s="2">
        <v>2637.58</v>
      </c>
      <c r="G1668" t="str">
        <f>"COLD MIX/ FREIGHT/PCT#1"</f>
        <v>COLD MIX/ FREIGHT/PCT#1</v>
      </c>
    </row>
    <row r="1669" spans="1:7" x14ac:dyDescent="0.25">
      <c r="E1669" t="str">
        <f>"COLD MIX/FREIGHT/PCT#4"</f>
        <v>COLD MIX/FREIGHT/PCT#4</v>
      </c>
      <c r="F1669" s="2">
        <v>2636.71</v>
      </c>
      <c r="G1669" t="str">
        <f>"COLD MIX/FREIGHT/PCT#4"</f>
        <v>COLD MIX/FREIGHT/PCT#4</v>
      </c>
    </row>
    <row r="1670" spans="1:7" x14ac:dyDescent="0.25">
      <c r="E1670" t="str">
        <f>"COLD MIX/FREIGHT/PCT#1"</f>
        <v>COLD MIX/FREIGHT/PCT#1</v>
      </c>
      <c r="F1670" s="2">
        <v>2633.08</v>
      </c>
      <c r="G1670" t="str">
        <f>"COLD MIX/FREIGHT/PCT#1"</f>
        <v>COLD MIX/FREIGHT/PCT#1</v>
      </c>
    </row>
    <row r="1671" spans="1:7" x14ac:dyDescent="0.25">
      <c r="E1671" t="str">
        <f>"COLD MIX/FREIGHT/PCT#4"</f>
        <v>COLD MIX/FREIGHT/PCT#4</v>
      </c>
      <c r="F1671" s="2">
        <v>2670.75</v>
      </c>
      <c r="G1671" t="str">
        <f>"COLD MIX/FREIGHT/PCT#4"</f>
        <v>COLD MIX/FREIGHT/PCT#4</v>
      </c>
    </row>
    <row r="1672" spans="1:7" x14ac:dyDescent="0.25">
      <c r="A1672" t="s">
        <v>532</v>
      </c>
      <c r="B1672">
        <v>1641</v>
      </c>
      <c r="C1672" s="2">
        <v>2648.03</v>
      </c>
      <c r="D1672" s="1">
        <v>43767</v>
      </c>
      <c r="E1672" t="str">
        <f>"COLD MIX/FREIGHT/PCT#4"</f>
        <v>COLD MIX/FREIGHT/PCT#4</v>
      </c>
      <c r="F1672" s="2">
        <v>2648.03</v>
      </c>
      <c r="G1672" t="str">
        <f>"COLD MIX/FREIGHT/PCT#4"</f>
        <v>COLD MIX/FREIGHT/PCT#4</v>
      </c>
    </row>
    <row r="1673" spans="1:7" x14ac:dyDescent="0.25">
      <c r="A1673" t="s">
        <v>533</v>
      </c>
      <c r="B1673">
        <v>84378</v>
      </c>
      <c r="C1673" s="2">
        <v>85</v>
      </c>
      <c r="D1673" s="1">
        <v>43753</v>
      </c>
      <c r="E1673" t="str">
        <f>"SERVICE"</f>
        <v>SERVICE</v>
      </c>
      <c r="F1673" s="2">
        <v>85</v>
      </c>
      <c r="G1673" t="str">
        <f>"SERVICE"</f>
        <v>SERVICE</v>
      </c>
    </row>
    <row r="1674" spans="1:7" x14ac:dyDescent="0.25">
      <c r="A1674" t="s">
        <v>534</v>
      </c>
      <c r="B1674">
        <v>84155</v>
      </c>
      <c r="C1674" s="2">
        <v>23351.18</v>
      </c>
      <c r="D1674" s="1">
        <v>43742</v>
      </c>
      <c r="E1674" t="str">
        <f>"ACCT#5150-005117630 / 09302019"</f>
        <v>ACCT#5150-005117630 / 09302019</v>
      </c>
      <c r="F1674" s="2">
        <v>250.29</v>
      </c>
      <c r="G1674" t="str">
        <f>"WASTE CONNECTIONS LONE STAR. I"</f>
        <v>WASTE CONNECTIONS LONE STAR. I</v>
      </c>
    </row>
    <row r="1675" spans="1:7" x14ac:dyDescent="0.25">
      <c r="E1675" t="str">
        <f>"ACCT#5150-005117766 / 09302019"</f>
        <v>ACCT#5150-005117766 / 09302019</v>
      </c>
      <c r="F1675" s="2">
        <v>109.87</v>
      </c>
      <c r="G1675" t="str">
        <f>"ACCT#5150-005117766 / 09302019"</f>
        <v>ACCT#5150-005117766 / 09302019</v>
      </c>
    </row>
    <row r="1676" spans="1:7" x14ac:dyDescent="0.25">
      <c r="E1676" t="str">
        <f>"ACCT#5150-005117838 / 09302019"</f>
        <v>ACCT#5150-005117838 / 09302019</v>
      </c>
      <c r="F1676" s="2">
        <v>101.68</v>
      </c>
      <c r="G1676" t="str">
        <f>"ACCT#5150-005117838 / 09302019"</f>
        <v>ACCT#5150-005117838 / 09302019</v>
      </c>
    </row>
    <row r="1677" spans="1:7" x14ac:dyDescent="0.25">
      <c r="E1677" t="str">
        <f>"ACCT#5150-005117882 / 09302019"</f>
        <v>ACCT#5150-005117882 / 09302019</v>
      </c>
      <c r="F1677" s="2">
        <v>137.32</v>
      </c>
      <c r="G1677" t="str">
        <f>"ACCT#5150-005117882 / 09302019"</f>
        <v>ACCT#5150-005117882 / 09302019</v>
      </c>
    </row>
    <row r="1678" spans="1:7" x14ac:dyDescent="0.25">
      <c r="E1678" t="str">
        <f>"ACCT#5150-005118183 / 09302019"</f>
        <v>ACCT#5150-005118183 / 09302019</v>
      </c>
      <c r="F1678" s="2">
        <v>589.49</v>
      </c>
      <c r="G1678" t="str">
        <f>"ACCT#5150-005118183 / 09302019"</f>
        <v>ACCT#5150-005118183 / 09302019</v>
      </c>
    </row>
    <row r="1679" spans="1:7" x14ac:dyDescent="0.25">
      <c r="E1679" t="str">
        <f>"ACCT#5150-005129483 / 09302019"</f>
        <v>ACCT#5150-005129483 / 09302019</v>
      </c>
      <c r="F1679" s="2">
        <v>22055.5</v>
      </c>
      <c r="G1679" t="str">
        <f>"ACCT#5150-005129483 / 09302019"</f>
        <v>ACCT#5150-005129483 / 09302019</v>
      </c>
    </row>
    <row r="1680" spans="1:7" x14ac:dyDescent="0.25">
      <c r="E1680" t="str">
        <f>"ACCT#5150-16203415 / 10312019"</f>
        <v>ACCT#5150-16203415 / 10312019</v>
      </c>
      <c r="F1680" s="2">
        <v>79.510000000000005</v>
      </c>
      <c r="G1680" t="str">
        <f>"ACCT#5150-16203415 / 10312019"</f>
        <v>ACCT#5150-16203415 / 10312019</v>
      </c>
    </row>
    <row r="1681" spans="1:8" x14ac:dyDescent="0.25">
      <c r="E1681" t="str">
        <f>"ACCT#5150-16203417 / 10312019"</f>
        <v>ACCT#5150-16203417 / 10312019</v>
      </c>
      <c r="F1681" s="2">
        <v>27.52</v>
      </c>
      <c r="G1681" t="str">
        <f>"ACCT#5150-16203417 / 10312019"</f>
        <v>ACCT#5150-16203417 / 10312019</v>
      </c>
    </row>
    <row r="1682" spans="1:8" x14ac:dyDescent="0.25">
      <c r="A1682" t="s">
        <v>535</v>
      </c>
      <c r="B1682">
        <v>84379</v>
      </c>
      <c r="C1682" s="2">
        <v>6553.5</v>
      </c>
      <c r="D1682" s="1">
        <v>43753</v>
      </c>
      <c r="E1682" t="str">
        <f>"CUST ID:2-57060-55062/PCT#4"</f>
        <v>CUST ID:2-57060-55062/PCT#4</v>
      </c>
      <c r="F1682" s="2">
        <v>6028.64</v>
      </c>
      <c r="G1682" t="str">
        <f>"CUST ID:2-57060-55062/PCT#4"</f>
        <v>CUST ID:2-57060-55062/PCT#4</v>
      </c>
    </row>
    <row r="1683" spans="1:8" x14ac:dyDescent="0.25">
      <c r="E1683" t="str">
        <f>"CUST ID:16-27603-83003/ANIM SV"</f>
        <v>CUST ID:16-27603-83003/ANIM SV</v>
      </c>
      <c r="F1683" s="2">
        <v>110.34</v>
      </c>
      <c r="G1683" t="str">
        <f>"CUST ID:16-27603-83003/ANIM SV"</f>
        <v>CUST ID:16-27603-83003/ANIM SV</v>
      </c>
    </row>
    <row r="1684" spans="1:8" x14ac:dyDescent="0.25">
      <c r="E1684" t="str">
        <f>"CUST ID:2-56581-95066/ANIM CON"</f>
        <v>CUST ID:2-56581-95066/ANIM CON</v>
      </c>
      <c r="F1684" s="2">
        <v>414.52</v>
      </c>
      <c r="G1684" t="str">
        <f>"CUST ID:2-56581-95066/ANIM CON"</f>
        <v>CUST ID:2-56581-95066/ANIM CON</v>
      </c>
    </row>
    <row r="1685" spans="1:8" x14ac:dyDescent="0.25">
      <c r="A1685" t="s">
        <v>536</v>
      </c>
      <c r="B1685">
        <v>1569</v>
      </c>
      <c r="C1685" s="2">
        <v>396</v>
      </c>
      <c r="D1685" s="1">
        <v>43754</v>
      </c>
      <c r="E1685" t="str">
        <f>"TRUCKER CAPS/PCT#3"</f>
        <v>TRUCKER CAPS/PCT#3</v>
      </c>
      <c r="F1685" s="2">
        <v>250</v>
      </c>
      <c r="G1685" t="str">
        <f>"TRUCKER CAPS/PCT#3"</f>
        <v>TRUCKER CAPS/PCT#3</v>
      </c>
    </row>
    <row r="1686" spans="1:8" x14ac:dyDescent="0.25">
      <c r="E1686" t="str">
        <f>"SHIRTS/EMBROIDERY/PCT#1"</f>
        <v>SHIRTS/EMBROIDERY/PCT#1</v>
      </c>
      <c r="F1686" s="2">
        <v>146</v>
      </c>
      <c r="G1686" t="str">
        <f>"SHIRTS/EMBROIDERY/PCT#1"</f>
        <v>SHIRTS/EMBROIDERY/PCT#1</v>
      </c>
    </row>
    <row r="1687" spans="1:8" x14ac:dyDescent="0.25">
      <c r="A1687" t="s">
        <v>537</v>
      </c>
      <c r="B1687">
        <v>84632</v>
      </c>
      <c r="C1687" s="2">
        <v>1270.94</v>
      </c>
      <c r="D1687" s="1">
        <v>43766</v>
      </c>
      <c r="E1687" t="str">
        <f>"WEI-ANN LIN (REIMBURSEMENTS ON"</f>
        <v>WEI-ANN LIN (REIMBURSEMENTS ON</v>
      </c>
      <c r="F1687" s="2">
        <v>1270.94</v>
      </c>
      <c r="G1687" t="str">
        <f>"CAR RENTAL"</f>
        <v>CAR RENTAL</v>
      </c>
    </row>
    <row r="1688" spans="1:8" x14ac:dyDescent="0.25">
      <c r="E1688" t="str">
        <f>""</f>
        <v/>
      </c>
      <c r="G1688" t="str">
        <f>"DORENA FLIGHT"</f>
        <v>DORENA FLIGHT</v>
      </c>
    </row>
    <row r="1689" spans="1:8" x14ac:dyDescent="0.25">
      <c r="E1689" t="str">
        <f>""</f>
        <v/>
      </c>
      <c r="G1689" t="str">
        <f>"DORENA FLIGHT"</f>
        <v>DORENA FLIGHT</v>
      </c>
    </row>
    <row r="1690" spans="1:8" x14ac:dyDescent="0.25">
      <c r="E1690" t="str">
        <f>""</f>
        <v/>
      </c>
      <c r="G1690" t="str">
        <f>"DORENA HOTEL"</f>
        <v>DORENA HOTEL</v>
      </c>
    </row>
    <row r="1691" spans="1:8" x14ac:dyDescent="0.25">
      <c r="E1691" t="str">
        <f>""</f>
        <v/>
      </c>
      <c r="G1691" t="str">
        <f>"DR. LIN FLIGHT"</f>
        <v>DR. LIN FLIGHT</v>
      </c>
    </row>
    <row r="1692" spans="1:8" x14ac:dyDescent="0.25">
      <c r="E1692" t="str">
        <f>""</f>
        <v/>
      </c>
      <c r="G1692" t="str">
        <f>"DR. LIN FLIGHT"</f>
        <v>DR. LIN FLIGHT</v>
      </c>
    </row>
    <row r="1693" spans="1:8" x14ac:dyDescent="0.25">
      <c r="E1693" t="str">
        <f>""</f>
        <v/>
      </c>
      <c r="G1693" t="str">
        <f>"DR. LIN HOTEL"</f>
        <v>DR. LIN HOTEL</v>
      </c>
    </row>
    <row r="1694" spans="1:8" x14ac:dyDescent="0.25">
      <c r="A1694" t="s">
        <v>538</v>
      </c>
      <c r="B1694">
        <v>1559</v>
      </c>
      <c r="C1694" s="2">
        <v>7371.88</v>
      </c>
      <c r="D1694" s="1">
        <v>43754</v>
      </c>
      <c r="E1694" t="str">
        <f>"INV 23302"</f>
        <v>INV 23302</v>
      </c>
      <c r="F1694" s="2">
        <v>7371.88</v>
      </c>
      <c r="G1694" t="str">
        <f>"INV 23302"</f>
        <v>INV 23302</v>
      </c>
    </row>
    <row r="1695" spans="1:8" x14ac:dyDescent="0.25">
      <c r="A1695" t="s">
        <v>539</v>
      </c>
      <c r="B1695">
        <v>84380</v>
      </c>
      <c r="C1695" s="2">
        <v>70</v>
      </c>
      <c r="D1695" s="1">
        <v>43753</v>
      </c>
      <c r="E1695" t="s">
        <v>59</v>
      </c>
      <c r="F1695" s="2" t="str">
        <f>"SERVICE"</f>
        <v>SERVICE</v>
      </c>
      <c r="G1695" t="str">
        <f>"995-4110"</f>
        <v>995-4110</v>
      </c>
      <c r="H1695" t="str">
        <f>""</f>
        <v/>
      </c>
    </row>
    <row r="1696" spans="1:8" x14ac:dyDescent="0.25">
      <c r="A1696" t="s">
        <v>540</v>
      </c>
      <c r="B1696">
        <v>84381</v>
      </c>
      <c r="C1696" s="2">
        <v>45000</v>
      </c>
      <c r="D1696" s="1">
        <v>43753</v>
      </c>
      <c r="E1696" t="str">
        <f>"COLOVISTA DITCH/CULVERT/PCT#2"</f>
        <v>COLOVISTA DITCH/CULVERT/PCT#2</v>
      </c>
      <c r="F1696" s="2">
        <v>7200</v>
      </c>
      <c r="G1696" t="str">
        <f>"COLOVISTA DITCH/CULVERT/PCT#2"</f>
        <v>COLOVISTA DITCH/CULVERT/PCT#2</v>
      </c>
    </row>
    <row r="1697" spans="1:8" x14ac:dyDescent="0.25">
      <c r="E1697" t="str">
        <f>"COLOVISTA DITCH &amp; CULVERT/P2"</f>
        <v>COLOVISTA DITCH &amp; CULVERT/P2</v>
      </c>
      <c r="F1697" s="2">
        <v>37800</v>
      </c>
      <c r="G1697" t="str">
        <f>"COLOVISTA DITCH &amp; CULVERT/P2"</f>
        <v>COLOVISTA DITCH &amp; CULVERT/P2</v>
      </c>
    </row>
    <row r="1698" spans="1:8" x14ac:dyDescent="0.25">
      <c r="A1698" t="s">
        <v>540</v>
      </c>
      <c r="B1698">
        <v>84633</v>
      </c>
      <c r="C1698" s="2">
        <v>25000</v>
      </c>
      <c r="D1698" s="1">
        <v>43766</v>
      </c>
      <c r="E1698" t="str">
        <f>"PFB 19BCP061/ P2"</f>
        <v>PFB 19BCP061/ P2</v>
      </c>
      <c r="F1698" s="2">
        <v>25000</v>
      </c>
      <c r="G1698" t="str">
        <f>"PFB 19BCP061/ P2"</f>
        <v>PFB 19BCP061/ P2</v>
      </c>
    </row>
    <row r="1699" spans="1:8" x14ac:dyDescent="0.25">
      <c r="A1699" t="s">
        <v>541</v>
      </c>
      <c r="B1699">
        <v>84634</v>
      </c>
      <c r="C1699" s="2">
        <v>301.5</v>
      </c>
      <c r="D1699" s="1">
        <v>43766</v>
      </c>
      <c r="E1699" t="str">
        <f>"REIMBURSE MILEAGE"</f>
        <v>REIMBURSE MILEAGE</v>
      </c>
      <c r="F1699" s="2">
        <v>301.5</v>
      </c>
      <c r="G1699" t="str">
        <f>"REIMBURSE MILEAGE"</f>
        <v>REIMBURSE MILEAGE</v>
      </c>
    </row>
    <row r="1700" spans="1:8" x14ac:dyDescent="0.25">
      <c r="A1700" t="s">
        <v>542</v>
      </c>
      <c r="B1700">
        <v>84382</v>
      </c>
      <c r="C1700" s="2">
        <v>362.64</v>
      </c>
      <c r="D1700" s="1">
        <v>43753</v>
      </c>
      <c r="E1700" t="str">
        <f>"423-5844"</f>
        <v>423-5844</v>
      </c>
      <c r="F1700" s="2">
        <v>362.64</v>
      </c>
      <c r="G1700" t="str">
        <f>"423-5844"</f>
        <v>423-5844</v>
      </c>
    </row>
    <row r="1701" spans="1:8" x14ac:dyDescent="0.25">
      <c r="A1701" t="s">
        <v>542</v>
      </c>
      <c r="B1701">
        <v>84635</v>
      </c>
      <c r="C1701" s="2">
        <v>767.78</v>
      </c>
      <c r="D1701" s="1">
        <v>43766</v>
      </c>
      <c r="E1701" t="str">
        <f>"INTERPRETER SVCS/MILEAGE"</f>
        <v>INTERPRETER SVCS/MILEAGE</v>
      </c>
      <c r="F1701" s="2">
        <v>767.78</v>
      </c>
      <c r="G1701" t="str">
        <f>"INTERPRETER SVCS/MILEAGE"</f>
        <v>INTERPRETER SVCS/MILEAGE</v>
      </c>
    </row>
    <row r="1702" spans="1:8" x14ac:dyDescent="0.25">
      <c r="A1702" t="s">
        <v>543</v>
      </c>
      <c r="B1702">
        <v>84636</v>
      </c>
      <c r="C1702" s="2">
        <v>138.87</v>
      </c>
      <c r="D1702" s="1">
        <v>43766</v>
      </c>
      <c r="E1702" t="str">
        <f>"INDIGENT HEALTH"</f>
        <v>INDIGENT HEALTH</v>
      </c>
      <c r="F1702" s="2">
        <v>138.87</v>
      </c>
      <c r="G1702" t="str">
        <f>"INDIGENT HEALTH"</f>
        <v>INDIGENT HEALTH</v>
      </c>
    </row>
    <row r="1703" spans="1:8" x14ac:dyDescent="0.25">
      <c r="A1703" t="s">
        <v>544</v>
      </c>
      <c r="B1703">
        <v>84383</v>
      </c>
      <c r="C1703" s="2">
        <v>70</v>
      </c>
      <c r="D1703" s="1">
        <v>43753</v>
      </c>
      <c r="E1703" t="str">
        <f>"PER DIEM"</f>
        <v>PER DIEM</v>
      </c>
      <c r="F1703" s="2">
        <v>70</v>
      </c>
      <c r="G1703" t="str">
        <f>"PER DIEM"</f>
        <v>PER DIEM</v>
      </c>
    </row>
    <row r="1704" spans="1:8" x14ac:dyDescent="0.25">
      <c r="A1704" t="s">
        <v>544</v>
      </c>
      <c r="B1704">
        <v>84637</v>
      </c>
      <c r="C1704" s="2">
        <v>26.07</v>
      </c>
      <c r="D1704" s="1">
        <v>43766</v>
      </c>
      <c r="E1704" t="str">
        <f>"ZACHARY CARTER"</f>
        <v>ZACHARY CARTER</v>
      </c>
      <c r="F1704" s="2">
        <v>26.07</v>
      </c>
      <c r="G1704" t="str">
        <f>""</f>
        <v/>
      </c>
    </row>
    <row r="1705" spans="1:8" x14ac:dyDescent="0.25">
      <c r="A1705" t="s">
        <v>545</v>
      </c>
      <c r="B1705">
        <v>84384</v>
      </c>
      <c r="C1705" s="2">
        <v>2057.08</v>
      </c>
      <c r="D1705" s="1">
        <v>43753</v>
      </c>
      <c r="E1705" t="str">
        <f>"CUST#2000053103/ANIMAL SHELTER"</f>
        <v>CUST#2000053103/ANIMAL SHELTER</v>
      </c>
      <c r="F1705" s="2">
        <v>183.68</v>
      </c>
      <c r="G1705" t="str">
        <f>"CUST#2000053103/ANIMAL SHELTER"</f>
        <v>CUST#2000053103/ANIMAL SHELTER</v>
      </c>
    </row>
    <row r="1706" spans="1:8" x14ac:dyDescent="0.25">
      <c r="E1706" t="str">
        <f>"CUST#2000053103/ANIMAL SHELTER"</f>
        <v>CUST#2000053103/ANIMAL SHELTER</v>
      </c>
      <c r="F1706" s="2">
        <v>25.4</v>
      </c>
      <c r="G1706" t="str">
        <f>"CUST#2000053103/ANIMAL SHELTER"</f>
        <v>CUST#2000053103/ANIMAL SHELTER</v>
      </c>
    </row>
    <row r="1707" spans="1:8" x14ac:dyDescent="0.25">
      <c r="E1707" t="str">
        <f>"CUST#2000053103/ANIMAL SHELTER"</f>
        <v>CUST#2000053103/ANIMAL SHELTER</v>
      </c>
      <c r="F1707" s="2">
        <v>25.4</v>
      </c>
      <c r="G1707" t="str">
        <f>"CUST#2000053103/ANIMAL SHELTER"</f>
        <v>CUST#2000053103/ANIMAL SHELTER</v>
      </c>
    </row>
    <row r="1708" spans="1:8" x14ac:dyDescent="0.25">
      <c r="E1708" t="str">
        <f>"CUST#2000053103/ANIMAL SHELTER"</f>
        <v>CUST#2000053103/ANIMAL SHELTER</v>
      </c>
      <c r="F1708" s="2">
        <v>902.8</v>
      </c>
      <c r="G1708" t="str">
        <f>"CUST#2000053103/ANIMAL SHELTER"</f>
        <v>CUST#2000053103/ANIMAL SHELTER</v>
      </c>
    </row>
    <row r="1709" spans="1:8" x14ac:dyDescent="0.25">
      <c r="E1709" t="str">
        <f>"CUST#2000053103/ANIMAL SHELTER"</f>
        <v>CUST#2000053103/ANIMAL SHELTER</v>
      </c>
      <c r="F1709" s="2">
        <v>312</v>
      </c>
      <c r="G1709" t="str">
        <f>"CUST#2000053103/ANIMAL SHELTER"</f>
        <v>CUST#2000053103/ANIMAL SHELTER</v>
      </c>
    </row>
    <row r="1710" spans="1:8" x14ac:dyDescent="0.25">
      <c r="E1710" t="str">
        <f>"CUST#2000053103/ANIMAL SVCS"</f>
        <v>CUST#2000053103/ANIMAL SVCS</v>
      </c>
      <c r="F1710" s="2">
        <v>607.79999999999995</v>
      </c>
      <c r="G1710" t="str">
        <f>"CUST#2000053103/ANIMAL SVCS"</f>
        <v>CUST#2000053103/ANIMAL SVCS</v>
      </c>
    </row>
    <row r="1711" spans="1:8" x14ac:dyDescent="0.25">
      <c r="A1711" t="s">
        <v>545</v>
      </c>
      <c r="B1711">
        <v>84638</v>
      </c>
      <c r="C1711" s="2">
        <v>480.88</v>
      </c>
      <c r="D1711" s="1">
        <v>43766</v>
      </c>
      <c r="E1711" t="str">
        <f>"CUST#2000053103/ORD#1007687686"</f>
        <v>CUST#2000053103/ORD#1007687686</v>
      </c>
      <c r="F1711" s="2">
        <v>480.88</v>
      </c>
      <c r="G1711" t="str">
        <f>"CUST#2000053103/ORD#1007687686"</f>
        <v>CUST#2000053103/ORD#1007687686</v>
      </c>
    </row>
    <row r="1712" spans="1:8" x14ac:dyDescent="0.25">
      <c r="A1712" t="s">
        <v>546</v>
      </c>
      <c r="B1712">
        <v>84385</v>
      </c>
      <c r="C1712" s="2">
        <v>262.5</v>
      </c>
      <c r="D1712" s="1">
        <v>43753</v>
      </c>
      <c r="E1712" t="s">
        <v>547</v>
      </c>
      <c r="F1712" s="2" t="str">
        <f>"RESTITUTION - E.F. RAMON"</f>
        <v>RESTITUTION - E.F. RAMON</v>
      </c>
      <c r="G1712" t="str">
        <f>"210-0000"</f>
        <v>210-0000</v>
      </c>
      <c r="H1712" t="str">
        <f>""</f>
        <v/>
      </c>
    </row>
    <row r="1713" spans="1:8" x14ac:dyDescent="0.25">
      <c r="E1713" t="s">
        <v>548</v>
      </c>
      <c r="F1713" s="2" t="str">
        <f>"RESTITUTION - E.F. RAMON"</f>
        <v>RESTITUTION - E.F. RAMON</v>
      </c>
      <c r="G1713" t="str">
        <f>"210-0000"</f>
        <v>210-0000</v>
      </c>
      <c r="H1713" t="str">
        <f>""</f>
        <v/>
      </c>
    </row>
    <row r="1714" spans="1:8" x14ac:dyDescent="0.25">
      <c r="E1714" t="s">
        <v>549</v>
      </c>
      <c r="F1714" s="2" t="str">
        <f>"RESTITUTION - E.F. RAMON"</f>
        <v>RESTITUTION - E.F. RAMON</v>
      </c>
      <c r="G1714" t="str">
        <f>"210-0000"</f>
        <v>210-0000</v>
      </c>
      <c r="H1714" t="str">
        <f>""</f>
        <v/>
      </c>
    </row>
    <row r="1715" spans="1:8" x14ac:dyDescent="0.25">
      <c r="E1715" t="s">
        <v>550</v>
      </c>
      <c r="F1715" s="2" t="str">
        <f>"RESTITUTION - E.F. RAMON"</f>
        <v>RESTITUTION - E.F. RAMON</v>
      </c>
      <c r="G1715" t="str">
        <f>"210-0000"</f>
        <v>210-0000</v>
      </c>
      <c r="H1715" t="str">
        <f>""</f>
        <v/>
      </c>
    </row>
    <row r="1716" spans="1:8" x14ac:dyDescent="0.25">
      <c r="E1716" t="s">
        <v>551</v>
      </c>
      <c r="F1716" s="2" t="str">
        <f>"RESTITUTION-E.F. RAMON"</f>
        <v>RESTITUTION-E.F. RAMON</v>
      </c>
      <c r="G1716" t="str">
        <f>"210-0000"</f>
        <v>210-0000</v>
      </c>
      <c r="H1716" t="str">
        <f>""</f>
        <v/>
      </c>
    </row>
    <row r="1717" spans="1:8" x14ac:dyDescent="0.25">
      <c r="A1717" t="s">
        <v>34</v>
      </c>
      <c r="B1717">
        <v>84386</v>
      </c>
      <c r="C1717" s="2">
        <v>185.98</v>
      </c>
      <c r="D1717" s="1">
        <v>43753</v>
      </c>
      <c r="E1717" t="str">
        <f>"ACCT#015397/JUVENILE BOOT CAMP"</f>
        <v>ACCT#015397/JUVENILE BOOT CAMP</v>
      </c>
      <c r="F1717" s="2">
        <v>185.98</v>
      </c>
      <c r="G1717" t="str">
        <f>"ACCT#015397/JUVENILE BOOT CAMP"</f>
        <v>ACCT#015397/JUVENILE BOOT CAMP</v>
      </c>
    </row>
    <row r="1718" spans="1:8" x14ac:dyDescent="0.25">
      <c r="A1718" t="s">
        <v>60</v>
      </c>
      <c r="B1718">
        <v>84387</v>
      </c>
      <c r="C1718" s="2">
        <v>113.1</v>
      </c>
      <c r="D1718" s="1">
        <v>43753</v>
      </c>
      <c r="E1718" t="str">
        <f>"ACCT#BC01/OFFICE SUPPLIES"</f>
        <v>ACCT#BC01/OFFICE SUPPLIES</v>
      </c>
      <c r="F1718" s="2">
        <v>113.1</v>
      </c>
      <c r="G1718" t="str">
        <f>"ACCT#BC01/OFFICE SUPPLIES"</f>
        <v>ACCT#BC01/OFFICE SUPPLIES</v>
      </c>
    </row>
    <row r="1719" spans="1:8" x14ac:dyDescent="0.25">
      <c r="A1719" t="s">
        <v>552</v>
      </c>
      <c r="B1719">
        <v>84639</v>
      </c>
      <c r="C1719" s="2">
        <v>62512.79</v>
      </c>
      <c r="D1719" s="1">
        <v>43766</v>
      </c>
      <c r="E1719" t="str">
        <f>"BOOT CAMP EXPS 4TH QTR 2019"</f>
        <v>BOOT CAMP EXPS 4TH QTR 2019</v>
      </c>
      <c r="F1719" s="2">
        <v>29395.68</v>
      </c>
      <c r="G1719" t="str">
        <f>"BOOT CAMP EXPS 4TH QTR 2019"</f>
        <v>BOOT CAMP EXPS 4TH QTR 2019</v>
      </c>
    </row>
    <row r="1720" spans="1:8" x14ac:dyDescent="0.25">
      <c r="E1720" t="str">
        <f>"BOOT CAMP EXPS 3RD QTR 2019"</f>
        <v>BOOT CAMP EXPS 3RD QTR 2019</v>
      </c>
      <c r="F1720" s="2">
        <v>33117.11</v>
      </c>
      <c r="G1720" t="str">
        <f>"BOOT CAMP EXPS 3RD QTR 2019"</f>
        <v>BOOT CAMP EXPS 3RD QTR 2019</v>
      </c>
    </row>
    <row r="1721" spans="1:8" x14ac:dyDescent="0.25">
      <c r="A1721" t="s">
        <v>553</v>
      </c>
      <c r="B1721">
        <v>84640</v>
      </c>
      <c r="C1721" s="2">
        <v>5204.3500000000004</v>
      </c>
      <c r="D1721" s="1">
        <v>43766</v>
      </c>
      <c r="E1721" t="str">
        <f>"BOOT CAMP EXPS JULY-SEPT 2019"</f>
        <v>BOOT CAMP EXPS JULY-SEPT 2019</v>
      </c>
      <c r="F1721" s="2">
        <v>5204.3500000000004</v>
      </c>
      <c r="G1721" t="str">
        <f>"BOOT CAMP EXPS JULY-SEPT 2019"</f>
        <v>BOOT CAMP EXPS JULY-SEPT 2019</v>
      </c>
    </row>
    <row r="1722" spans="1:8" x14ac:dyDescent="0.25">
      <c r="E1722" t="str">
        <f>""</f>
        <v/>
      </c>
      <c r="G1722" t="str">
        <f>"BOOT CAMP EXPS JULY-SEPT 2019"</f>
        <v>BOOT CAMP EXPS JULY-SEPT 2019</v>
      </c>
    </row>
    <row r="1723" spans="1:8" x14ac:dyDescent="0.25">
      <c r="A1723" t="s">
        <v>554</v>
      </c>
      <c r="B1723">
        <v>84388</v>
      </c>
      <c r="C1723" s="2">
        <v>8188.5</v>
      </c>
      <c r="D1723" s="1">
        <v>43753</v>
      </c>
      <c r="E1723" t="str">
        <f>"BIG TEX TRAILERWORLD INC."</f>
        <v>BIG TEX TRAILERWORLD INC.</v>
      </c>
      <c r="F1723" s="2">
        <v>8188.5</v>
      </c>
      <c r="G1723" t="str">
        <f>"Big Tex Trailer"</f>
        <v>Big Tex Trailer</v>
      </c>
    </row>
    <row r="1724" spans="1:8" x14ac:dyDescent="0.25">
      <c r="A1724" t="s">
        <v>79</v>
      </c>
      <c r="B1724">
        <v>84464</v>
      </c>
      <c r="C1724" s="2">
        <v>371.88</v>
      </c>
      <c r="D1724" s="1">
        <v>43761</v>
      </c>
      <c r="E1724" t="str">
        <f>"ACCT#5000057374 / 10052019"</f>
        <v>ACCT#5000057374 / 10052019</v>
      </c>
      <c r="F1724" s="2">
        <v>371.88</v>
      </c>
      <c r="G1724" t="str">
        <f>"ACCT#5000057374 / 10052019"</f>
        <v>ACCT#5000057374 / 10052019</v>
      </c>
    </row>
    <row r="1725" spans="1:8" x14ac:dyDescent="0.25">
      <c r="A1725" t="s">
        <v>555</v>
      </c>
      <c r="B1725">
        <v>84389</v>
      </c>
      <c r="C1725" s="2">
        <v>9575</v>
      </c>
      <c r="D1725" s="1">
        <v>43753</v>
      </c>
      <c r="E1725" t="str">
        <f>"Bid for Cedar Hills Drive"</f>
        <v>Bid for Cedar Hills Drive</v>
      </c>
      <c r="F1725" s="2">
        <v>4650</v>
      </c>
      <c r="G1725" t="str">
        <f>"Culvert Replacement"</f>
        <v>Culvert Replacement</v>
      </c>
    </row>
    <row r="1726" spans="1:8" x14ac:dyDescent="0.25">
      <c r="E1726" t="str">
        <f>"inv# 1217"</f>
        <v>inv# 1217</v>
      </c>
      <c r="F1726" s="2">
        <v>4925</v>
      </c>
      <c r="G1726" t="str">
        <f>"inv# 1217"</f>
        <v>inv# 1217</v>
      </c>
    </row>
    <row r="1727" spans="1:8" x14ac:dyDescent="0.25">
      <c r="A1727" t="s">
        <v>556</v>
      </c>
      <c r="B1727">
        <v>84390</v>
      </c>
      <c r="C1727" s="2">
        <v>200</v>
      </c>
      <c r="D1727" s="1">
        <v>43753</v>
      </c>
      <c r="E1727" t="str">
        <f>"DRUG TEST/JUVENILE BOOTCAMP"</f>
        <v>DRUG TEST/JUVENILE BOOTCAMP</v>
      </c>
      <c r="F1727" s="2">
        <v>200</v>
      </c>
      <c r="G1727" t="str">
        <f>"DRUG TEST/JUVENILE BOOTCAMP"</f>
        <v>DRUG TEST/JUVENILE BOOTCAMP</v>
      </c>
    </row>
    <row r="1728" spans="1:8" x14ac:dyDescent="0.25">
      <c r="A1728" t="s">
        <v>213</v>
      </c>
      <c r="B1728">
        <v>84391</v>
      </c>
      <c r="C1728" s="2">
        <v>63.66</v>
      </c>
      <c r="D1728" s="1">
        <v>43753</v>
      </c>
      <c r="E1728" t="str">
        <f>"acct# 0130"</f>
        <v>acct# 0130</v>
      </c>
      <c r="F1728" s="2">
        <v>63.66</v>
      </c>
      <c r="G1728" t="str">
        <f>"inv#9011370"</f>
        <v>inv#9011370</v>
      </c>
    </row>
    <row r="1729" spans="1:7" x14ac:dyDescent="0.25">
      <c r="A1729" t="s">
        <v>234</v>
      </c>
      <c r="B1729">
        <v>84398</v>
      </c>
      <c r="C1729" s="2">
        <v>1</v>
      </c>
      <c r="D1729" s="1">
        <v>43755</v>
      </c>
      <c r="E1729" t="str">
        <f>"TEST &amp; VOID INCODE CHECK-APTF"</f>
        <v>TEST &amp; VOID INCODE CHECK-APTF</v>
      </c>
      <c r="F1729" s="2">
        <v>1</v>
      </c>
    </row>
    <row r="1730" spans="1:7" x14ac:dyDescent="0.25">
      <c r="A1730" t="s">
        <v>234</v>
      </c>
      <c r="B1730">
        <v>84398</v>
      </c>
      <c r="C1730" s="2">
        <v>1</v>
      </c>
      <c r="D1730" s="1">
        <v>43755</v>
      </c>
      <c r="E1730" t="str">
        <f>""</f>
        <v/>
      </c>
      <c r="F1730" s="2">
        <v>1</v>
      </c>
    </row>
    <row r="1731" spans="1:7" x14ac:dyDescent="0.25">
      <c r="A1731" t="s">
        <v>263</v>
      </c>
      <c r="B1731">
        <v>84392</v>
      </c>
      <c r="C1731" s="2">
        <v>127.74</v>
      </c>
      <c r="D1731" s="1">
        <v>43753</v>
      </c>
      <c r="E1731" t="str">
        <f>"ACCT#1645/WILDFIRE MITIGATION"</f>
        <v>ACCT#1645/WILDFIRE MITIGATION</v>
      </c>
      <c r="F1731" s="2">
        <v>127.74</v>
      </c>
      <c r="G1731" t="str">
        <f>"ACCT#1645/WILDFIRE MITIGATION"</f>
        <v>ACCT#1645/WILDFIRE MITIGATION</v>
      </c>
    </row>
    <row r="1732" spans="1:7" x14ac:dyDescent="0.25">
      <c r="A1732" t="s">
        <v>389</v>
      </c>
      <c r="B1732">
        <v>84393</v>
      </c>
      <c r="C1732" s="2">
        <v>59.97</v>
      </c>
      <c r="D1732" s="1">
        <v>43753</v>
      </c>
      <c r="E1732" t="str">
        <f>"bill# 12537461"</f>
        <v>bill# 12537461</v>
      </c>
      <c r="F1732" s="2">
        <v>59.97</v>
      </c>
      <c r="G1732" t="str">
        <f>"373027918001"</f>
        <v>373027918001</v>
      </c>
    </row>
    <row r="1733" spans="1:7" x14ac:dyDescent="0.25">
      <c r="A1733" t="s">
        <v>495</v>
      </c>
      <c r="B1733">
        <v>84394</v>
      </c>
      <c r="C1733" s="2">
        <v>60.05</v>
      </c>
      <c r="D1733" s="1">
        <v>43753</v>
      </c>
      <c r="E1733" t="str">
        <f>"UNEMPLOYMENT QTR END 09/30/19"</f>
        <v>UNEMPLOYMENT QTR END 09/30/19</v>
      </c>
      <c r="F1733" s="2">
        <v>25.85</v>
      </c>
      <c r="G1733" t="str">
        <f>"UNEMPLOYMENT QTR END 09/30/19"</f>
        <v>UNEMPLOYMENT QTR END 09/30/19</v>
      </c>
    </row>
    <row r="1734" spans="1:7" x14ac:dyDescent="0.25">
      <c r="E1734" t="str">
        <f>"UNEMP FUND DEFICIT-QTR1&amp;2 2019"</f>
        <v>UNEMP FUND DEFICIT-QTR1&amp;2 2019</v>
      </c>
      <c r="F1734" s="2">
        <v>34.200000000000003</v>
      </c>
      <c r="G1734" t="str">
        <f>"TEXAS ASSOCIATION OF COUNTIES"</f>
        <v>TEXAS ASSOCIATION OF COUNTIES</v>
      </c>
    </row>
    <row r="1735" spans="1:7" x14ac:dyDescent="0.25">
      <c r="A1735" t="s">
        <v>530</v>
      </c>
      <c r="B1735">
        <v>84395</v>
      </c>
      <c r="C1735" s="2">
        <v>1502.25</v>
      </c>
      <c r="D1735" s="1">
        <v>43753</v>
      </c>
      <c r="E1735" t="str">
        <f>"inv# 869395921939"</f>
        <v>inv# 869395921939</v>
      </c>
      <c r="F1735" s="2">
        <v>1502.25</v>
      </c>
      <c r="G1735" t="str">
        <f>"fuel"</f>
        <v>fuel</v>
      </c>
    </row>
    <row r="1736" spans="1:7" x14ac:dyDescent="0.25">
      <c r="E1736" t="str">
        <f>""</f>
        <v/>
      </c>
      <c r="G1736" t="str">
        <f>"tax"</f>
        <v>tax</v>
      </c>
    </row>
    <row r="1737" spans="1:7" x14ac:dyDescent="0.25">
      <c r="E1737" t="str">
        <f>""</f>
        <v/>
      </c>
      <c r="G1737" t="str">
        <f>"maintenance"</f>
        <v>maintenance</v>
      </c>
    </row>
    <row r="1738" spans="1:7" x14ac:dyDescent="0.25">
      <c r="A1738" t="s">
        <v>557</v>
      </c>
      <c r="B1738">
        <v>255</v>
      </c>
      <c r="C1738" s="2">
        <v>5236.74</v>
      </c>
      <c r="D1738" s="1">
        <v>43762</v>
      </c>
      <c r="E1738" t="str">
        <f>"ROY WILLIAMS PD TOO MUCH"</f>
        <v>ROY WILLIAMS PD TOO MUCH</v>
      </c>
      <c r="F1738" s="2">
        <v>-73.64</v>
      </c>
      <c r="G1738" t="str">
        <f>"ROY WILLIAMS PD TOO MUCH"</f>
        <v>ROY WILLIAMS PD TOO MUCH</v>
      </c>
    </row>
    <row r="1739" spans="1:7" x14ac:dyDescent="0.25">
      <c r="E1739" t="str">
        <f t="shared" ref="E1739:E1752" si="12">"ALLSTATE"</f>
        <v>ALLSTATE</v>
      </c>
      <c r="F1739" s="2">
        <v>555.94000000000005</v>
      </c>
      <c r="G1739" t="str">
        <f t="shared" ref="G1739:G1752" si="13">"ALLSTATE"</f>
        <v>ALLSTATE</v>
      </c>
    </row>
    <row r="1740" spans="1:7" x14ac:dyDescent="0.25">
      <c r="E1740" t="str">
        <f t="shared" si="12"/>
        <v>ALLSTATE</v>
      </c>
      <c r="F1740" s="2">
        <v>27.14</v>
      </c>
      <c r="G1740" t="str">
        <f t="shared" si="13"/>
        <v>ALLSTATE</v>
      </c>
    </row>
    <row r="1741" spans="1:7" x14ac:dyDescent="0.25">
      <c r="E1741" t="str">
        <f t="shared" si="12"/>
        <v>ALLSTATE</v>
      </c>
      <c r="F1741" s="2">
        <v>465.9</v>
      </c>
      <c r="G1741" t="str">
        <f t="shared" si="13"/>
        <v>ALLSTATE</v>
      </c>
    </row>
    <row r="1742" spans="1:7" x14ac:dyDescent="0.25">
      <c r="E1742" t="str">
        <f t="shared" si="12"/>
        <v>ALLSTATE</v>
      </c>
      <c r="F1742" s="2">
        <v>27.14</v>
      </c>
      <c r="G1742" t="str">
        <f t="shared" si="13"/>
        <v>ALLSTATE</v>
      </c>
    </row>
    <row r="1743" spans="1:7" x14ac:dyDescent="0.25">
      <c r="E1743" t="str">
        <f t="shared" si="12"/>
        <v>ALLSTATE</v>
      </c>
      <c r="F1743" s="2">
        <v>170.21</v>
      </c>
      <c r="G1743" t="str">
        <f t="shared" si="13"/>
        <v>ALLSTATE</v>
      </c>
    </row>
    <row r="1744" spans="1:7" x14ac:dyDescent="0.25">
      <c r="E1744" t="str">
        <f t="shared" si="12"/>
        <v>ALLSTATE</v>
      </c>
      <c r="F1744" s="2">
        <v>170.21</v>
      </c>
      <c r="G1744" t="str">
        <f t="shared" si="13"/>
        <v>ALLSTATE</v>
      </c>
    </row>
    <row r="1745" spans="1:7" x14ac:dyDescent="0.25">
      <c r="E1745" t="str">
        <f t="shared" si="12"/>
        <v>ALLSTATE</v>
      </c>
      <c r="F1745" s="2">
        <v>621.97</v>
      </c>
      <c r="G1745" t="str">
        <f t="shared" si="13"/>
        <v>ALLSTATE</v>
      </c>
    </row>
    <row r="1746" spans="1:7" x14ac:dyDescent="0.25">
      <c r="E1746" t="str">
        <f t="shared" si="12"/>
        <v>ALLSTATE</v>
      </c>
      <c r="F1746" s="2">
        <v>67.150000000000006</v>
      </c>
      <c r="G1746" t="str">
        <f t="shared" si="13"/>
        <v>ALLSTATE</v>
      </c>
    </row>
    <row r="1747" spans="1:7" x14ac:dyDescent="0.25">
      <c r="E1747" t="str">
        <f t="shared" si="12"/>
        <v>ALLSTATE</v>
      </c>
      <c r="F1747" s="2">
        <v>621.97</v>
      </c>
      <c r="G1747" t="str">
        <f t="shared" si="13"/>
        <v>ALLSTATE</v>
      </c>
    </row>
    <row r="1748" spans="1:7" x14ac:dyDescent="0.25">
      <c r="E1748" t="str">
        <f t="shared" si="12"/>
        <v>ALLSTATE</v>
      </c>
      <c r="F1748" s="2">
        <v>67.150000000000006</v>
      </c>
      <c r="G1748" t="str">
        <f t="shared" si="13"/>
        <v>ALLSTATE</v>
      </c>
    </row>
    <row r="1749" spans="1:7" x14ac:dyDescent="0.25">
      <c r="E1749" t="str">
        <f t="shared" si="12"/>
        <v>ALLSTATE</v>
      </c>
      <c r="F1749" s="2">
        <v>1253.42</v>
      </c>
      <c r="G1749" t="str">
        <f t="shared" si="13"/>
        <v>ALLSTATE</v>
      </c>
    </row>
    <row r="1750" spans="1:7" x14ac:dyDescent="0.25">
      <c r="E1750" t="str">
        <f t="shared" si="12"/>
        <v>ALLSTATE</v>
      </c>
      <c r="F1750" s="2">
        <v>42.61</v>
      </c>
      <c r="G1750" t="str">
        <f t="shared" si="13"/>
        <v>ALLSTATE</v>
      </c>
    </row>
    <row r="1751" spans="1:7" x14ac:dyDescent="0.25">
      <c r="E1751" t="str">
        <f t="shared" si="12"/>
        <v>ALLSTATE</v>
      </c>
      <c r="F1751" s="2">
        <v>1176.96</v>
      </c>
      <c r="G1751" t="str">
        <f t="shared" si="13"/>
        <v>ALLSTATE</v>
      </c>
    </row>
    <row r="1752" spans="1:7" x14ac:dyDescent="0.25">
      <c r="E1752" t="str">
        <f t="shared" si="12"/>
        <v>ALLSTATE</v>
      </c>
      <c r="F1752" s="2">
        <v>42.61</v>
      </c>
      <c r="G1752" t="str">
        <f t="shared" si="13"/>
        <v>ALLSTATE</v>
      </c>
    </row>
    <row r="1753" spans="1:7" x14ac:dyDescent="0.25">
      <c r="A1753" t="s">
        <v>558</v>
      </c>
      <c r="B1753">
        <v>251</v>
      </c>
      <c r="C1753" s="2">
        <v>26637.5</v>
      </c>
      <c r="D1753" s="1">
        <v>43762</v>
      </c>
      <c r="E1753" t="str">
        <f>"AmWINS Group Benefits  Inc."</f>
        <v>AmWINS Group Benefits  Inc.</v>
      </c>
      <c r="F1753" s="2">
        <v>26637.5</v>
      </c>
      <c r="G1753" t="str">
        <f>"AmWINS Group Benefits  Inc."</f>
        <v>AmWINS Group Benefits  Inc.</v>
      </c>
    </row>
    <row r="1754" spans="1:7" x14ac:dyDescent="0.25">
      <c r="A1754" t="s">
        <v>559</v>
      </c>
      <c r="B1754">
        <v>239</v>
      </c>
      <c r="C1754" s="2">
        <v>2756.1</v>
      </c>
      <c r="D1754" s="1">
        <v>43742</v>
      </c>
      <c r="E1754" t="str">
        <f>"AP - DENTAL HMO"</f>
        <v>AP - DENTAL HMO</v>
      </c>
      <c r="F1754" s="2">
        <v>61.39</v>
      </c>
      <c r="G1754" t="str">
        <f>"AP - DENTAL HMO"</f>
        <v>AP - DENTAL HMO</v>
      </c>
    </row>
    <row r="1755" spans="1:7" x14ac:dyDescent="0.25">
      <c r="E1755" t="str">
        <f>"AP - TEXAS DENTAL"</f>
        <v>AP - TEXAS DENTAL</v>
      </c>
      <c r="F1755" s="2">
        <v>386.34</v>
      </c>
      <c r="G1755" t="str">
        <f>"AP - TEXAS DENTAL"</f>
        <v>AP - TEXAS DENTAL</v>
      </c>
    </row>
    <row r="1756" spans="1:7" x14ac:dyDescent="0.25">
      <c r="E1756" t="str">
        <f>"AP - FT DEARBORN PRE-TAX"</f>
        <v>AP - FT DEARBORN PRE-TAX</v>
      </c>
      <c r="F1756" s="2">
        <v>184.65</v>
      </c>
      <c r="G1756" t="str">
        <f>"AP - FT DEARBORN PRE-TAX"</f>
        <v>AP - FT DEARBORN PRE-TAX</v>
      </c>
    </row>
    <row r="1757" spans="1:7" x14ac:dyDescent="0.25">
      <c r="E1757" t="str">
        <f>"AP - FT DEARBORN AFTER TAX"</f>
        <v>AP - FT DEARBORN AFTER TAX</v>
      </c>
      <c r="F1757" s="2">
        <v>65.92</v>
      </c>
      <c r="G1757" t="str">
        <f>"AP - FT DEARBORN AFTER TAX"</f>
        <v>AP - FT DEARBORN AFTER TAX</v>
      </c>
    </row>
    <row r="1758" spans="1:7" x14ac:dyDescent="0.25">
      <c r="E1758" t="str">
        <f>"AP - TEX FLEX"</f>
        <v>AP - TEX FLEX</v>
      </c>
      <c r="F1758" s="2">
        <v>209.5</v>
      </c>
      <c r="G1758" t="str">
        <f>"AP - TEX FLEX"</f>
        <v>AP - TEX FLEX</v>
      </c>
    </row>
    <row r="1759" spans="1:7" x14ac:dyDescent="0.25">
      <c r="E1759" t="str">
        <f>"AP - HEALTH SELECT MEDICAL"</f>
        <v>AP - HEALTH SELECT MEDICAL</v>
      </c>
      <c r="F1759" s="2">
        <v>1257.6500000000001</v>
      </c>
      <c r="G1759" t="str">
        <f>"AP - HEALTH SELECT MEDICAL"</f>
        <v>AP - HEALTH SELECT MEDICAL</v>
      </c>
    </row>
    <row r="1760" spans="1:7" x14ac:dyDescent="0.25">
      <c r="E1760" t="str">
        <f>"AP - SCOTT &amp; WHITE MEDICAL"</f>
        <v>AP - SCOTT &amp; WHITE MEDICAL</v>
      </c>
      <c r="F1760" s="2">
        <v>551.08000000000004</v>
      </c>
      <c r="G1760" t="str">
        <f>"AP - SCOTT &amp; WHITE MEDICAL"</f>
        <v>AP - SCOTT &amp; WHITE MEDICAL</v>
      </c>
    </row>
    <row r="1761" spans="1:7" x14ac:dyDescent="0.25">
      <c r="E1761" t="str">
        <f>"AP - STATE VISION"</f>
        <v>AP - STATE VISION</v>
      </c>
      <c r="F1761" s="2">
        <v>39.57</v>
      </c>
      <c r="G1761" t="str">
        <f>"AP - STATE VISION"</f>
        <v>AP - STATE VISION</v>
      </c>
    </row>
    <row r="1762" spans="1:7" x14ac:dyDescent="0.25">
      <c r="A1762" t="s">
        <v>559</v>
      </c>
      <c r="B1762">
        <v>246</v>
      </c>
      <c r="C1762" s="2">
        <v>2848.85</v>
      </c>
      <c r="D1762" s="1">
        <v>43756</v>
      </c>
      <c r="E1762" t="str">
        <f>"AP - DENTAL HMO"</f>
        <v>AP - DENTAL HMO</v>
      </c>
      <c r="F1762" s="2">
        <v>61.39</v>
      </c>
      <c r="G1762" t="str">
        <f>"AP - DENTAL HMO"</f>
        <v>AP - DENTAL HMO</v>
      </c>
    </row>
    <row r="1763" spans="1:7" x14ac:dyDescent="0.25">
      <c r="E1763" t="str">
        <f>"AP - TEXAS DENTAL"</f>
        <v>AP - TEXAS DENTAL</v>
      </c>
      <c r="F1763" s="2">
        <v>451.64</v>
      </c>
      <c r="G1763" t="str">
        <f>"AP - TEXAS DENTAL"</f>
        <v>AP - TEXAS DENTAL</v>
      </c>
    </row>
    <row r="1764" spans="1:7" x14ac:dyDescent="0.25">
      <c r="E1764" t="str">
        <f>"AP - FT DEARBORN PRE-TAX"</f>
        <v>AP - FT DEARBORN PRE-TAX</v>
      </c>
      <c r="F1764" s="2">
        <v>193.29</v>
      </c>
      <c r="G1764" t="str">
        <f>"AP - FT DEARBORN PRE-TAX"</f>
        <v>AP - FT DEARBORN PRE-TAX</v>
      </c>
    </row>
    <row r="1765" spans="1:7" x14ac:dyDescent="0.25">
      <c r="E1765" t="str">
        <f>"AP - FT DEARBORN AFTER TAX"</f>
        <v>AP - FT DEARBORN AFTER TAX</v>
      </c>
      <c r="F1765" s="2">
        <v>73.72</v>
      </c>
      <c r="G1765" t="str">
        <f>"AP - FT DEARBORN AFTER TAX"</f>
        <v>AP - FT DEARBORN AFTER TAX</v>
      </c>
    </row>
    <row r="1766" spans="1:7" x14ac:dyDescent="0.25">
      <c r="E1766" t="str">
        <f>"AP - TEX FLEX"</f>
        <v>AP - TEX FLEX</v>
      </c>
      <c r="F1766" s="2">
        <v>209.5</v>
      </c>
      <c r="G1766" t="str">
        <f>"AP - TEX FLEX"</f>
        <v>AP - TEX FLEX</v>
      </c>
    </row>
    <row r="1767" spans="1:7" x14ac:dyDescent="0.25">
      <c r="E1767" t="str">
        <f>"AP - HEALTH SELECT MEDICAL"</f>
        <v>AP - HEALTH SELECT MEDICAL</v>
      </c>
      <c r="F1767" s="2">
        <v>1257.6500000000001</v>
      </c>
      <c r="G1767" t="str">
        <f>"AP - HEALTH SELECT MEDICAL"</f>
        <v>AP - HEALTH SELECT MEDICAL</v>
      </c>
    </row>
    <row r="1768" spans="1:7" x14ac:dyDescent="0.25">
      <c r="E1768" t="str">
        <f>"AP - SCOTT &amp; WHITE MEDICAL"</f>
        <v>AP - SCOTT &amp; WHITE MEDICAL</v>
      </c>
      <c r="F1768" s="2">
        <v>551.08000000000004</v>
      </c>
      <c r="G1768" t="str">
        <f>"AP - SCOTT &amp; WHITE MEDICAL"</f>
        <v>AP - SCOTT &amp; WHITE MEDICAL</v>
      </c>
    </row>
    <row r="1769" spans="1:7" x14ac:dyDescent="0.25">
      <c r="E1769" t="str">
        <f>"AP - STATE VISION"</f>
        <v>AP - STATE VISION</v>
      </c>
      <c r="F1769" s="2">
        <v>50.58</v>
      </c>
      <c r="G1769" t="str">
        <f>"AP - STATE VISION"</f>
        <v>AP - STATE VISION</v>
      </c>
    </row>
    <row r="1770" spans="1:7" x14ac:dyDescent="0.25">
      <c r="A1770" t="s">
        <v>560</v>
      </c>
      <c r="B1770">
        <v>256</v>
      </c>
      <c r="C1770" s="2">
        <v>5050.54</v>
      </c>
      <c r="D1770" s="1">
        <v>43762</v>
      </c>
      <c r="E1770" t="str">
        <f>"KRYSTAL STABENO"</f>
        <v>KRYSTAL STABENO</v>
      </c>
      <c r="F1770" s="2">
        <v>31.46</v>
      </c>
      <c r="G1770" t="str">
        <f>"KRYSTAL STABENO"</f>
        <v>KRYSTAL STABENO</v>
      </c>
    </row>
    <row r="1771" spans="1:7" x14ac:dyDescent="0.25">
      <c r="E1771" t="str">
        <f t="shared" ref="E1771:E1790" si="14">"COLONIAL"</f>
        <v>COLONIAL</v>
      </c>
      <c r="F1771" s="2">
        <v>609.72</v>
      </c>
      <c r="G1771" t="str">
        <f t="shared" ref="G1771:G1790" si="15">"COLONIAL"</f>
        <v>COLONIAL</v>
      </c>
    </row>
    <row r="1772" spans="1:7" x14ac:dyDescent="0.25">
      <c r="E1772" t="str">
        <f t="shared" si="14"/>
        <v>COLONIAL</v>
      </c>
      <c r="F1772" s="2">
        <v>14.49</v>
      </c>
      <c r="G1772" t="str">
        <f t="shared" si="15"/>
        <v>COLONIAL</v>
      </c>
    </row>
    <row r="1773" spans="1:7" x14ac:dyDescent="0.25">
      <c r="E1773" t="str">
        <f t="shared" si="14"/>
        <v>COLONIAL</v>
      </c>
      <c r="F1773" s="2">
        <v>661.7</v>
      </c>
      <c r="G1773" t="str">
        <f t="shared" si="15"/>
        <v>COLONIAL</v>
      </c>
    </row>
    <row r="1774" spans="1:7" x14ac:dyDescent="0.25">
      <c r="E1774" t="str">
        <f t="shared" si="14"/>
        <v>COLONIAL</v>
      </c>
      <c r="F1774" s="2">
        <v>14.49</v>
      </c>
      <c r="G1774" t="str">
        <f t="shared" si="15"/>
        <v>COLONIAL</v>
      </c>
    </row>
    <row r="1775" spans="1:7" x14ac:dyDescent="0.25">
      <c r="E1775" t="str">
        <f t="shared" si="14"/>
        <v>COLONIAL</v>
      </c>
      <c r="F1775" s="2">
        <v>33.99</v>
      </c>
      <c r="G1775" t="str">
        <f t="shared" si="15"/>
        <v>COLONIAL</v>
      </c>
    </row>
    <row r="1776" spans="1:7" x14ac:dyDescent="0.25">
      <c r="E1776" t="str">
        <f t="shared" si="14"/>
        <v>COLONIAL</v>
      </c>
      <c r="F1776" s="2">
        <v>33.99</v>
      </c>
      <c r="G1776" t="str">
        <f t="shared" si="15"/>
        <v>COLONIAL</v>
      </c>
    </row>
    <row r="1777" spans="1:7" x14ac:dyDescent="0.25">
      <c r="E1777" t="str">
        <f t="shared" si="14"/>
        <v>COLONIAL</v>
      </c>
      <c r="F1777" s="2">
        <v>566.5</v>
      </c>
      <c r="G1777" t="str">
        <f t="shared" si="15"/>
        <v>COLONIAL</v>
      </c>
    </row>
    <row r="1778" spans="1:7" x14ac:dyDescent="0.25">
      <c r="E1778" t="str">
        <f t="shared" si="14"/>
        <v>COLONIAL</v>
      </c>
      <c r="F1778" s="2">
        <v>665.43</v>
      </c>
      <c r="G1778" t="str">
        <f t="shared" si="15"/>
        <v>COLONIAL</v>
      </c>
    </row>
    <row r="1779" spans="1:7" x14ac:dyDescent="0.25">
      <c r="E1779" t="str">
        <f t="shared" si="14"/>
        <v>COLONIAL</v>
      </c>
      <c r="F1779" s="2">
        <v>27.09</v>
      </c>
      <c r="G1779" t="str">
        <f t="shared" si="15"/>
        <v>COLONIAL</v>
      </c>
    </row>
    <row r="1780" spans="1:7" x14ac:dyDescent="0.25">
      <c r="E1780" t="str">
        <f t="shared" si="14"/>
        <v>COLONIAL</v>
      </c>
      <c r="F1780" s="2">
        <v>27.09</v>
      </c>
      <c r="G1780" t="str">
        <f t="shared" si="15"/>
        <v>COLONIAL</v>
      </c>
    </row>
    <row r="1781" spans="1:7" x14ac:dyDescent="0.25">
      <c r="E1781" t="str">
        <f t="shared" si="14"/>
        <v>COLONIAL</v>
      </c>
      <c r="F1781" s="2">
        <v>356.89</v>
      </c>
      <c r="G1781" t="str">
        <f t="shared" si="15"/>
        <v>COLONIAL</v>
      </c>
    </row>
    <row r="1782" spans="1:7" x14ac:dyDescent="0.25">
      <c r="E1782" t="str">
        <f t="shared" si="14"/>
        <v>COLONIAL</v>
      </c>
      <c r="F1782" s="2">
        <v>12.84</v>
      </c>
      <c r="G1782" t="str">
        <f t="shared" si="15"/>
        <v>COLONIAL</v>
      </c>
    </row>
    <row r="1783" spans="1:7" x14ac:dyDescent="0.25">
      <c r="E1783" t="str">
        <f t="shared" si="14"/>
        <v>COLONIAL</v>
      </c>
      <c r="F1783" s="2">
        <v>414.68</v>
      </c>
      <c r="G1783" t="str">
        <f t="shared" si="15"/>
        <v>COLONIAL</v>
      </c>
    </row>
    <row r="1784" spans="1:7" x14ac:dyDescent="0.25">
      <c r="E1784" t="str">
        <f t="shared" si="14"/>
        <v>COLONIAL</v>
      </c>
      <c r="F1784" s="2">
        <v>12.84</v>
      </c>
      <c r="G1784" t="str">
        <f t="shared" si="15"/>
        <v>COLONIAL</v>
      </c>
    </row>
    <row r="1785" spans="1:7" x14ac:dyDescent="0.25">
      <c r="E1785" t="str">
        <f t="shared" si="14"/>
        <v>COLONIAL</v>
      </c>
      <c r="F1785" s="2">
        <v>332.08</v>
      </c>
      <c r="G1785" t="str">
        <f t="shared" si="15"/>
        <v>COLONIAL</v>
      </c>
    </row>
    <row r="1786" spans="1:7" x14ac:dyDescent="0.25">
      <c r="E1786" t="str">
        <f t="shared" si="14"/>
        <v>COLONIAL</v>
      </c>
      <c r="F1786" s="2">
        <v>394.54</v>
      </c>
      <c r="G1786" t="str">
        <f t="shared" si="15"/>
        <v>COLONIAL</v>
      </c>
    </row>
    <row r="1787" spans="1:7" x14ac:dyDescent="0.25">
      <c r="E1787" t="str">
        <f t="shared" si="14"/>
        <v>COLONIAL</v>
      </c>
      <c r="F1787" s="2">
        <v>111.55</v>
      </c>
      <c r="G1787" t="str">
        <f t="shared" si="15"/>
        <v>COLONIAL</v>
      </c>
    </row>
    <row r="1788" spans="1:7" x14ac:dyDescent="0.25">
      <c r="E1788" t="str">
        <f t="shared" si="14"/>
        <v>COLONIAL</v>
      </c>
      <c r="F1788" s="2">
        <v>111.55</v>
      </c>
      <c r="G1788" t="str">
        <f t="shared" si="15"/>
        <v>COLONIAL</v>
      </c>
    </row>
    <row r="1789" spans="1:7" x14ac:dyDescent="0.25">
      <c r="E1789" t="str">
        <f t="shared" si="14"/>
        <v>COLONIAL</v>
      </c>
      <c r="F1789" s="2">
        <v>201.4</v>
      </c>
      <c r="G1789" t="str">
        <f t="shared" si="15"/>
        <v>COLONIAL</v>
      </c>
    </row>
    <row r="1790" spans="1:7" x14ac:dyDescent="0.25">
      <c r="E1790" t="str">
        <f t="shared" si="14"/>
        <v>COLONIAL</v>
      </c>
      <c r="F1790" s="2">
        <v>416.22</v>
      </c>
      <c r="G1790" t="str">
        <f t="shared" si="15"/>
        <v>COLONIAL</v>
      </c>
    </row>
    <row r="1791" spans="1:7" x14ac:dyDescent="0.25">
      <c r="A1791" t="s">
        <v>561</v>
      </c>
      <c r="B1791">
        <v>240</v>
      </c>
      <c r="C1791" s="2">
        <v>9052.69</v>
      </c>
      <c r="D1791" s="1">
        <v>43742</v>
      </c>
      <c r="E1791" t="str">
        <f>"DEFERRED COMP 457B PAYABLE"</f>
        <v>DEFERRED COMP 457B PAYABLE</v>
      </c>
      <c r="F1791" s="2">
        <v>8945.19</v>
      </c>
      <c r="G1791" t="str">
        <f>"DEFERRED COMP 457B PAYABLE"</f>
        <v>DEFERRED COMP 457B PAYABLE</v>
      </c>
    </row>
    <row r="1792" spans="1:7" x14ac:dyDescent="0.25">
      <c r="E1792" t="str">
        <f>"DEFERRED COMP 457B PAYABLE"</f>
        <v>DEFERRED COMP 457B PAYABLE</v>
      </c>
      <c r="F1792" s="2">
        <v>107.5</v>
      </c>
      <c r="G1792" t="str">
        <f>"DEFERRED COMP 457B PAYABLE"</f>
        <v>DEFERRED COMP 457B PAYABLE</v>
      </c>
    </row>
    <row r="1793" spans="1:7" x14ac:dyDescent="0.25">
      <c r="A1793" t="s">
        <v>561</v>
      </c>
      <c r="B1793">
        <v>247</v>
      </c>
      <c r="C1793" s="2">
        <v>9035.7999999999993</v>
      </c>
      <c r="D1793" s="1">
        <v>43756</v>
      </c>
      <c r="E1793" t="str">
        <f>"DEFERRED COMP 457B PAYABLE"</f>
        <v>DEFERRED COMP 457B PAYABLE</v>
      </c>
      <c r="F1793" s="2">
        <v>8928.2999999999993</v>
      </c>
      <c r="G1793" t="str">
        <f>"DEFERRED COMP 457B PAYABLE"</f>
        <v>DEFERRED COMP 457B PAYABLE</v>
      </c>
    </row>
    <row r="1794" spans="1:7" x14ac:dyDescent="0.25">
      <c r="E1794" t="str">
        <f>"DEFERRED COMP 457B PAYABLE"</f>
        <v>DEFERRED COMP 457B PAYABLE</v>
      </c>
      <c r="F1794" s="2">
        <v>107.5</v>
      </c>
      <c r="G1794" t="str">
        <f>"DEFERRED COMP 457B PAYABLE"</f>
        <v>DEFERRED COMP 457B PAYABLE</v>
      </c>
    </row>
    <row r="1795" spans="1:7" x14ac:dyDescent="0.25">
      <c r="A1795" t="s">
        <v>562</v>
      </c>
      <c r="B1795">
        <v>47647</v>
      </c>
      <c r="C1795" s="2">
        <v>853.85</v>
      </c>
      <c r="D1795" s="1">
        <v>43742</v>
      </c>
      <c r="E1795" t="str">
        <f>"Rosa Warren 15-10357-TMD"</f>
        <v>Rosa Warren 15-10357-TMD</v>
      </c>
      <c r="F1795" s="2">
        <v>853.85</v>
      </c>
      <c r="G1795" t="str">
        <f>"Rosa Warren 15-10357-TMD"</f>
        <v>Rosa Warren 15-10357-TMD</v>
      </c>
    </row>
    <row r="1796" spans="1:7" x14ac:dyDescent="0.25">
      <c r="A1796" t="s">
        <v>562</v>
      </c>
      <c r="B1796">
        <v>47661</v>
      </c>
      <c r="C1796" s="2">
        <v>853.85</v>
      </c>
      <c r="D1796" s="1">
        <v>43756</v>
      </c>
      <c r="E1796" t="str">
        <f>"Rosa Warren 15-10357-TMD"</f>
        <v>Rosa Warren 15-10357-TMD</v>
      </c>
      <c r="F1796" s="2">
        <v>853.85</v>
      </c>
      <c r="G1796" t="str">
        <f>"Rosa Warren 15-10357-TMD"</f>
        <v>Rosa Warren 15-10357-TMD</v>
      </c>
    </row>
    <row r="1797" spans="1:7" x14ac:dyDescent="0.25">
      <c r="A1797" t="s">
        <v>563</v>
      </c>
      <c r="B1797">
        <v>252</v>
      </c>
      <c r="C1797" s="2">
        <v>41219.69</v>
      </c>
      <c r="D1797" s="1">
        <v>43762</v>
      </c>
      <c r="E1797" t="str">
        <f>"Retiree Oct 2019"</f>
        <v>Retiree Oct 2019</v>
      </c>
      <c r="F1797" s="2">
        <v>3567.04</v>
      </c>
      <c r="G1797" t="str">
        <f>"Retiree Oct 2019"</f>
        <v>Retiree Oct 2019</v>
      </c>
    </row>
    <row r="1798" spans="1:7" x14ac:dyDescent="0.25">
      <c r="E1798" t="str">
        <f t="shared" ref="E1798:E1810" si="16">"GUARDIAN"</f>
        <v>GUARDIAN</v>
      </c>
      <c r="F1798" s="2">
        <v>4.8099999999999996</v>
      </c>
      <c r="G1798" t="str">
        <f t="shared" ref="G1798:G1861" si="17">"GUARDIAN"</f>
        <v>GUARDIAN</v>
      </c>
    </row>
    <row r="1799" spans="1:7" x14ac:dyDescent="0.25">
      <c r="E1799" t="str">
        <f t="shared" si="16"/>
        <v>GUARDIAN</v>
      </c>
      <c r="F1799" s="2">
        <v>0.16</v>
      </c>
      <c r="G1799" t="str">
        <f t="shared" si="17"/>
        <v>GUARDIAN</v>
      </c>
    </row>
    <row r="1800" spans="1:7" x14ac:dyDescent="0.25">
      <c r="E1800" t="str">
        <f t="shared" si="16"/>
        <v>GUARDIAN</v>
      </c>
      <c r="F1800" s="2">
        <v>4.55</v>
      </c>
      <c r="G1800" t="str">
        <f t="shared" si="17"/>
        <v>GUARDIAN</v>
      </c>
    </row>
    <row r="1801" spans="1:7" x14ac:dyDescent="0.25">
      <c r="E1801" t="str">
        <f t="shared" si="16"/>
        <v>GUARDIAN</v>
      </c>
      <c r="F1801" s="2">
        <v>0.16</v>
      </c>
      <c r="G1801" t="str">
        <f t="shared" si="17"/>
        <v>GUARDIAN</v>
      </c>
    </row>
    <row r="1802" spans="1:7" x14ac:dyDescent="0.25">
      <c r="E1802" t="str">
        <f t="shared" si="16"/>
        <v>GUARDIAN</v>
      </c>
      <c r="F1802" s="2">
        <v>225.02</v>
      </c>
      <c r="G1802" t="str">
        <f t="shared" si="17"/>
        <v>GUARDIAN</v>
      </c>
    </row>
    <row r="1803" spans="1:7" x14ac:dyDescent="0.25">
      <c r="E1803" t="str">
        <f t="shared" si="16"/>
        <v>GUARDIAN</v>
      </c>
      <c r="F1803" s="2">
        <v>6.3</v>
      </c>
      <c r="G1803" t="str">
        <f t="shared" si="17"/>
        <v>GUARDIAN</v>
      </c>
    </row>
    <row r="1804" spans="1:7" x14ac:dyDescent="0.25">
      <c r="E1804" t="str">
        <f t="shared" si="16"/>
        <v>GUARDIAN</v>
      </c>
      <c r="F1804" s="2">
        <v>223.22</v>
      </c>
      <c r="G1804" t="str">
        <f t="shared" si="17"/>
        <v>GUARDIAN</v>
      </c>
    </row>
    <row r="1805" spans="1:7" x14ac:dyDescent="0.25">
      <c r="E1805" t="str">
        <f t="shared" si="16"/>
        <v>GUARDIAN</v>
      </c>
      <c r="F1805" s="2">
        <v>6.3</v>
      </c>
      <c r="G1805" t="str">
        <f t="shared" si="17"/>
        <v>GUARDIAN</v>
      </c>
    </row>
    <row r="1806" spans="1:7" x14ac:dyDescent="0.25">
      <c r="E1806" t="str">
        <f t="shared" si="16"/>
        <v>GUARDIAN</v>
      </c>
      <c r="F1806" s="2">
        <v>39.72</v>
      </c>
      <c r="G1806" t="str">
        <f t="shared" si="17"/>
        <v>GUARDIAN</v>
      </c>
    </row>
    <row r="1807" spans="1:7" x14ac:dyDescent="0.25">
      <c r="E1807" t="str">
        <f t="shared" si="16"/>
        <v>GUARDIAN</v>
      </c>
      <c r="F1807" s="2">
        <v>0.53</v>
      </c>
      <c r="G1807" t="str">
        <f t="shared" si="17"/>
        <v>GUARDIAN</v>
      </c>
    </row>
    <row r="1808" spans="1:7" x14ac:dyDescent="0.25">
      <c r="E1808" t="str">
        <f t="shared" si="16"/>
        <v>GUARDIAN</v>
      </c>
      <c r="F1808" s="2">
        <v>41.22</v>
      </c>
      <c r="G1808" t="str">
        <f t="shared" si="17"/>
        <v>GUARDIAN</v>
      </c>
    </row>
    <row r="1809" spans="5:7" x14ac:dyDescent="0.25">
      <c r="E1809" t="str">
        <f t="shared" si="16"/>
        <v>GUARDIAN</v>
      </c>
      <c r="F1809" s="2">
        <v>0.53</v>
      </c>
      <c r="G1809" t="str">
        <f t="shared" si="17"/>
        <v>GUARDIAN</v>
      </c>
    </row>
    <row r="1810" spans="5:7" x14ac:dyDescent="0.25">
      <c r="E1810" t="str">
        <f t="shared" si="16"/>
        <v>GUARDIAN</v>
      </c>
      <c r="F1810" s="2">
        <v>2648.88</v>
      </c>
      <c r="G1810" t="str">
        <f t="shared" si="17"/>
        <v>GUARDIAN</v>
      </c>
    </row>
    <row r="1811" spans="5:7" x14ac:dyDescent="0.25">
      <c r="E1811" t="str">
        <f>""</f>
        <v/>
      </c>
      <c r="G1811" t="str">
        <f t="shared" si="17"/>
        <v>GUARDIAN</v>
      </c>
    </row>
    <row r="1812" spans="5:7" x14ac:dyDescent="0.25">
      <c r="E1812" t="str">
        <f>""</f>
        <v/>
      </c>
      <c r="G1812" t="str">
        <f t="shared" si="17"/>
        <v>GUARDIAN</v>
      </c>
    </row>
    <row r="1813" spans="5:7" x14ac:dyDescent="0.25">
      <c r="E1813" t="str">
        <f>""</f>
        <v/>
      </c>
      <c r="G1813" t="str">
        <f t="shared" si="17"/>
        <v>GUARDIAN</v>
      </c>
    </row>
    <row r="1814" spans="5:7" x14ac:dyDescent="0.25">
      <c r="E1814" t="str">
        <f>""</f>
        <v/>
      </c>
      <c r="G1814" t="str">
        <f t="shared" si="17"/>
        <v>GUARDIAN</v>
      </c>
    </row>
    <row r="1815" spans="5:7" x14ac:dyDescent="0.25">
      <c r="E1815" t="str">
        <f>""</f>
        <v/>
      </c>
      <c r="G1815" t="str">
        <f t="shared" si="17"/>
        <v>GUARDIAN</v>
      </c>
    </row>
    <row r="1816" spans="5:7" x14ac:dyDescent="0.25">
      <c r="E1816" t="str">
        <f>""</f>
        <v/>
      </c>
      <c r="G1816" t="str">
        <f t="shared" si="17"/>
        <v>GUARDIAN</v>
      </c>
    </row>
    <row r="1817" spans="5:7" x14ac:dyDescent="0.25">
      <c r="E1817" t="str">
        <f>""</f>
        <v/>
      </c>
      <c r="G1817" t="str">
        <f t="shared" si="17"/>
        <v>GUARDIAN</v>
      </c>
    </row>
    <row r="1818" spans="5:7" x14ac:dyDescent="0.25">
      <c r="E1818" t="str">
        <f>""</f>
        <v/>
      </c>
      <c r="G1818" t="str">
        <f t="shared" si="17"/>
        <v>GUARDIAN</v>
      </c>
    </row>
    <row r="1819" spans="5:7" x14ac:dyDescent="0.25">
      <c r="E1819" t="str">
        <f>""</f>
        <v/>
      </c>
      <c r="G1819" t="str">
        <f t="shared" si="17"/>
        <v>GUARDIAN</v>
      </c>
    </row>
    <row r="1820" spans="5:7" x14ac:dyDescent="0.25">
      <c r="E1820" t="str">
        <f>""</f>
        <v/>
      </c>
      <c r="G1820" t="str">
        <f t="shared" si="17"/>
        <v>GUARDIAN</v>
      </c>
    </row>
    <row r="1821" spans="5:7" x14ac:dyDescent="0.25">
      <c r="E1821" t="str">
        <f>""</f>
        <v/>
      </c>
      <c r="G1821" t="str">
        <f t="shared" si="17"/>
        <v>GUARDIAN</v>
      </c>
    </row>
    <row r="1822" spans="5:7" x14ac:dyDescent="0.25">
      <c r="E1822" t="str">
        <f>""</f>
        <v/>
      </c>
      <c r="G1822" t="str">
        <f t="shared" si="17"/>
        <v>GUARDIAN</v>
      </c>
    </row>
    <row r="1823" spans="5:7" x14ac:dyDescent="0.25">
      <c r="E1823" t="str">
        <f>""</f>
        <v/>
      </c>
      <c r="G1823" t="str">
        <f t="shared" si="17"/>
        <v>GUARDIAN</v>
      </c>
    </row>
    <row r="1824" spans="5:7" x14ac:dyDescent="0.25">
      <c r="E1824" t="str">
        <f>""</f>
        <v/>
      </c>
      <c r="G1824" t="str">
        <f t="shared" si="17"/>
        <v>GUARDIAN</v>
      </c>
    </row>
    <row r="1825" spans="5:7" x14ac:dyDescent="0.25">
      <c r="E1825" t="str">
        <f>""</f>
        <v/>
      </c>
      <c r="G1825" t="str">
        <f t="shared" si="17"/>
        <v>GUARDIAN</v>
      </c>
    </row>
    <row r="1826" spans="5:7" x14ac:dyDescent="0.25">
      <c r="E1826" t="str">
        <f>""</f>
        <v/>
      </c>
      <c r="G1826" t="str">
        <f t="shared" si="17"/>
        <v>GUARDIAN</v>
      </c>
    </row>
    <row r="1827" spans="5:7" x14ac:dyDescent="0.25">
      <c r="E1827" t="str">
        <f>""</f>
        <v/>
      </c>
      <c r="G1827" t="str">
        <f t="shared" si="17"/>
        <v>GUARDIAN</v>
      </c>
    </row>
    <row r="1828" spans="5:7" x14ac:dyDescent="0.25">
      <c r="E1828" t="str">
        <f>""</f>
        <v/>
      </c>
      <c r="G1828" t="str">
        <f t="shared" si="17"/>
        <v>GUARDIAN</v>
      </c>
    </row>
    <row r="1829" spans="5:7" x14ac:dyDescent="0.25">
      <c r="E1829" t="str">
        <f>""</f>
        <v/>
      </c>
      <c r="G1829" t="str">
        <f t="shared" si="17"/>
        <v>GUARDIAN</v>
      </c>
    </row>
    <row r="1830" spans="5:7" x14ac:dyDescent="0.25">
      <c r="E1830" t="str">
        <f>""</f>
        <v/>
      </c>
      <c r="G1830" t="str">
        <f t="shared" si="17"/>
        <v>GUARDIAN</v>
      </c>
    </row>
    <row r="1831" spans="5:7" x14ac:dyDescent="0.25">
      <c r="E1831" t="str">
        <f>""</f>
        <v/>
      </c>
      <c r="G1831" t="str">
        <f t="shared" si="17"/>
        <v>GUARDIAN</v>
      </c>
    </row>
    <row r="1832" spans="5:7" x14ac:dyDescent="0.25">
      <c r="E1832" t="str">
        <f>""</f>
        <v/>
      </c>
      <c r="G1832" t="str">
        <f t="shared" si="17"/>
        <v>GUARDIAN</v>
      </c>
    </row>
    <row r="1833" spans="5:7" x14ac:dyDescent="0.25">
      <c r="E1833" t="str">
        <f>""</f>
        <v/>
      </c>
      <c r="G1833" t="str">
        <f t="shared" si="17"/>
        <v>GUARDIAN</v>
      </c>
    </row>
    <row r="1834" spans="5:7" x14ac:dyDescent="0.25">
      <c r="E1834" t="str">
        <f>""</f>
        <v/>
      </c>
      <c r="G1834" t="str">
        <f t="shared" si="17"/>
        <v>GUARDIAN</v>
      </c>
    </row>
    <row r="1835" spans="5:7" x14ac:dyDescent="0.25">
      <c r="E1835" t="str">
        <f>""</f>
        <v/>
      </c>
      <c r="G1835" t="str">
        <f t="shared" si="17"/>
        <v>GUARDIAN</v>
      </c>
    </row>
    <row r="1836" spans="5:7" x14ac:dyDescent="0.25">
      <c r="E1836" t="str">
        <f>""</f>
        <v/>
      </c>
      <c r="G1836" t="str">
        <f t="shared" si="17"/>
        <v>GUARDIAN</v>
      </c>
    </row>
    <row r="1837" spans="5:7" x14ac:dyDescent="0.25">
      <c r="E1837" t="str">
        <f>""</f>
        <v/>
      </c>
      <c r="G1837" t="str">
        <f t="shared" si="17"/>
        <v>GUARDIAN</v>
      </c>
    </row>
    <row r="1838" spans="5:7" x14ac:dyDescent="0.25">
      <c r="E1838" t="str">
        <f>""</f>
        <v/>
      </c>
      <c r="G1838" t="str">
        <f t="shared" si="17"/>
        <v>GUARDIAN</v>
      </c>
    </row>
    <row r="1839" spans="5:7" x14ac:dyDescent="0.25">
      <c r="E1839" t="str">
        <f>""</f>
        <v/>
      </c>
      <c r="G1839" t="str">
        <f t="shared" si="17"/>
        <v>GUARDIAN</v>
      </c>
    </row>
    <row r="1840" spans="5:7" x14ac:dyDescent="0.25">
      <c r="E1840" t="str">
        <f>""</f>
        <v/>
      </c>
      <c r="G1840" t="str">
        <f t="shared" si="17"/>
        <v>GUARDIAN</v>
      </c>
    </row>
    <row r="1841" spans="5:7" x14ac:dyDescent="0.25">
      <c r="E1841" t="str">
        <f>"GUARDIAN"</f>
        <v>GUARDIAN</v>
      </c>
      <c r="F1841" s="2">
        <v>135.84</v>
      </c>
      <c r="G1841" t="str">
        <f t="shared" si="17"/>
        <v>GUARDIAN</v>
      </c>
    </row>
    <row r="1842" spans="5:7" x14ac:dyDescent="0.25">
      <c r="E1842" t="str">
        <f>""</f>
        <v/>
      </c>
      <c r="G1842" t="str">
        <f t="shared" si="17"/>
        <v>GUARDIAN</v>
      </c>
    </row>
    <row r="1843" spans="5:7" x14ac:dyDescent="0.25">
      <c r="E1843" t="str">
        <f>"GUARDIAN"</f>
        <v>GUARDIAN</v>
      </c>
      <c r="F1843" s="2">
        <v>2648.88</v>
      </c>
      <c r="G1843" t="str">
        <f t="shared" si="17"/>
        <v>GUARDIAN</v>
      </c>
    </row>
    <row r="1844" spans="5:7" x14ac:dyDescent="0.25">
      <c r="E1844" t="str">
        <f>""</f>
        <v/>
      </c>
      <c r="G1844" t="str">
        <f t="shared" si="17"/>
        <v>GUARDIAN</v>
      </c>
    </row>
    <row r="1845" spans="5:7" x14ac:dyDescent="0.25">
      <c r="E1845" t="str">
        <f>""</f>
        <v/>
      </c>
      <c r="G1845" t="str">
        <f t="shared" si="17"/>
        <v>GUARDIAN</v>
      </c>
    </row>
    <row r="1846" spans="5:7" x14ac:dyDescent="0.25">
      <c r="E1846" t="str">
        <f>""</f>
        <v/>
      </c>
      <c r="G1846" t="str">
        <f t="shared" si="17"/>
        <v>GUARDIAN</v>
      </c>
    </row>
    <row r="1847" spans="5:7" x14ac:dyDescent="0.25">
      <c r="E1847" t="str">
        <f>""</f>
        <v/>
      </c>
      <c r="G1847" t="str">
        <f t="shared" si="17"/>
        <v>GUARDIAN</v>
      </c>
    </row>
    <row r="1848" spans="5:7" x14ac:dyDescent="0.25">
      <c r="E1848" t="str">
        <f>""</f>
        <v/>
      </c>
      <c r="G1848" t="str">
        <f t="shared" si="17"/>
        <v>GUARDIAN</v>
      </c>
    </row>
    <row r="1849" spans="5:7" x14ac:dyDescent="0.25">
      <c r="E1849" t="str">
        <f>""</f>
        <v/>
      </c>
      <c r="G1849" t="str">
        <f t="shared" si="17"/>
        <v>GUARDIAN</v>
      </c>
    </row>
    <row r="1850" spans="5:7" x14ac:dyDescent="0.25">
      <c r="E1850" t="str">
        <f>""</f>
        <v/>
      </c>
      <c r="G1850" t="str">
        <f t="shared" si="17"/>
        <v>GUARDIAN</v>
      </c>
    </row>
    <row r="1851" spans="5:7" x14ac:dyDescent="0.25">
      <c r="E1851" t="str">
        <f>""</f>
        <v/>
      </c>
      <c r="G1851" t="str">
        <f t="shared" si="17"/>
        <v>GUARDIAN</v>
      </c>
    </row>
    <row r="1852" spans="5:7" x14ac:dyDescent="0.25">
      <c r="E1852" t="str">
        <f>""</f>
        <v/>
      </c>
      <c r="G1852" t="str">
        <f t="shared" si="17"/>
        <v>GUARDIAN</v>
      </c>
    </row>
    <row r="1853" spans="5:7" x14ac:dyDescent="0.25">
      <c r="E1853" t="str">
        <f>""</f>
        <v/>
      </c>
      <c r="G1853" t="str">
        <f t="shared" si="17"/>
        <v>GUARDIAN</v>
      </c>
    </row>
    <row r="1854" spans="5:7" x14ac:dyDescent="0.25">
      <c r="E1854" t="str">
        <f>""</f>
        <v/>
      </c>
      <c r="G1854" t="str">
        <f t="shared" si="17"/>
        <v>GUARDIAN</v>
      </c>
    </row>
    <row r="1855" spans="5:7" x14ac:dyDescent="0.25">
      <c r="E1855" t="str">
        <f>""</f>
        <v/>
      </c>
      <c r="G1855" t="str">
        <f t="shared" si="17"/>
        <v>GUARDIAN</v>
      </c>
    </row>
    <row r="1856" spans="5:7" x14ac:dyDescent="0.25">
      <c r="E1856" t="str">
        <f>""</f>
        <v/>
      </c>
      <c r="G1856" t="str">
        <f t="shared" si="17"/>
        <v>GUARDIAN</v>
      </c>
    </row>
    <row r="1857" spans="5:7" x14ac:dyDescent="0.25">
      <c r="E1857" t="str">
        <f>""</f>
        <v/>
      </c>
      <c r="G1857" t="str">
        <f t="shared" si="17"/>
        <v>GUARDIAN</v>
      </c>
    </row>
    <row r="1858" spans="5:7" x14ac:dyDescent="0.25">
      <c r="E1858" t="str">
        <f>""</f>
        <v/>
      </c>
      <c r="G1858" t="str">
        <f t="shared" si="17"/>
        <v>GUARDIAN</v>
      </c>
    </row>
    <row r="1859" spans="5:7" x14ac:dyDescent="0.25">
      <c r="E1859" t="str">
        <f>""</f>
        <v/>
      </c>
      <c r="G1859" t="str">
        <f t="shared" si="17"/>
        <v>GUARDIAN</v>
      </c>
    </row>
    <row r="1860" spans="5:7" x14ac:dyDescent="0.25">
      <c r="E1860" t="str">
        <f>""</f>
        <v/>
      </c>
      <c r="G1860" t="str">
        <f t="shared" si="17"/>
        <v>GUARDIAN</v>
      </c>
    </row>
    <row r="1861" spans="5:7" x14ac:dyDescent="0.25">
      <c r="E1861" t="str">
        <f>""</f>
        <v/>
      </c>
      <c r="G1861" t="str">
        <f t="shared" si="17"/>
        <v>GUARDIAN</v>
      </c>
    </row>
    <row r="1862" spans="5:7" x14ac:dyDescent="0.25">
      <c r="E1862" t="str">
        <f>""</f>
        <v/>
      </c>
      <c r="G1862" t="str">
        <f t="shared" ref="G1862:G1925" si="18">"GUARDIAN"</f>
        <v>GUARDIAN</v>
      </c>
    </row>
    <row r="1863" spans="5:7" x14ac:dyDescent="0.25">
      <c r="E1863" t="str">
        <f>""</f>
        <v/>
      </c>
      <c r="G1863" t="str">
        <f t="shared" si="18"/>
        <v>GUARDIAN</v>
      </c>
    </row>
    <row r="1864" spans="5:7" x14ac:dyDescent="0.25">
      <c r="E1864" t="str">
        <f>""</f>
        <v/>
      </c>
      <c r="G1864" t="str">
        <f t="shared" si="18"/>
        <v>GUARDIAN</v>
      </c>
    </row>
    <row r="1865" spans="5:7" x14ac:dyDescent="0.25">
      <c r="E1865" t="str">
        <f>""</f>
        <v/>
      </c>
      <c r="G1865" t="str">
        <f t="shared" si="18"/>
        <v>GUARDIAN</v>
      </c>
    </row>
    <row r="1866" spans="5:7" x14ac:dyDescent="0.25">
      <c r="E1866" t="str">
        <f>""</f>
        <v/>
      </c>
      <c r="G1866" t="str">
        <f t="shared" si="18"/>
        <v>GUARDIAN</v>
      </c>
    </row>
    <row r="1867" spans="5:7" x14ac:dyDescent="0.25">
      <c r="E1867" t="str">
        <f>""</f>
        <v/>
      </c>
      <c r="G1867" t="str">
        <f t="shared" si="18"/>
        <v>GUARDIAN</v>
      </c>
    </row>
    <row r="1868" spans="5:7" x14ac:dyDescent="0.25">
      <c r="E1868" t="str">
        <f>""</f>
        <v/>
      </c>
      <c r="G1868" t="str">
        <f t="shared" si="18"/>
        <v>GUARDIAN</v>
      </c>
    </row>
    <row r="1869" spans="5:7" x14ac:dyDescent="0.25">
      <c r="E1869" t="str">
        <f>""</f>
        <v/>
      </c>
      <c r="G1869" t="str">
        <f t="shared" si="18"/>
        <v>GUARDIAN</v>
      </c>
    </row>
    <row r="1870" spans="5:7" x14ac:dyDescent="0.25">
      <c r="E1870" t="str">
        <f>""</f>
        <v/>
      </c>
      <c r="G1870" t="str">
        <f t="shared" si="18"/>
        <v>GUARDIAN</v>
      </c>
    </row>
    <row r="1871" spans="5:7" x14ac:dyDescent="0.25">
      <c r="E1871" t="str">
        <f>""</f>
        <v/>
      </c>
      <c r="G1871" t="str">
        <f t="shared" si="18"/>
        <v>GUARDIAN</v>
      </c>
    </row>
    <row r="1872" spans="5:7" x14ac:dyDescent="0.25">
      <c r="E1872" t="str">
        <f>""</f>
        <v/>
      </c>
      <c r="G1872" t="str">
        <f t="shared" si="18"/>
        <v>GUARDIAN</v>
      </c>
    </row>
    <row r="1873" spans="5:7" x14ac:dyDescent="0.25">
      <c r="E1873" t="str">
        <f>""</f>
        <v/>
      </c>
      <c r="G1873" t="str">
        <f t="shared" si="18"/>
        <v>GUARDIAN</v>
      </c>
    </row>
    <row r="1874" spans="5:7" x14ac:dyDescent="0.25">
      <c r="E1874" t="str">
        <f>"GUARDIAN"</f>
        <v>GUARDIAN</v>
      </c>
      <c r="F1874" s="2">
        <v>135.84</v>
      </c>
      <c r="G1874" t="str">
        <f t="shared" si="18"/>
        <v>GUARDIAN</v>
      </c>
    </row>
    <row r="1875" spans="5:7" x14ac:dyDescent="0.25">
      <c r="E1875" t="str">
        <f>""</f>
        <v/>
      </c>
      <c r="G1875" t="str">
        <f t="shared" si="18"/>
        <v>GUARDIAN</v>
      </c>
    </row>
    <row r="1876" spans="5:7" x14ac:dyDescent="0.25">
      <c r="E1876" t="str">
        <f>"GUARDIAN"</f>
        <v>GUARDIAN</v>
      </c>
      <c r="F1876" s="2">
        <v>4247.6400000000003</v>
      </c>
      <c r="G1876" t="str">
        <f t="shared" si="18"/>
        <v>GUARDIAN</v>
      </c>
    </row>
    <row r="1877" spans="5:7" x14ac:dyDescent="0.25">
      <c r="E1877" t="str">
        <f>""</f>
        <v/>
      </c>
      <c r="G1877" t="str">
        <f t="shared" si="18"/>
        <v>GUARDIAN</v>
      </c>
    </row>
    <row r="1878" spans="5:7" x14ac:dyDescent="0.25">
      <c r="E1878" t="str">
        <f>""</f>
        <v/>
      </c>
      <c r="G1878" t="str">
        <f t="shared" si="18"/>
        <v>GUARDIAN</v>
      </c>
    </row>
    <row r="1879" spans="5:7" x14ac:dyDescent="0.25">
      <c r="E1879" t="str">
        <f>""</f>
        <v/>
      </c>
      <c r="G1879" t="str">
        <f t="shared" si="18"/>
        <v>GUARDIAN</v>
      </c>
    </row>
    <row r="1880" spans="5:7" x14ac:dyDescent="0.25">
      <c r="E1880" t="str">
        <f>""</f>
        <v/>
      </c>
      <c r="G1880" t="str">
        <f t="shared" si="18"/>
        <v>GUARDIAN</v>
      </c>
    </row>
    <row r="1881" spans="5:7" x14ac:dyDescent="0.25">
      <c r="E1881" t="str">
        <f>""</f>
        <v/>
      </c>
      <c r="G1881" t="str">
        <f t="shared" si="18"/>
        <v>GUARDIAN</v>
      </c>
    </row>
    <row r="1882" spans="5:7" x14ac:dyDescent="0.25">
      <c r="E1882" t="str">
        <f>""</f>
        <v/>
      </c>
      <c r="G1882" t="str">
        <f t="shared" si="18"/>
        <v>GUARDIAN</v>
      </c>
    </row>
    <row r="1883" spans="5:7" x14ac:dyDescent="0.25">
      <c r="E1883" t="str">
        <f>""</f>
        <v/>
      </c>
      <c r="G1883" t="str">
        <f t="shared" si="18"/>
        <v>GUARDIAN</v>
      </c>
    </row>
    <row r="1884" spans="5:7" x14ac:dyDescent="0.25">
      <c r="E1884" t="str">
        <f>""</f>
        <v/>
      </c>
      <c r="G1884" t="str">
        <f t="shared" si="18"/>
        <v>GUARDIAN</v>
      </c>
    </row>
    <row r="1885" spans="5:7" x14ac:dyDescent="0.25">
      <c r="E1885" t="str">
        <f>""</f>
        <v/>
      </c>
      <c r="G1885" t="str">
        <f t="shared" si="18"/>
        <v>GUARDIAN</v>
      </c>
    </row>
    <row r="1886" spans="5:7" x14ac:dyDescent="0.25">
      <c r="E1886" t="str">
        <f>""</f>
        <v/>
      </c>
      <c r="G1886" t="str">
        <f t="shared" si="18"/>
        <v>GUARDIAN</v>
      </c>
    </row>
    <row r="1887" spans="5:7" x14ac:dyDescent="0.25">
      <c r="E1887" t="str">
        <f>""</f>
        <v/>
      </c>
      <c r="G1887" t="str">
        <f t="shared" si="18"/>
        <v>GUARDIAN</v>
      </c>
    </row>
    <row r="1888" spans="5:7" x14ac:dyDescent="0.25">
      <c r="E1888" t="str">
        <f>""</f>
        <v/>
      </c>
      <c r="G1888" t="str">
        <f t="shared" si="18"/>
        <v>GUARDIAN</v>
      </c>
    </row>
    <row r="1889" spans="5:7" x14ac:dyDescent="0.25">
      <c r="E1889" t="str">
        <f>""</f>
        <v/>
      </c>
      <c r="G1889" t="str">
        <f t="shared" si="18"/>
        <v>GUARDIAN</v>
      </c>
    </row>
    <row r="1890" spans="5:7" x14ac:dyDescent="0.25">
      <c r="E1890" t="str">
        <f>""</f>
        <v/>
      </c>
      <c r="G1890" t="str">
        <f t="shared" si="18"/>
        <v>GUARDIAN</v>
      </c>
    </row>
    <row r="1891" spans="5:7" x14ac:dyDescent="0.25">
      <c r="E1891" t="str">
        <f>""</f>
        <v/>
      </c>
      <c r="G1891" t="str">
        <f t="shared" si="18"/>
        <v>GUARDIAN</v>
      </c>
    </row>
    <row r="1892" spans="5:7" x14ac:dyDescent="0.25">
      <c r="E1892" t="str">
        <f>""</f>
        <v/>
      </c>
      <c r="G1892" t="str">
        <f t="shared" si="18"/>
        <v>GUARDIAN</v>
      </c>
    </row>
    <row r="1893" spans="5:7" x14ac:dyDescent="0.25">
      <c r="E1893" t="str">
        <f>""</f>
        <v/>
      </c>
      <c r="G1893" t="str">
        <f t="shared" si="18"/>
        <v>GUARDIAN</v>
      </c>
    </row>
    <row r="1894" spans="5:7" x14ac:dyDescent="0.25">
      <c r="E1894" t="str">
        <f>""</f>
        <v/>
      </c>
      <c r="G1894" t="str">
        <f t="shared" si="18"/>
        <v>GUARDIAN</v>
      </c>
    </row>
    <row r="1895" spans="5:7" x14ac:dyDescent="0.25">
      <c r="E1895" t="str">
        <f>""</f>
        <v/>
      </c>
      <c r="G1895" t="str">
        <f t="shared" si="18"/>
        <v>GUARDIAN</v>
      </c>
    </row>
    <row r="1896" spans="5:7" x14ac:dyDescent="0.25">
      <c r="E1896" t="str">
        <f>""</f>
        <v/>
      </c>
      <c r="G1896" t="str">
        <f t="shared" si="18"/>
        <v>GUARDIAN</v>
      </c>
    </row>
    <row r="1897" spans="5:7" x14ac:dyDescent="0.25">
      <c r="E1897" t="str">
        <f>""</f>
        <v/>
      </c>
      <c r="G1897" t="str">
        <f t="shared" si="18"/>
        <v>GUARDIAN</v>
      </c>
    </row>
    <row r="1898" spans="5:7" x14ac:dyDescent="0.25">
      <c r="E1898" t="str">
        <f>""</f>
        <v/>
      </c>
      <c r="G1898" t="str">
        <f t="shared" si="18"/>
        <v>GUARDIAN</v>
      </c>
    </row>
    <row r="1899" spans="5:7" x14ac:dyDescent="0.25">
      <c r="E1899" t="str">
        <f>""</f>
        <v/>
      </c>
      <c r="G1899" t="str">
        <f t="shared" si="18"/>
        <v>GUARDIAN</v>
      </c>
    </row>
    <row r="1900" spans="5:7" x14ac:dyDescent="0.25">
      <c r="E1900" t="str">
        <f>""</f>
        <v/>
      </c>
      <c r="G1900" t="str">
        <f t="shared" si="18"/>
        <v>GUARDIAN</v>
      </c>
    </row>
    <row r="1901" spans="5:7" x14ac:dyDescent="0.25">
      <c r="E1901" t="str">
        <f>""</f>
        <v/>
      </c>
      <c r="G1901" t="str">
        <f t="shared" si="18"/>
        <v>GUARDIAN</v>
      </c>
    </row>
    <row r="1902" spans="5:7" x14ac:dyDescent="0.25">
      <c r="E1902" t="str">
        <f>""</f>
        <v/>
      </c>
      <c r="G1902" t="str">
        <f t="shared" si="18"/>
        <v>GUARDIAN</v>
      </c>
    </row>
    <row r="1903" spans="5:7" x14ac:dyDescent="0.25">
      <c r="E1903" t="str">
        <f>""</f>
        <v/>
      </c>
      <c r="G1903" t="str">
        <f t="shared" si="18"/>
        <v>GUARDIAN</v>
      </c>
    </row>
    <row r="1904" spans="5:7" x14ac:dyDescent="0.25">
      <c r="E1904" t="str">
        <f>""</f>
        <v/>
      </c>
      <c r="G1904" t="str">
        <f t="shared" si="18"/>
        <v>GUARDIAN</v>
      </c>
    </row>
    <row r="1905" spans="5:7" x14ac:dyDescent="0.25">
      <c r="E1905" t="str">
        <f>""</f>
        <v/>
      </c>
      <c r="G1905" t="str">
        <f t="shared" si="18"/>
        <v>GUARDIAN</v>
      </c>
    </row>
    <row r="1906" spans="5:7" x14ac:dyDescent="0.25">
      <c r="E1906" t="str">
        <f>""</f>
        <v/>
      </c>
      <c r="G1906" t="str">
        <f t="shared" si="18"/>
        <v>GUARDIAN</v>
      </c>
    </row>
    <row r="1907" spans="5:7" x14ac:dyDescent="0.25">
      <c r="E1907" t="str">
        <f>""</f>
        <v/>
      </c>
      <c r="G1907" t="str">
        <f t="shared" si="18"/>
        <v>GUARDIAN</v>
      </c>
    </row>
    <row r="1908" spans="5:7" x14ac:dyDescent="0.25">
      <c r="E1908" t="str">
        <f>""</f>
        <v/>
      </c>
      <c r="G1908" t="str">
        <f t="shared" si="18"/>
        <v>GUARDIAN</v>
      </c>
    </row>
    <row r="1909" spans="5:7" x14ac:dyDescent="0.25">
      <c r="E1909" t="str">
        <f>""</f>
        <v/>
      </c>
      <c r="G1909" t="str">
        <f t="shared" si="18"/>
        <v>GUARDIAN</v>
      </c>
    </row>
    <row r="1910" spans="5:7" x14ac:dyDescent="0.25">
      <c r="E1910" t="str">
        <f>""</f>
        <v/>
      </c>
      <c r="G1910" t="str">
        <f t="shared" si="18"/>
        <v>GUARDIAN</v>
      </c>
    </row>
    <row r="1911" spans="5:7" x14ac:dyDescent="0.25">
      <c r="E1911" t="str">
        <f>""</f>
        <v/>
      </c>
      <c r="G1911" t="str">
        <f t="shared" si="18"/>
        <v>GUARDIAN</v>
      </c>
    </row>
    <row r="1912" spans="5:7" x14ac:dyDescent="0.25">
      <c r="E1912" t="str">
        <f>""</f>
        <v/>
      </c>
      <c r="G1912" t="str">
        <f t="shared" si="18"/>
        <v>GUARDIAN</v>
      </c>
    </row>
    <row r="1913" spans="5:7" x14ac:dyDescent="0.25">
      <c r="E1913" t="str">
        <f>""</f>
        <v/>
      </c>
      <c r="G1913" t="str">
        <f t="shared" si="18"/>
        <v>GUARDIAN</v>
      </c>
    </row>
    <row r="1914" spans="5:7" x14ac:dyDescent="0.25">
      <c r="E1914" t="str">
        <f>""</f>
        <v/>
      </c>
      <c r="G1914" t="str">
        <f t="shared" si="18"/>
        <v>GUARDIAN</v>
      </c>
    </row>
    <row r="1915" spans="5:7" x14ac:dyDescent="0.25">
      <c r="E1915" t="str">
        <f>""</f>
        <v/>
      </c>
      <c r="G1915" t="str">
        <f t="shared" si="18"/>
        <v>GUARDIAN</v>
      </c>
    </row>
    <row r="1916" spans="5:7" x14ac:dyDescent="0.25">
      <c r="E1916" t="str">
        <f>""</f>
        <v/>
      </c>
      <c r="G1916" t="str">
        <f t="shared" si="18"/>
        <v>GUARDIAN</v>
      </c>
    </row>
    <row r="1917" spans="5:7" x14ac:dyDescent="0.25">
      <c r="E1917" t="str">
        <f>""</f>
        <v/>
      </c>
      <c r="G1917" t="str">
        <f t="shared" si="18"/>
        <v>GUARDIAN</v>
      </c>
    </row>
    <row r="1918" spans="5:7" x14ac:dyDescent="0.25">
      <c r="E1918" t="str">
        <f>""</f>
        <v/>
      </c>
      <c r="G1918" t="str">
        <f t="shared" si="18"/>
        <v>GUARDIAN</v>
      </c>
    </row>
    <row r="1919" spans="5:7" x14ac:dyDescent="0.25">
      <c r="E1919" t="str">
        <f>""</f>
        <v/>
      </c>
      <c r="G1919" t="str">
        <f t="shared" si="18"/>
        <v>GUARDIAN</v>
      </c>
    </row>
    <row r="1920" spans="5:7" x14ac:dyDescent="0.25">
      <c r="E1920" t="str">
        <f>"GUARDIAN"</f>
        <v>GUARDIAN</v>
      </c>
      <c r="F1920" s="2">
        <v>169.29</v>
      </c>
      <c r="G1920" t="str">
        <f t="shared" si="18"/>
        <v>GUARDIAN</v>
      </c>
    </row>
    <row r="1921" spans="5:7" x14ac:dyDescent="0.25">
      <c r="E1921" t="str">
        <f>"GUARDIAN"</f>
        <v>GUARDIAN</v>
      </c>
      <c r="F1921" s="2">
        <v>4216.8599999999997</v>
      </c>
      <c r="G1921" t="str">
        <f t="shared" si="18"/>
        <v>GUARDIAN</v>
      </c>
    </row>
    <row r="1922" spans="5:7" x14ac:dyDescent="0.25">
      <c r="E1922" t="str">
        <f>""</f>
        <v/>
      </c>
      <c r="G1922" t="str">
        <f t="shared" si="18"/>
        <v>GUARDIAN</v>
      </c>
    </row>
    <row r="1923" spans="5:7" x14ac:dyDescent="0.25">
      <c r="E1923" t="str">
        <f>""</f>
        <v/>
      </c>
      <c r="G1923" t="str">
        <f t="shared" si="18"/>
        <v>GUARDIAN</v>
      </c>
    </row>
    <row r="1924" spans="5:7" x14ac:dyDescent="0.25">
      <c r="E1924" t="str">
        <f>""</f>
        <v/>
      </c>
      <c r="G1924" t="str">
        <f t="shared" si="18"/>
        <v>GUARDIAN</v>
      </c>
    </row>
    <row r="1925" spans="5:7" x14ac:dyDescent="0.25">
      <c r="E1925" t="str">
        <f>""</f>
        <v/>
      </c>
      <c r="G1925" t="str">
        <f t="shared" si="18"/>
        <v>GUARDIAN</v>
      </c>
    </row>
    <row r="1926" spans="5:7" x14ac:dyDescent="0.25">
      <c r="E1926" t="str">
        <f>""</f>
        <v/>
      </c>
      <c r="G1926" t="str">
        <f t="shared" ref="G1926:G1989" si="19">"GUARDIAN"</f>
        <v>GUARDIAN</v>
      </c>
    </row>
    <row r="1927" spans="5:7" x14ac:dyDescent="0.25">
      <c r="E1927" t="str">
        <f>""</f>
        <v/>
      </c>
      <c r="G1927" t="str">
        <f t="shared" si="19"/>
        <v>GUARDIAN</v>
      </c>
    </row>
    <row r="1928" spans="5:7" x14ac:dyDescent="0.25">
      <c r="E1928" t="str">
        <f>""</f>
        <v/>
      </c>
      <c r="G1928" t="str">
        <f t="shared" si="19"/>
        <v>GUARDIAN</v>
      </c>
    </row>
    <row r="1929" spans="5:7" x14ac:dyDescent="0.25">
      <c r="E1929" t="str">
        <f>""</f>
        <v/>
      </c>
      <c r="G1929" t="str">
        <f t="shared" si="19"/>
        <v>GUARDIAN</v>
      </c>
    </row>
    <row r="1930" spans="5:7" x14ac:dyDescent="0.25">
      <c r="E1930" t="str">
        <f>""</f>
        <v/>
      </c>
      <c r="G1930" t="str">
        <f t="shared" si="19"/>
        <v>GUARDIAN</v>
      </c>
    </row>
    <row r="1931" spans="5:7" x14ac:dyDescent="0.25">
      <c r="E1931" t="str">
        <f>""</f>
        <v/>
      </c>
      <c r="G1931" t="str">
        <f t="shared" si="19"/>
        <v>GUARDIAN</v>
      </c>
    </row>
    <row r="1932" spans="5:7" x14ac:dyDescent="0.25">
      <c r="E1932" t="str">
        <f>""</f>
        <v/>
      </c>
      <c r="G1932" t="str">
        <f t="shared" si="19"/>
        <v>GUARDIAN</v>
      </c>
    </row>
    <row r="1933" spans="5:7" x14ac:dyDescent="0.25">
      <c r="E1933" t="str">
        <f>""</f>
        <v/>
      </c>
      <c r="G1933" t="str">
        <f t="shared" si="19"/>
        <v>GUARDIAN</v>
      </c>
    </row>
    <row r="1934" spans="5:7" x14ac:dyDescent="0.25">
      <c r="E1934" t="str">
        <f>""</f>
        <v/>
      </c>
      <c r="G1934" t="str">
        <f t="shared" si="19"/>
        <v>GUARDIAN</v>
      </c>
    </row>
    <row r="1935" spans="5:7" x14ac:dyDescent="0.25">
      <c r="E1935" t="str">
        <f>""</f>
        <v/>
      </c>
      <c r="G1935" t="str">
        <f t="shared" si="19"/>
        <v>GUARDIAN</v>
      </c>
    </row>
    <row r="1936" spans="5:7" x14ac:dyDescent="0.25">
      <c r="E1936" t="str">
        <f>""</f>
        <v/>
      </c>
      <c r="G1936" t="str">
        <f t="shared" si="19"/>
        <v>GUARDIAN</v>
      </c>
    </row>
    <row r="1937" spans="5:7" x14ac:dyDescent="0.25">
      <c r="E1937" t="str">
        <f>""</f>
        <v/>
      </c>
      <c r="G1937" t="str">
        <f t="shared" si="19"/>
        <v>GUARDIAN</v>
      </c>
    </row>
    <row r="1938" spans="5:7" x14ac:dyDescent="0.25">
      <c r="E1938" t="str">
        <f>""</f>
        <v/>
      </c>
      <c r="G1938" t="str">
        <f t="shared" si="19"/>
        <v>GUARDIAN</v>
      </c>
    </row>
    <row r="1939" spans="5:7" x14ac:dyDescent="0.25">
      <c r="E1939" t="str">
        <f>""</f>
        <v/>
      </c>
      <c r="G1939" t="str">
        <f t="shared" si="19"/>
        <v>GUARDIAN</v>
      </c>
    </row>
    <row r="1940" spans="5:7" x14ac:dyDescent="0.25">
      <c r="E1940" t="str">
        <f>""</f>
        <v/>
      </c>
      <c r="G1940" t="str">
        <f t="shared" si="19"/>
        <v>GUARDIAN</v>
      </c>
    </row>
    <row r="1941" spans="5:7" x14ac:dyDescent="0.25">
      <c r="E1941" t="str">
        <f>""</f>
        <v/>
      </c>
      <c r="G1941" t="str">
        <f t="shared" si="19"/>
        <v>GUARDIAN</v>
      </c>
    </row>
    <row r="1942" spans="5:7" x14ac:dyDescent="0.25">
      <c r="E1942" t="str">
        <f>""</f>
        <v/>
      </c>
      <c r="G1942" t="str">
        <f t="shared" si="19"/>
        <v>GUARDIAN</v>
      </c>
    </row>
    <row r="1943" spans="5:7" x14ac:dyDescent="0.25">
      <c r="E1943" t="str">
        <f>""</f>
        <v/>
      </c>
      <c r="G1943" t="str">
        <f t="shared" si="19"/>
        <v>GUARDIAN</v>
      </c>
    </row>
    <row r="1944" spans="5:7" x14ac:dyDescent="0.25">
      <c r="E1944" t="str">
        <f>""</f>
        <v/>
      </c>
      <c r="G1944" t="str">
        <f t="shared" si="19"/>
        <v>GUARDIAN</v>
      </c>
    </row>
    <row r="1945" spans="5:7" x14ac:dyDescent="0.25">
      <c r="E1945" t="str">
        <f>""</f>
        <v/>
      </c>
      <c r="G1945" t="str">
        <f t="shared" si="19"/>
        <v>GUARDIAN</v>
      </c>
    </row>
    <row r="1946" spans="5:7" x14ac:dyDescent="0.25">
      <c r="E1946" t="str">
        <f>""</f>
        <v/>
      </c>
      <c r="G1946" t="str">
        <f t="shared" si="19"/>
        <v>GUARDIAN</v>
      </c>
    </row>
    <row r="1947" spans="5:7" x14ac:dyDescent="0.25">
      <c r="E1947" t="str">
        <f>""</f>
        <v/>
      </c>
      <c r="G1947" t="str">
        <f t="shared" si="19"/>
        <v>GUARDIAN</v>
      </c>
    </row>
    <row r="1948" spans="5:7" x14ac:dyDescent="0.25">
      <c r="E1948" t="str">
        <f>""</f>
        <v/>
      </c>
      <c r="G1948" t="str">
        <f t="shared" si="19"/>
        <v>GUARDIAN</v>
      </c>
    </row>
    <row r="1949" spans="5:7" x14ac:dyDescent="0.25">
      <c r="E1949" t="str">
        <f>""</f>
        <v/>
      </c>
      <c r="G1949" t="str">
        <f t="shared" si="19"/>
        <v>GUARDIAN</v>
      </c>
    </row>
    <row r="1950" spans="5:7" x14ac:dyDescent="0.25">
      <c r="E1950" t="str">
        <f>""</f>
        <v/>
      </c>
      <c r="G1950" t="str">
        <f t="shared" si="19"/>
        <v>GUARDIAN</v>
      </c>
    </row>
    <row r="1951" spans="5:7" x14ac:dyDescent="0.25">
      <c r="E1951" t="str">
        <f>""</f>
        <v/>
      </c>
      <c r="G1951" t="str">
        <f t="shared" si="19"/>
        <v>GUARDIAN</v>
      </c>
    </row>
    <row r="1952" spans="5:7" x14ac:dyDescent="0.25">
      <c r="E1952" t="str">
        <f>""</f>
        <v/>
      </c>
      <c r="G1952" t="str">
        <f t="shared" si="19"/>
        <v>GUARDIAN</v>
      </c>
    </row>
    <row r="1953" spans="5:7" x14ac:dyDescent="0.25">
      <c r="E1953" t="str">
        <f>""</f>
        <v/>
      </c>
      <c r="G1953" t="str">
        <f t="shared" si="19"/>
        <v>GUARDIAN</v>
      </c>
    </row>
    <row r="1954" spans="5:7" x14ac:dyDescent="0.25">
      <c r="E1954" t="str">
        <f>""</f>
        <v/>
      </c>
      <c r="G1954" t="str">
        <f t="shared" si="19"/>
        <v>GUARDIAN</v>
      </c>
    </row>
    <row r="1955" spans="5:7" x14ac:dyDescent="0.25">
      <c r="E1955" t="str">
        <f>""</f>
        <v/>
      </c>
      <c r="G1955" t="str">
        <f t="shared" si="19"/>
        <v>GUARDIAN</v>
      </c>
    </row>
    <row r="1956" spans="5:7" x14ac:dyDescent="0.25">
      <c r="E1956" t="str">
        <f>""</f>
        <v/>
      </c>
      <c r="G1956" t="str">
        <f t="shared" si="19"/>
        <v>GUARDIAN</v>
      </c>
    </row>
    <row r="1957" spans="5:7" x14ac:dyDescent="0.25">
      <c r="E1957" t="str">
        <f>""</f>
        <v/>
      </c>
      <c r="G1957" t="str">
        <f t="shared" si="19"/>
        <v>GUARDIAN</v>
      </c>
    </row>
    <row r="1958" spans="5:7" x14ac:dyDescent="0.25">
      <c r="E1958" t="str">
        <f>""</f>
        <v/>
      </c>
      <c r="G1958" t="str">
        <f t="shared" si="19"/>
        <v>GUARDIAN</v>
      </c>
    </row>
    <row r="1959" spans="5:7" x14ac:dyDescent="0.25">
      <c r="E1959" t="str">
        <f>""</f>
        <v/>
      </c>
      <c r="G1959" t="str">
        <f t="shared" si="19"/>
        <v>GUARDIAN</v>
      </c>
    </row>
    <row r="1960" spans="5:7" x14ac:dyDescent="0.25">
      <c r="E1960" t="str">
        <f>""</f>
        <v/>
      </c>
      <c r="G1960" t="str">
        <f t="shared" si="19"/>
        <v>GUARDIAN</v>
      </c>
    </row>
    <row r="1961" spans="5:7" x14ac:dyDescent="0.25">
      <c r="E1961" t="str">
        <f>""</f>
        <v/>
      </c>
      <c r="G1961" t="str">
        <f t="shared" si="19"/>
        <v>GUARDIAN</v>
      </c>
    </row>
    <row r="1962" spans="5:7" x14ac:dyDescent="0.25">
      <c r="E1962" t="str">
        <f>""</f>
        <v/>
      </c>
      <c r="G1962" t="str">
        <f t="shared" si="19"/>
        <v>GUARDIAN</v>
      </c>
    </row>
    <row r="1963" spans="5:7" x14ac:dyDescent="0.25">
      <c r="E1963" t="str">
        <f>""</f>
        <v/>
      </c>
      <c r="G1963" t="str">
        <f t="shared" si="19"/>
        <v>GUARDIAN</v>
      </c>
    </row>
    <row r="1964" spans="5:7" x14ac:dyDescent="0.25">
      <c r="E1964" t="str">
        <f>""</f>
        <v/>
      </c>
      <c r="G1964" t="str">
        <f t="shared" si="19"/>
        <v>GUARDIAN</v>
      </c>
    </row>
    <row r="1965" spans="5:7" x14ac:dyDescent="0.25">
      <c r="E1965" t="str">
        <f>""</f>
        <v/>
      </c>
      <c r="G1965" t="str">
        <f t="shared" si="19"/>
        <v>GUARDIAN</v>
      </c>
    </row>
    <row r="1966" spans="5:7" x14ac:dyDescent="0.25">
      <c r="E1966" t="str">
        <f>"GUARDIAN"</f>
        <v>GUARDIAN</v>
      </c>
      <c r="F1966" s="2">
        <v>169.29</v>
      </c>
      <c r="G1966" t="str">
        <f t="shared" si="19"/>
        <v>GUARDIAN</v>
      </c>
    </row>
    <row r="1967" spans="5:7" x14ac:dyDescent="0.25">
      <c r="E1967" t="str">
        <f>"GUARDIAN"</f>
        <v>GUARDIAN</v>
      </c>
      <c r="F1967" s="2">
        <v>2274.84</v>
      </c>
      <c r="G1967" t="str">
        <f t="shared" si="19"/>
        <v>GUARDIAN</v>
      </c>
    </row>
    <row r="1968" spans="5:7" x14ac:dyDescent="0.25">
      <c r="E1968" t="str">
        <f>""</f>
        <v/>
      </c>
      <c r="G1968" t="str">
        <f t="shared" si="19"/>
        <v>GUARDIAN</v>
      </c>
    </row>
    <row r="1969" spans="5:7" x14ac:dyDescent="0.25">
      <c r="E1969" t="str">
        <f>""</f>
        <v/>
      </c>
      <c r="G1969" t="str">
        <f t="shared" si="19"/>
        <v>GUARDIAN</v>
      </c>
    </row>
    <row r="1970" spans="5:7" x14ac:dyDescent="0.25">
      <c r="E1970" t="str">
        <f>""</f>
        <v/>
      </c>
      <c r="G1970" t="str">
        <f t="shared" si="19"/>
        <v>GUARDIAN</v>
      </c>
    </row>
    <row r="1971" spans="5:7" x14ac:dyDescent="0.25">
      <c r="E1971" t="str">
        <f>""</f>
        <v/>
      </c>
      <c r="G1971" t="str">
        <f t="shared" si="19"/>
        <v>GUARDIAN</v>
      </c>
    </row>
    <row r="1972" spans="5:7" x14ac:dyDescent="0.25">
      <c r="E1972" t="str">
        <f>""</f>
        <v/>
      </c>
      <c r="G1972" t="str">
        <f t="shared" si="19"/>
        <v>GUARDIAN</v>
      </c>
    </row>
    <row r="1973" spans="5:7" x14ac:dyDescent="0.25">
      <c r="E1973" t="str">
        <f>""</f>
        <v/>
      </c>
      <c r="G1973" t="str">
        <f t="shared" si="19"/>
        <v>GUARDIAN</v>
      </c>
    </row>
    <row r="1974" spans="5:7" x14ac:dyDescent="0.25">
      <c r="E1974" t="str">
        <f>""</f>
        <v/>
      </c>
      <c r="G1974" t="str">
        <f t="shared" si="19"/>
        <v>GUARDIAN</v>
      </c>
    </row>
    <row r="1975" spans="5:7" x14ac:dyDescent="0.25">
      <c r="E1975" t="str">
        <f>""</f>
        <v/>
      </c>
      <c r="G1975" t="str">
        <f t="shared" si="19"/>
        <v>GUARDIAN</v>
      </c>
    </row>
    <row r="1976" spans="5:7" x14ac:dyDescent="0.25">
      <c r="E1976" t="str">
        <f>""</f>
        <v/>
      </c>
      <c r="G1976" t="str">
        <f t="shared" si="19"/>
        <v>GUARDIAN</v>
      </c>
    </row>
    <row r="1977" spans="5:7" x14ac:dyDescent="0.25">
      <c r="E1977" t="str">
        <f>""</f>
        <v/>
      </c>
      <c r="G1977" t="str">
        <f t="shared" si="19"/>
        <v>GUARDIAN</v>
      </c>
    </row>
    <row r="1978" spans="5:7" x14ac:dyDescent="0.25">
      <c r="E1978" t="str">
        <f>""</f>
        <v/>
      </c>
      <c r="G1978" t="str">
        <f t="shared" si="19"/>
        <v>GUARDIAN</v>
      </c>
    </row>
    <row r="1979" spans="5:7" x14ac:dyDescent="0.25">
      <c r="E1979" t="str">
        <f>""</f>
        <v/>
      </c>
      <c r="G1979" t="str">
        <f t="shared" si="19"/>
        <v>GUARDIAN</v>
      </c>
    </row>
    <row r="1980" spans="5:7" x14ac:dyDescent="0.25">
      <c r="E1980" t="str">
        <f>""</f>
        <v/>
      </c>
      <c r="G1980" t="str">
        <f t="shared" si="19"/>
        <v>GUARDIAN</v>
      </c>
    </row>
    <row r="1981" spans="5:7" x14ac:dyDescent="0.25">
      <c r="E1981" t="str">
        <f>""</f>
        <v/>
      </c>
      <c r="G1981" t="str">
        <f t="shared" si="19"/>
        <v>GUARDIAN</v>
      </c>
    </row>
    <row r="1982" spans="5:7" x14ac:dyDescent="0.25">
      <c r="E1982" t="str">
        <f>""</f>
        <v/>
      </c>
      <c r="G1982" t="str">
        <f t="shared" si="19"/>
        <v>GUARDIAN</v>
      </c>
    </row>
    <row r="1983" spans="5:7" x14ac:dyDescent="0.25">
      <c r="E1983" t="str">
        <f>""</f>
        <v/>
      </c>
      <c r="G1983" t="str">
        <f t="shared" si="19"/>
        <v>GUARDIAN</v>
      </c>
    </row>
    <row r="1984" spans="5:7" x14ac:dyDescent="0.25">
      <c r="E1984" t="str">
        <f>""</f>
        <v/>
      </c>
      <c r="G1984" t="str">
        <f t="shared" si="19"/>
        <v>GUARDIAN</v>
      </c>
    </row>
    <row r="1985" spans="5:7" x14ac:dyDescent="0.25">
      <c r="E1985" t="str">
        <f>""</f>
        <v/>
      </c>
      <c r="G1985" t="str">
        <f t="shared" si="19"/>
        <v>GUARDIAN</v>
      </c>
    </row>
    <row r="1986" spans="5:7" x14ac:dyDescent="0.25">
      <c r="E1986" t="str">
        <f>""</f>
        <v/>
      </c>
      <c r="G1986" t="str">
        <f t="shared" si="19"/>
        <v>GUARDIAN</v>
      </c>
    </row>
    <row r="1987" spans="5:7" x14ac:dyDescent="0.25">
      <c r="E1987" t="str">
        <f>""</f>
        <v/>
      </c>
      <c r="G1987" t="str">
        <f t="shared" si="19"/>
        <v>GUARDIAN</v>
      </c>
    </row>
    <row r="1988" spans="5:7" x14ac:dyDescent="0.25">
      <c r="E1988" t="str">
        <f>"GUARDIAN"</f>
        <v>GUARDIAN</v>
      </c>
      <c r="F1988" s="2">
        <v>100.42</v>
      </c>
      <c r="G1988" t="str">
        <f t="shared" si="19"/>
        <v>GUARDIAN</v>
      </c>
    </row>
    <row r="1989" spans="5:7" x14ac:dyDescent="0.25">
      <c r="E1989" t="str">
        <f>""</f>
        <v/>
      </c>
      <c r="G1989" t="str">
        <f t="shared" si="19"/>
        <v>GUARDIAN</v>
      </c>
    </row>
    <row r="1990" spans="5:7" x14ac:dyDescent="0.25">
      <c r="E1990" t="str">
        <f>"GUARDIAN"</f>
        <v>GUARDIAN</v>
      </c>
      <c r="F1990" s="2">
        <v>2244.06</v>
      </c>
      <c r="G1990" t="str">
        <f t="shared" ref="G1990:G2053" si="20">"GUARDIAN"</f>
        <v>GUARDIAN</v>
      </c>
    </row>
    <row r="1991" spans="5:7" x14ac:dyDescent="0.25">
      <c r="E1991" t="str">
        <f>""</f>
        <v/>
      </c>
      <c r="G1991" t="str">
        <f t="shared" si="20"/>
        <v>GUARDIAN</v>
      </c>
    </row>
    <row r="1992" spans="5:7" x14ac:dyDescent="0.25">
      <c r="E1992" t="str">
        <f>""</f>
        <v/>
      </c>
      <c r="G1992" t="str">
        <f t="shared" si="20"/>
        <v>GUARDIAN</v>
      </c>
    </row>
    <row r="1993" spans="5:7" x14ac:dyDescent="0.25">
      <c r="E1993" t="str">
        <f>""</f>
        <v/>
      </c>
      <c r="G1993" t="str">
        <f t="shared" si="20"/>
        <v>GUARDIAN</v>
      </c>
    </row>
    <row r="1994" spans="5:7" x14ac:dyDescent="0.25">
      <c r="E1994" t="str">
        <f>""</f>
        <v/>
      </c>
      <c r="G1994" t="str">
        <f t="shared" si="20"/>
        <v>GUARDIAN</v>
      </c>
    </row>
    <row r="1995" spans="5:7" x14ac:dyDescent="0.25">
      <c r="E1995" t="str">
        <f>""</f>
        <v/>
      </c>
      <c r="G1995" t="str">
        <f t="shared" si="20"/>
        <v>GUARDIAN</v>
      </c>
    </row>
    <row r="1996" spans="5:7" x14ac:dyDescent="0.25">
      <c r="E1996" t="str">
        <f>""</f>
        <v/>
      </c>
      <c r="G1996" t="str">
        <f t="shared" si="20"/>
        <v>GUARDIAN</v>
      </c>
    </row>
    <row r="1997" spans="5:7" x14ac:dyDescent="0.25">
      <c r="E1997" t="str">
        <f>""</f>
        <v/>
      </c>
      <c r="G1997" t="str">
        <f t="shared" si="20"/>
        <v>GUARDIAN</v>
      </c>
    </row>
    <row r="1998" spans="5:7" x14ac:dyDescent="0.25">
      <c r="E1998" t="str">
        <f>""</f>
        <v/>
      </c>
      <c r="G1998" t="str">
        <f t="shared" si="20"/>
        <v>GUARDIAN</v>
      </c>
    </row>
    <row r="1999" spans="5:7" x14ac:dyDescent="0.25">
      <c r="E1999" t="str">
        <f>""</f>
        <v/>
      </c>
      <c r="G1999" t="str">
        <f t="shared" si="20"/>
        <v>GUARDIAN</v>
      </c>
    </row>
    <row r="2000" spans="5:7" x14ac:dyDescent="0.25">
      <c r="E2000" t="str">
        <f>""</f>
        <v/>
      </c>
      <c r="G2000" t="str">
        <f t="shared" si="20"/>
        <v>GUARDIAN</v>
      </c>
    </row>
    <row r="2001" spans="5:7" x14ac:dyDescent="0.25">
      <c r="E2001" t="str">
        <f>""</f>
        <v/>
      </c>
      <c r="G2001" t="str">
        <f t="shared" si="20"/>
        <v>GUARDIAN</v>
      </c>
    </row>
    <row r="2002" spans="5:7" x14ac:dyDescent="0.25">
      <c r="E2002" t="str">
        <f>""</f>
        <v/>
      </c>
      <c r="G2002" t="str">
        <f t="shared" si="20"/>
        <v>GUARDIAN</v>
      </c>
    </row>
    <row r="2003" spans="5:7" x14ac:dyDescent="0.25">
      <c r="E2003" t="str">
        <f>""</f>
        <v/>
      </c>
      <c r="G2003" t="str">
        <f t="shared" si="20"/>
        <v>GUARDIAN</v>
      </c>
    </row>
    <row r="2004" spans="5:7" x14ac:dyDescent="0.25">
      <c r="E2004" t="str">
        <f>""</f>
        <v/>
      </c>
      <c r="G2004" t="str">
        <f t="shared" si="20"/>
        <v>GUARDIAN</v>
      </c>
    </row>
    <row r="2005" spans="5:7" x14ac:dyDescent="0.25">
      <c r="E2005" t="str">
        <f>""</f>
        <v/>
      </c>
      <c r="G2005" t="str">
        <f t="shared" si="20"/>
        <v>GUARDIAN</v>
      </c>
    </row>
    <row r="2006" spans="5:7" x14ac:dyDescent="0.25">
      <c r="E2006" t="str">
        <f>""</f>
        <v/>
      </c>
      <c r="G2006" t="str">
        <f t="shared" si="20"/>
        <v>GUARDIAN</v>
      </c>
    </row>
    <row r="2007" spans="5:7" x14ac:dyDescent="0.25">
      <c r="E2007" t="str">
        <f>""</f>
        <v/>
      </c>
      <c r="G2007" t="str">
        <f t="shared" si="20"/>
        <v>GUARDIAN</v>
      </c>
    </row>
    <row r="2008" spans="5:7" x14ac:dyDescent="0.25">
      <c r="E2008" t="str">
        <f>""</f>
        <v/>
      </c>
      <c r="G2008" t="str">
        <f t="shared" si="20"/>
        <v>GUARDIAN</v>
      </c>
    </row>
    <row r="2009" spans="5:7" x14ac:dyDescent="0.25">
      <c r="E2009" t="str">
        <f>""</f>
        <v/>
      </c>
      <c r="G2009" t="str">
        <f t="shared" si="20"/>
        <v>GUARDIAN</v>
      </c>
    </row>
    <row r="2010" spans="5:7" x14ac:dyDescent="0.25">
      <c r="E2010" t="str">
        <f>""</f>
        <v/>
      </c>
      <c r="G2010" t="str">
        <f t="shared" si="20"/>
        <v>GUARDIAN</v>
      </c>
    </row>
    <row r="2011" spans="5:7" x14ac:dyDescent="0.25">
      <c r="E2011" t="str">
        <f>"GUARDIAN"</f>
        <v>GUARDIAN</v>
      </c>
      <c r="F2011" s="2">
        <v>100.42</v>
      </c>
      <c r="G2011" t="str">
        <f t="shared" si="20"/>
        <v>GUARDIAN</v>
      </c>
    </row>
    <row r="2012" spans="5:7" x14ac:dyDescent="0.25">
      <c r="E2012" t="str">
        <f>""</f>
        <v/>
      </c>
      <c r="G2012" t="str">
        <f t="shared" si="20"/>
        <v>GUARDIAN</v>
      </c>
    </row>
    <row r="2013" spans="5:7" x14ac:dyDescent="0.25">
      <c r="E2013" t="str">
        <f>"GUARDIAN"</f>
        <v>GUARDIAN</v>
      </c>
      <c r="F2013" s="2">
        <v>1923.24</v>
      </c>
      <c r="G2013" t="str">
        <f t="shared" si="20"/>
        <v>GUARDIAN</v>
      </c>
    </row>
    <row r="2014" spans="5:7" x14ac:dyDescent="0.25">
      <c r="E2014" t="str">
        <f>""</f>
        <v/>
      </c>
      <c r="G2014" t="str">
        <f t="shared" si="20"/>
        <v>GUARDIAN</v>
      </c>
    </row>
    <row r="2015" spans="5:7" x14ac:dyDescent="0.25">
      <c r="E2015" t="str">
        <f>""</f>
        <v/>
      </c>
      <c r="G2015" t="str">
        <f t="shared" si="20"/>
        <v>GUARDIAN</v>
      </c>
    </row>
    <row r="2016" spans="5:7" x14ac:dyDescent="0.25">
      <c r="E2016" t="str">
        <f>""</f>
        <v/>
      </c>
      <c r="G2016" t="str">
        <f t="shared" si="20"/>
        <v>GUARDIAN</v>
      </c>
    </row>
    <row r="2017" spans="5:7" x14ac:dyDescent="0.25">
      <c r="E2017" t="str">
        <f>""</f>
        <v/>
      </c>
      <c r="G2017" t="str">
        <f t="shared" si="20"/>
        <v>GUARDIAN</v>
      </c>
    </row>
    <row r="2018" spans="5:7" x14ac:dyDescent="0.25">
      <c r="E2018" t="str">
        <f>""</f>
        <v/>
      </c>
      <c r="G2018" t="str">
        <f t="shared" si="20"/>
        <v>GUARDIAN</v>
      </c>
    </row>
    <row r="2019" spans="5:7" x14ac:dyDescent="0.25">
      <c r="E2019" t="str">
        <f>""</f>
        <v/>
      </c>
      <c r="G2019" t="str">
        <f t="shared" si="20"/>
        <v>GUARDIAN</v>
      </c>
    </row>
    <row r="2020" spans="5:7" x14ac:dyDescent="0.25">
      <c r="E2020" t="str">
        <f>""</f>
        <v/>
      </c>
      <c r="G2020" t="str">
        <f t="shared" si="20"/>
        <v>GUARDIAN</v>
      </c>
    </row>
    <row r="2021" spans="5:7" x14ac:dyDescent="0.25">
      <c r="E2021" t="str">
        <f>""</f>
        <v/>
      </c>
      <c r="G2021" t="str">
        <f t="shared" si="20"/>
        <v>GUARDIAN</v>
      </c>
    </row>
    <row r="2022" spans="5:7" x14ac:dyDescent="0.25">
      <c r="E2022" t="str">
        <f>""</f>
        <v/>
      </c>
      <c r="G2022" t="str">
        <f t="shared" si="20"/>
        <v>GUARDIAN</v>
      </c>
    </row>
    <row r="2023" spans="5:7" x14ac:dyDescent="0.25">
      <c r="E2023" t="str">
        <f>""</f>
        <v/>
      </c>
      <c r="G2023" t="str">
        <f t="shared" si="20"/>
        <v>GUARDIAN</v>
      </c>
    </row>
    <row r="2024" spans="5:7" x14ac:dyDescent="0.25">
      <c r="E2024" t="str">
        <f>""</f>
        <v/>
      </c>
      <c r="G2024" t="str">
        <f t="shared" si="20"/>
        <v>GUARDIAN</v>
      </c>
    </row>
    <row r="2025" spans="5:7" x14ac:dyDescent="0.25">
      <c r="E2025" t="str">
        <f>""</f>
        <v/>
      </c>
      <c r="G2025" t="str">
        <f t="shared" si="20"/>
        <v>GUARDIAN</v>
      </c>
    </row>
    <row r="2026" spans="5:7" x14ac:dyDescent="0.25">
      <c r="E2026" t="str">
        <f>""</f>
        <v/>
      </c>
      <c r="G2026" t="str">
        <f t="shared" si="20"/>
        <v>GUARDIAN</v>
      </c>
    </row>
    <row r="2027" spans="5:7" x14ac:dyDescent="0.25">
      <c r="E2027" t="str">
        <f>""</f>
        <v/>
      </c>
      <c r="G2027" t="str">
        <f t="shared" si="20"/>
        <v>GUARDIAN</v>
      </c>
    </row>
    <row r="2028" spans="5:7" x14ac:dyDescent="0.25">
      <c r="E2028" t="str">
        <f>""</f>
        <v/>
      </c>
      <c r="G2028" t="str">
        <f t="shared" si="20"/>
        <v>GUARDIAN</v>
      </c>
    </row>
    <row r="2029" spans="5:7" x14ac:dyDescent="0.25">
      <c r="E2029" t="str">
        <f>""</f>
        <v/>
      </c>
      <c r="G2029" t="str">
        <f t="shared" si="20"/>
        <v>GUARDIAN</v>
      </c>
    </row>
    <row r="2030" spans="5:7" x14ac:dyDescent="0.25">
      <c r="E2030" t="str">
        <f>""</f>
        <v/>
      </c>
      <c r="G2030" t="str">
        <f t="shared" si="20"/>
        <v>GUARDIAN</v>
      </c>
    </row>
    <row r="2031" spans="5:7" x14ac:dyDescent="0.25">
      <c r="E2031" t="str">
        <f>""</f>
        <v/>
      </c>
      <c r="G2031" t="str">
        <f t="shared" si="20"/>
        <v>GUARDIAN</v>
      </c>
    </row>
    <row r="2032" spans="5:7" x14ac:dyDescent="0.25">
      <c r="E2032" t="str">
        <f>""</f>
        <v/>
      </c>
      <c r="G2032" t="str">
        <f t="shared" si="20"/>
        <v>GUARDIAN</v>
      </c>
    </row>
    <row r="2033" spans="5:7" x14ac:dyDescent="0.25">
      <c r="E2033" t="str">
        <f>""</f>
        <v/>
      </c>
      <c r="G2033" t="str">
        <f t="shared" si="20"/>
        <v>GUARDIAN</v>
      </c>
    </row>
    <row r="2034" spans="5:7" x14ac:dyDescent="0.25">
      <c r="E2034" t="str">
        <f>""</f>
        <v/>
      </c>
      <c r="G2034" t="str">
        <f t="shared" si="20"/>
        <v>GUARDIAN</v>
      </c>
    </row>
    <row r="2035" spans="5:7" x14ac:dyDescent="0.25">
      <c r="E2035" t="str">
        <f>""</f>
        <v/>
      </c>
      <c r="G2035" t="str">
        <f t="shared" si="20"/>
        <v>GUARDIAN</v>
      </c>
    </row>
    <row r="2036" spans="5:7" x14ac:dyDescent="0.25">
      <c r="E2036" t="str">
        <f>""</f>
        <v/>
      </c>
      <c r="G2036" t="str">
        <f t="shared" si="20"/>
        <v>GUARDIAN</v>
      </c>
    </row>
    <row r="2037" spans="5:7" x14ac:dyDescent="0.25">
      <c r="E2037" t="str">
        <f>""</f>
        <v/>
      </c>
      <c r="G2037" t="str">
        <f t="shared" si="20"/>
        <v>GUARDIAN</v>
      </c>
    </row>
    <row r="2038" spans="5:7" x14ac:dyDescent="0.25">
      <c r="E2038" t="str">
        <f>"GUARDIAN"</f>
        <v>GUARDIAN</v>
      </c>
      <c r="F2038" s="2">
        <v>1923.24</v>
      </c>
      <c r="G2038" t="str">
        <f t="shared" si="20"/>
        <v>GUARDIAN</v>
      </c>
    </row>
    <row r="2039" spans="5:7" x14ac:dyDescent="0.25">
      <c r="E2039" t="str">
        <f>""</f>
        <v/>
      </c>
      <c r="G2039" t="str">
        <f t="shared" si="20"/>
        <v>GUARDIAN</v>
      </c>
    </row>
    <row r="2040" spans="5:7" x14ac:dyDescent="0.25">
      <c r="E2040" t="str">
        <f>""</f>
        <v/>
      </c>
      <c r="G2040" t="str">
        <f t="shared" si="20"/>
        <v>GUARDIAN</v>
      </c>
    </row>
    <row r="2041" spans="5:7" x14ac:dyDescent="0.25">
      <c r="E2041" t="str">
        <f>""</f>
        <v/>
      </c>
      <c r="G2041" t="str">
        <f t="shared" si="20"/>
        <v>GUARDIAN</v>
      </c>
    </row>
    <row r="2042" spans="5:7" x14ac:dyDescent="0.25">
      <c r="E2042" t="str">
        <f>""</f>
        <v/>
      </c>
      <c r="G2042" t="str">
        <f t="shared" si="20"/>
        <v>GUARDIAN</v>
      </c>
    </row>
    <row r="2043" spans="5:7" x14ac:dyDescent="0.25">
      <c r="E2043" t="str">
        <f>""</f>
        <v/>
      </c>
      <c r="G2043" t="str">
        <f t="shared" si="20"/>
        <v>GUARDIAN</v>
      </c>
    </row>
    <row r="2044" spans="5:7" x14ac:dyDescent="0.25">
      <c r="E2044" t="str">
        <f>""</f>
        <v/>
      </c>
      <c r="G2044" t="str">
        <f t="shared" si="20"/>
        <v>GUARDIAN</v>
      </c>
    </row>
    <row r="2045" spans="5:7" x14ac:dyDescent="0.25">
      <c r="E2045" t="str">
        <f>""</f>
        <v/>
      </c>
      <c r="G2045" t="str">
        <f t="shared" si="20"/>
        <v>GUARDIAN</v>
      </c>
    </row>
    <row r="2046" spans="5:7" x14ac:dyDescent="0.25">
      <c r="E2046" t="str">
        <f>""</f>
        <v/>
      </c>
      <c r="G2046" t="str">
        <f t="shared" si="20"/>
        <v>GUARDIAN</v>
      </c>
    </row>
    <row r="2047" spans="5:7" x14ac:dyDescent="0.25">
      <c r="E2047" t="str">
        <f>""</f>
        <v/>
      </c>
      <c r="G2047" t="str">
        <f t="shared" si="20"/>
        <v>GUARDIAN</v>
      </c>
    </row>
    <row r="2048" spans="5:7" x14ac:dyDescent="0.25">
      <c r="E2048" t="str">
        <f>""</f>
        <v/>
      </c>
      <c r="G2048" t="str">
        <f t="shared" si="20"/>
        <v>GUARDIAN</v>
      </c>
    </row>
    <row r="2049" spans="5:7" x14ac:dyDescent="0.25">
      <c r="E2049" t="str">
        <f>""</f>
        <v/>
      </c>
      <c r="G2049" t="str">
        <f t="shared" si="20"/>
        <v>GUARDIAN</v>
      </c>
    </row>
    <row r="2050" spans="5:7" x14ac:dyDescent="0.25">
      <c r="E2050" t="str">
        <f>""</f>
        <v/>
      </c>
      <c r="G2050" t="str">
        <f t="shared" si="20"/>
        <v>GUARDIAN</v>
      </c>
    </row>
    <row r="2051" spans="5:7" x14ac:dyDescent="0.25">
      <c r="E2051" t="str">
        <f>""</f>
        <v/>
      </c>
      <c r="G2051" t="str">
        <f t="shared" si="20"/>
        <v>GUARDIAN</v>
      </c>
    </row>
    <row r="2052" spans="5:7" x14ac:dyDescent="0.25">
      <c r="E2052" t="str">
        <f>""</f>
        <v/>
      </c>
      <c r="G2052" t="str">
        <f t="shared" si="20"/>
        <v>GUARDIAN</v>
      </c>
    </row>
    <row r="2053" spans="5:7" x14ac:dyDescent="0.25">
      <c r="E2053" t="str">
        <f>""</f>
        <v/>
      </c>
      <c r="G2053" t="str">
        <f t="shared" si="20"/>
        <v>GUARDIAN</v>
      </c>
    </row>
    <row r="2054" spans="5:7" x14ac:dyDescent="0.25">
      <c r="E2054" t="str">
        <f>""</f>
        <v/>
      </c>
      <c r="G2054" t="str">
        <f t="shared" ref="G2054:G2062" si="21">"GUARDIAN"</f>
        <v>GUARDIAN</v>
      </c>
    </row>
    <row r="2055" spans="5:7" x14ac:dyDescent="0.25">
      <c r="E2055" t="str">
        <f>""</f>
        <v/>
      </c>
      <c r="G2055" t="str">
        <f t="shared" si="21"/>
        <v>GUARDIAN</v>
      </c>
    </row>
    <row r="2056" spans="5:7" x14ac:dyDescent="0.25">
      <c r="E2056" t="str">
        <f>""</f>
        <v/>
      </c>
      <c r="G2056" t="str">
        <f t="shared" si="21"/>
        <v>GUARDIAN</v>
      </c>
    </row>
    <row r="2057" spans="5:7" x14ac:dyDescent="0.25">
      <c r="E2057" t="str">
        <f>""</f>
        <v/>
      </c>
      <c r="G2057" t="str">
        <f t="shared" si="21"/>
        <v>GUARDIAN</v>
      </c>
    </row>
    <row r="2058" spans="5:7" x14ac:dyDescent="0.25">
      <c r="E2058" t="str">
        <f>""</f>
        <v/>
      </c>
      <c r="G2058" t="str">
        <f t="shared" si="21"/>
        <v>GUARDIAN</v>
      </c>
    </row>
    <row r="2059" spans="5:7" x14ac:dyDescent="0.25">
      <c r="E2059" t="str">
        <f>""</f>
        <v/>
      </c>
      <c r="G2059" t="str">
        <f t="shared" si="21"/>
        <v>GUARDIAN</v>
      </c>
    </row>
    <row r="2060" spans="5:7" x14ac:dyDescent="0.25">
      <c r="E2060" t="str">
        <f>""</f>
        <v/>
      </c>
      <c r="G2060" t="str">
        <f t="shared" si="21"/>
        <v>GUARDIAN</v>
      </c>
    </row>
    <row r="2061" spans="5:7" x14ac:dyDescent="0.25">
      <c r="E2061" t="str">
        <f>""</f>
        <v/>
      </c>
      <c r="G2061" t="str">
        <f t="shared" si="21"/>
        <v>GUARDIAN</v>
      </c>
    </row>
    <row r="2062" spans="5:7" x14ac:dyDescent="0.25">
      <c r="E2062" t="str">
        <f>""</f>
        <v/>
      </c>
      <c r="G2062" t="str">
        <f t="shared" si="21"/>
        <v>GUARDIAN</v>
      </c>
    </row>
    <row r="2063" spans="5:7" x14ac:dyDescent="0.25">
      <c r="E2063" t="str">
        <f>"GUARDIAN VISION"</f>
        <v>GUARDIAN VISION</v>
      </c>
      <c r="F2063" s="2">
        <v>414.4</v>
      </c>
      <c r="G2063" t="str">
        <f>"GUARDIAN VISION"</f>
        <v>GUARDIAN VISION</v>
      </c>
    </row>
    <row r="2064" spans="5:7" x14ac:dyDescent="0.25">
      <c r="E2064" t="str">
        <f>"GUARDIAN VISION"</f>
        <v>GUARDIAN VISION</v>
      </c>
      <c r="F2064" s="2">
        <v>408.8</v>
      </c>
      <c r="G2064" t="str">
        <f>"GUARDIAN VISION"</f>
        <v>GUARDIAN VISION</v>
      </c>
    </row>
    <row r="2065" spans="5:7" x14ac:dyDescent="0.25">
      <c r="E2065" t="str">
        <f>"GUARDIAN VISION VENDOR"</f>
        <v>GUARDIAN VISION VENDOR</v>
      </c>
      <c r="F2065" s="2">
        <v>612.54</v>
      </c>
      <c r="G2065" t="str">
        <f>"GUARDIAN VISION VENDOR"</f>
        <v>GUARDIAN VISION VENDOR</v>
      </c>
    </row>
    <row r="2066" spans="5:7" x14ac:dyDescent="0.25">
      <c r="E2066" t="str">
        <f>"GUARDIAN VISION VENDOR"</f>
        <v>GUARDIAN VISION VENDOR</v>
      </c>
      <c r="F2066" s="2">
        <v>25.83</v>
      </c>
      <c r="G2066" t="str">
        <f>"GUARDIAN VISION VENDOR"</f>
        <v>GUARDIAN VISION VENDOR</v>
      </c>
    </row>
    <row r="2067" spans="5:7" x14ac:dyDescent="0.25">
      <c r="E2067" t="str">
        <f>"GUARDIAN VISION VENDOR"</f>
        <v>GUARDIAN VISION VENDOR</v>
      </c>
      <c r="F2067" s="2">
        <v>601.47</v>
      </c>
      <c r="G2067" t="str">
        <f>"GUARDIAN VISION VENDOR"</f>
        <v>GUARDIAN VISION VENDOR</v>
      </c>
    </row>
    <row r="2068" spans="5:7" x14ac:dyDescent="0.25">
      <c r="E2068" t="str">
        <f>"GUARDIAN VISION VENDOR"</f>
        <v>GUARDIAN VISION VENDOR</v>
      </c>
      <c r="F2068" s="2">
        <v>29.52</v>
      </c>
      <c r="G2068" t="str">
        <f>"GUARDIAN VISION VENDOR"</f>
        <v>GUARDIAN VISION VENDOR</v>
      </c>
    </row>
    <row r="2069" spans="5:7" x14ac:dyDescent="0.25">
      <c r="E2069" t="str">
        <f>"GUARDIAN VISION"</f>
        <v>GUARDIAN VISION</v>
      </c>
      <c r="F2069" s="2">
        <v>581.15</v>
      </c>
      <c r="G2069" t="str">
        <f>"GUARDIAN VISION"</f>
        <v>GUARDIAN VISION</v>
      </c>
    </row>
    <row r="2070" spans="5:7" x14ac:dyDescent="0.25">
      <c r="E2070" t="str">
        <f>"GUARDIAN VISION VENDOR"</f>
        <v>GUARDIAN VISION VENDOR</v>
      </c>
      <c r="F2070" s="2">
        <v>39.4</v>
      </c>
      <c r="G2070" t="str">
        <f>"GUARDIAN VISION VENDOR"</f>
        <v>GUARDIAN VISION VENDOR</v>
      </c>
    </row>
    <row r="2071" spans="5:7" x14ac:dyDescent="0.25">
      <c r="E2071" t="str">
        <f>"GUARDIAN VISION"</f>
        <v>GUARDIAN VISION</v>
      </c>
      <c r="F2071" s="2">
        <v>581.15</v>
      </c>
      <c r="G2071" t="str">
        <f>"GUARDIAN VISION"</f>
        <v>GUARDIAN VISION</v>
      </c>
    </row>
    <row r="2072" spans="5:7" x14ac:dyDescent="0.25">
      <c r="E2072" t="str">
        <f>"GUARDIAN VISION VENDOR"</f>
        <v>GUARDIAN VISION VENDOR</v>
      </c>
      <c r="F2072" s="2">
        <v>39.4</v>
      </c>
      <c r="G2072" t="str">
        <f>"GUARDIAN VISION VENDOR"</f>
        <v>GUARDIAN VISION VENDOR</v>
      </c>
    </row>
    <row r="2073" spans="5:7" x14ac:dyDescent="0.25">
      <c r="E2073" t="str">
        <f>"GUARDIAN"</f>
        <v>GUARDIAN</v>
      </c>
      <c r="F2073" s="2">
        <v>183.21</v>
      </c>
      <c r="G2073" t="str">
        <f t="shared" ref="G2073:G2104" si="22">"GUARDIAN"</f>
        <v>GUARDIAN</v>
      </c>
    </row>
    <row r="2074" spans="5:7" x14ac:dyDescent="0.25">
      <c r="E2074" t="str">
        <f>""</f>
        <v/>
      </c>
      <c r="G2074" t="str">
        <f t="shared" si="22"/>
        <v>GUARDIAN</v>
      </c>
    </row>
    <row r="2075" spans="5:7" x14ac:dyDescent="0.25">
      <c r="E2075" t="str">
        <f>""</f>
        <v/>
      </c>
      <c r="G2075" t="str">
        <f t="shared" si="22"/>
        <v>GUARDIAN</v>
      </c>
    </row>
    <row r="2076" spans="5:7" x14ac:dyDescent="0.25">
      <c r="E2076" t="str">
        <f>""</f>
        <v/>
      </c>
      <c r="G2076" t="str">
        <f t="shared" si="22"/>
        <v>GUARDIAN</v>
      </c>
    </row>
    <row r="2077" spans="5:7" x14ac:dyDescent="0.25">
      <c r="E2077" t="str">
        <f>""</f>
        <v/>
      </c>
      <c r="G2077" t="str">
        <f t="shared" si="22"/>
        <v>GUARDIAN</v>
      </c>
    </row>
    <row r="2078" spans="5:7" x14ac:dyDescent="0.25">
      <c r="E2078" t="str">
        <f>""</f>
        <v/>
      </c>
      <c r="G2078" t="str">
        <f t="shared" si="22"/>
        <v>GUARDIAN</v>
      </c>
    </row>
    <row r="2079" spans="5:7" x14ac:dyDescent="0.25">
      <c r="E2079" t="str">
        <f>""</f>
        <v/>
      </c>
      <c r="G2079" t="str">
        <f t="shared" si="22"/>
        <v>GUARDIAN</v>
      </c>
    </row>
    <row r="2080" spans="5:7" x14ac:dyDescent="0.25">
      <c r="E2080" t="str">
        <f>""</f>
        <v/>
      </c>
      <c r="G2080" t="str">
        <f t="shared" si="22"/>
        <v>GUARDIAN</v>
      </c>
    </row>
    <row r="2081" spans="5:7" x14ac:dyDescent="0.25">
      <c r="E2081" t="str">
        <f>""</f>
        <v/>
      </c>
      <c r="G2081" t="str">
        <f t="shared" si="22"/>
        <v>GUARDIAN</v>
      </c>
    </row>
    <row r="2082" spans="5:7" x14ac:dyDescent="0.25">
      <c r="E2082" t="str">
        <f>""</f>
        <v/>
      </c>
      <c r="G2082" t="str">
        <f t="shared" si="22"/>
        <v>GUARDIAN</v>
      </c>
    </row>
    <row r="2083" spans="5:7" x14ac:dyDescent="0.25">
      <c r="E2083" t="str">
        <f>""</f>
        <v/>
      </c>
      <c r="G2083" t="str">
        <f t="shared" si="22"/>
        <v>GUARDIAN</v>
      </c>
    </row>
    <row r="2084" spans="5:7" x14ac:dyDescent="0.25">
      <c r="E2084" t="str">
        <f>""</f>
        <v/>
      </c>
      <c r="G2084" t="str">
        <f t="shared" si="22"/>
        <v>GUARDIAN</v>
      </c>
    </row>
    <row r="2085" spans="5:7" x14ac:dyDescent="0.25">
      <c r="E2085" t="str">
        <f>""</f>
        <v/>
      </c>
      <c r="G2085" t="str">
        <f t="shared" si="22"/>
        <v>GUARDIAN</v>
      </c>
    </row>
    <row r="2086" spans="5:7" x14ac:dyDescent="0.25">
      <c r="E2086" t="str">
        <f>""</f>
        <v/>
      </c>
      <c r="G2086" t="str">
        <f t="shared" si="22"/>
        <v>GUARDIAN</v>
      </c>
    </row>
    <row r="2087" spans="5:7" x14ac:dyDescent="0.25">
      <c r="E2087" t="str">
        <f>""</f>
        <v/>
      </c>
      <c r="G2087" t="str">
        <f t="shared" si="22"/>
        <v>GUARDIAN</v>
      </c>
    </row>
    <row r="2088" spans="5:7" x14ac:dyDescent="0.25">
      <c r="E2088" t="str">
        <f>""</f>
        <v/>
      </c>
      <c r="G2088" t="str">
        <f t="shared" si="22"/>
        <v>GUARDIAN</v>
      </c>
    </row>
    <row r="2089" spans="5:7" x14ac:dyDescent="0.25">
      <c r="E2089" t="str">
        <f>""</f>
        <v/>
      </c>
      <c r="G2089" t="str">
        <f t="shared" si="22"/>
        <v>GUARDIAN</v>
      </c>
    </row>
    <row r="2090" spans="5:7" x14ac:dyDescent="0.25">
      <c r="E2090" t="str">
        <f>""</f>
        <v/>
      </c>
      <c r="G2090" t="str">
        <f t="shared" si="22"/>
        <v>GUARDIAN</v>
      </c>
    </row>
    <row r="2091" spans="5:7" x14ac:dyDescent="0.25">
      <c r="E2091" t="str">
        <f>""</f>
        <v/>
      </c>
      <c r="G2091" t="str">
        <f t="shared" si="22"/>
        <v>GUARDIAN</v>
      </c>
    </row>
    <row r="2092" spans="5:7" x14ac:dyDescent="0.25">
      <c r="E2092" t="str">
        <f>""</f>
        <v/>
      </c>
      <c r="G2092" t="str">
        <f t="shared" si="22"/>
        <v>GUARDIAN</v>
      </c>
    </row>
    <row r="2093" spans="5:7" x14ac:dyDescent="0.25">
      <c r="E2093" t="str">
        <f>""</f>
        <v/>
      </c>
      <c r="G2093" t="str">
        <f t="shared" si="22"/>
        <v>GUARDIAN</v>
      </c>
    </row>
    <row r="2094" spans="5:7" x14ac:dyDescent="0.25">
      <c r="E2094" t="str">
        <f>""</f>
        <v/>
      </c>
      <c r="G2094" t="str">
        <f t="shared" si="22"/>
        <v>GUARDIAN</v>
      </c>
    </row>
    <row r="2095" spans="5:7" x14ac:dyDescent="0.25">
      <c r="E2095" t="str">
        <f>"GUARDIAN"</f>
        <v>GUARDIAN</v>
      </c>
      <c r="F2095" s="2">
        <v>40.799999999999997</v>
      </c>
      <c r="G2095" t="str">
        <f t="shared" si="22"/>
        <v>GUARDIAN</v>
      </c>
    </row>
    <row r="2096" spans="5:7" x14ac:dyDescent="0.25">
      <c r="E2096" t="str">
        <f>""</f>
        <v/>
      </c>
      <c r="G2096" t="str">
        <f t="shared" si="22"/>
        <v>GUARDIAN</v>
      </c>
    </row>
    <row r="2097" spans="5:7" x14ac:dyDescent="0.25">
      <c r="E2097" t="str">
        <f>"GUARDIAN"</f>
        <v>GUARDIAN</v>
      </c>
      <c r="F2097" s="2">
        <v>196.09</v>
      </c>
      <c r="G2097" t="str">
        <f t="shared" si="22"/>
        <v>GUARDIAN</v>
      </c>
    </row>
    <row r="2098" spans="5:7" x14ac:dyDescent="0.25">
      <c r="E2098" t="str">
        <f>""</f>
        <v/>
      </c>
      <c r="G2098" t="str">
        <f t="shared" si="22"/>
        <v>GUARDIAN</v>
      </c>
    </row>
    <row r="2099" spans="5:7" x14ac:dyDescent="0.25">
      <c r="E2099" t="str">
        <f>""</f>
        <v/>
      </c>
      <c r="G2099" t="str">
        <f t="shared" si="22"/>
        <v>GUARDIAN</v>
      </c>
    </row>
    <row r="2100" spans="5:7" x14ac:dyDescent="0.25">
      <c r="E2100" t="str">
        <f>""</f>
        <v/>
      </c>
      <c r="G2100" t="str">
        <f t="shared" si="22"/>
        <v>GUARDIAN</v>
      </c>
    </row>
    <row r="2101" spans="5:7" x14ac:dyDescent="0.25">
      <c r="E2101" t="str">
        <f>""</f>
        <v/>
      </c>
      <c r="G2101" t="str">
        <f t="shared" si="22"/>
        <v>GUARDIAN</v>
      </c>
    </row>
    <row r="2102" spans="5:7" x14ac:dyDescent="0.25">
      <c r="E2102" t="str">
        <f>""</f>
        <v/>
      </c>
      <c r="G2102" t="str">
        <f t="shared" si="22"/>
        <v>GUARDIAN</v>
      </c>
    </row>
    <row r="2103" spans="5:7" x14ac:dyDescent="0.25">
      <c r="E2103" t="str">
        <f>""</f>
        <v/>
      </c>
      <c r="G2103" t="str">
        <f t="shared" si="22"/>
        <v>GUARDIAN</v>
      </c>
    </row>
    <row r="2104" spans="5:7" x14ac:dyDescent="0.25">
      <c r="E2104" t="str">
        <f>""</f>
        <v/>
      </c>
      <c r="G2104" t="str">
        <f t="shared" si="22"/>
        <v>GUARDIAN</v>
      </c>
    </row>
    <row r="2105" spans="5:7" x14ac:dyDescent="0.25">
      <c r="E2105" t="str">
        <f>""</f>
        <v/>
      </c>
      <c r="G2105" t="str">
        <f t="shared" ref="G2105:G2136" si="23">"GUARDIAN"</f>
        <v>GUARDIAN</v>
      </c>
    </row>
    <row r="2106" spans="5:7" x14ac:dyDescent="0.25">
      <c r="E2106" t="str">
        <f>""</f>
        <v/>
      </c>
      <c r="G2106" t="str">
        <f t="shared" si="23"/>
        <v>GUARDIAN</v>
      </c>
    </row>
    <row r="2107" spans="5:7" x14ac:dyDescent="0.25">
      <c r="E2107" t="str">
        <f>""</f>
        <v/>
      </c>
      <c r="G2107" t="str">
        <f t="shared" si="23"/>
        <v>GUARDIAN</v>
      </c>
    </row>
    <row r="2108" spans="5:7" x14ac:dyDescent="0.25">
      <c r="E2108" t="str">
        <f>""</f>
        <v/>
      </c>
      <c r="G2108" t="str">
        <f t="shared" si="23"/>
        <v>GUARDIAN</v>
      </c>
    </row>
    <row r="2109" spans="5:7" x14ac:dyDescent="0.25">
      <c r="E2109" t="str">
        <f>""</f>
        <v/>
      </c>
      <c r="G2109" t="str">
        <f t="shared" si="23"/>
        <v>GUARDIAN</v>
      </c>
    </row>
    <row r="2110" spans="5:7" x14ac:dyDescent="0.25">
      <c r="E2110" t="str">
        <f>""</f>
        <v/>
      </c>
      <c r="G2110" t="str">
        <f t="shared" si="23"/>
        <v>GUARDIAN</v>
      </c>
    </row>
    <row r="2111" spans="5:7" x14ac:dyDescent="0.25">
      <c r="E2111" t="str">
        <f>""</f>
        <v/>
      </c>
      <c r="G2111" t="str">
        <f t="shared" si="23"/>
        <v>GUARDIAN</v>
      </c>
    </row>
    <row r="2112" spans="5:7" x14ac:dyDescent="0.25">
      <c r="E2112" t="str">
        <f>""</f>
        <v/>
      </c>
      <c r="G2112" t="str">
        <f t="shared" si="23"/>
        <v>GUARDIAN</v>
      </c>
    </row>
    <row r="2113" spans="5:7" x14ac:dyDescent="0.25">
      <c r="E2113" t="str">
        <f>""</f>
        <v/>
      </c>
      <c r="G2113" t="str">
        <f t="shared" si="23"/>
        <v>GUARDIAN</v>
      </c>
    </row>
    <row r="2114" spans="5:7" x14ac:dyDescent="0.25">
      <c r="E2114" t="str">
        <f>""</f>
        <v/>
      </c>
      <c r="G2114" t="str">
        <f t="shared" si="23"/>
        <v>GUARDIAN</v>
      </c>
    </row>
    <row r="2115" spans="5:7" x14ac:dyDescent="0.25">
      <c r="E2115" t="str">
        <f>""</f>
        <v/>
      </c>
      <c r="G2115" t="str">
        <f t="shared" si="23"/>
        <v>GUARDIAN</v>
      </c>
    </row>
    <row r="2116" spans="5:7" x14ac:dyDescent="0.25">
      <c r="E2116" t="str">
        <f>""</f>
        <v/>
      </c>
      <c r="G2116" t="str">
        <f t="shared" si="23"/>
        <v>GUARDIAN</v>
      </c>
    </row>
    <row r="2117" spans="5:7" x14ac:dyDescent="0.25">
      <c r="E2117" t="str">
        <f>""</f>
        <v/>
      </c>
      <c r="G2117" t="str">
        <f t="shared" si="23"/>
        <v>GUARDIAN</v>
      </c>
    </row>
    <row r="2118" spans="5:7" x14ac:dyDescent="0.25">
      <c r="E2118" t="str">
        <f>""</f>
        <v/>
      </c>
      <c r="G2118" t="str">
        <f t="shared" si="23"/>
        <v>GUARDIAN</v>
      </c>
    </row>
    <row r="2119" spans="5:7" x14ac:dyDescent="0.25">
      <c r="E2119" t="str">
        <f>"GUARDIAN"</f>
        <v>GUARDIAN</v>
      </c>
      <c r="F2119" s="2">
        <v>40.799999999999997</v>
      </c>
      <c r="G2119" t="str">
        <f t="shared" si="23"/>
        <v>GUARDIAN</v>
      </c>
    </row>
    <row r="2120" spans="5:7" x14ac:dyDescent="0.25">
      <c r="E2120" t="str">
        <f>""</f>
        <v/>
      </c>
      <c r="G2120" t="str">
        <f t="shared" si="23"/>
        <v>GUARDIAN</v>
      </c>
    </row>
    <row r="2121" spans="5:7" x14ac:dyDescent="0.25">
      <c r="E2121" t="str">
        <f>"GUARDIAN"</f>
        <v>GUARDIAN</v>
      </c>
      <c r="F2121" s="2">
        <v>31.66</v>
      </c>
      <c r="G2121" t="str">
        <f t="shared" si="23"/>
        <v>GUARDIAN</v>
      </c>
    </row>
    <row r="2122" spans="5:7" x14ac:dyDescent="0.25">
      <c r="E2122" t="str">
        <f>"GUARDIAN"</f>
        <v>GUARDIAN</v>
      </c>
      <c r="F2122" s="2">
        <v>1.05</v>
      </c>
      <c r="G2122" t="str">
        <f t="shared" si="23"/>
        <v>GUARDIAN</v>
      </c>
    </row>
    <row r="2123" spans="5:7" x14ac:dyDescent="0.25">
      <c r="E2123" t="str">
        <f>"GUARDIAN"</f>
        <v>GUARDIAN</v>
      </c>
      <c r="F2123" s="2">
        <v>32.5</v>
      </c>
      <c r="G2123" t="str">
        <f t="shared" si="23"/>
        <v>GUARDIAN</v>
      </c>
    </row>
    <row r="2124" spans="5:7" x14ac:dyDescent="0.25">
      <c r="E2124" t="str">
        <f>"GUARDIAN"</f>
        <v>GUARDIAN</v>
      </c>
      <c r="F2124" s="2">
        <v>1.05</v>
      </c>
      <c r="G2124" t="str">
        <f t="shared" si="23"/>
        <v>GUARDIAN</v>
      </c>
    </row>
    <row r="2125" spans="5:7" x14ac:dyDescent="0.25">
      <c r="E2125" t="str">
        <f>"GUARDIAN"</f>
        <v>GUARDIAN</v>
      </c>
      <c r="F2125" s="2">
        <v>3413.4</v>
      </c>
      <c r="G2125" t="str">
        <f t="shared" si="23"/>
        <v>GUARDIAN</v>
      </c>
    </row>
    <row r="2126" spans="5:7" x14ac:dyDescent="0.25">
      <c r="E2126" t="str">
        <f>""</f>
        <v/>
      </c>
      <c r="G2126" t="str">
        <f t="shared" si="23"/>
        <v>GUARDIAN</v>
      </c>
    </row>
    <row r="2127" spans="5:7" x14ac:dyDescent="0.25">
      <c r="E2127" t="str">
        <f>""</f>
        <v/>
      </c>
      <c r="G2127" t="str">
        <f t="shared" si="23"/>
        <v>GUARDIAN</v>
      </c>
    </row>
    <row r="2128" spans="5:7" x14ac:dyDescent="0.25">
      <c r="E2128" t="str">
        <f>""</f>
        <v/>
      </c>
      <c r="G2128" t="str">
        <f t="shared" si="23"/>
        <v>GUARDIAN</v>
      </c>
    </row>
    <row r="2129" spans="5:7" x14ac:dyDescent="0.25">
      <c r="E2129" t="str">
        <f>""</f>
        <v/>
      </c>
      <c r="G2129" t="str">
        <f t="shared" si="23"/>
        <v>GUARDIAN</v>
      </c>
    </row>
    <row r="2130" spans="5:7" x14ac:dyDescent="0.25">
      <c r="E2130" t="str">
        <f>""</f>
        <v/>
      </c>
      <c r="G2130" t="str">
        <f t="shared" si="23"/>
        <v>GUARDIAN</v>
      </c>
    </row>
    <row r="2131" spans="5:7" x14ac:dyDescent="0.25">
      <c r="E2131" t="str">
        <f>""</f>
        <v/>
      </c>
      <c r="G2131" t="str">
        <f t="shared" si="23"/>
        <v>GUARDIAN</v>
      </c>
    </row>
    <row r="2132" spans="5:7" x14ac:dyDescent="0.25">
      <c r="E2132" t="str">
        <f>""</f>
        <v/>
      </c>
      <c r="G2132" t="str">
        <f t="shared" si="23"/>
        <v>GUARDIAN</v>
      </c>
    </row>
    <row r="2133" spans="5:7" x14ac:dyDescent="0.25">
      <c r="E2133" t="str">
        <f>""</f>
        <v/>
      </c>
      <c r="G2133" t="str">
        <f t="shared" si="23"/>
        <v>GUARDIAN</v>
      </c>
    </row>
    <row r="2134" spans="5:7" x14ac:dyDescent="0.25">
      <c r="E2134" t="str">
        <f>""</f>
        <v/>
      </c>
      <c r="G2134" t="str">
        <f t="shared" si="23"/>
        <v>GUARDIAN</v>
      </c>
    </row>
    <row r="2135" spans="5:7" x14ac:dyDescent="0.25">
      <c r="E2135" t="str">
        <f>""</f>
        <v/>
      </c>
      <c r="G2135" t="str">
        <f t="shared" si="23"/>
        <v>GUARDIAN</v>
      </c>
    </row>
    <row r="2136" spans="5:7" x14ac:dyDescent="0.25">
      <c r="E2136" t="str">
        <f>""</f>
        <v/>
      </c>
      <c r="G2136" t="str">
        <f t="shared" si="23"/>
        <v>GUARDIAN</v>
      </c>
    </row>
    <row r="2137" spans="5:7" x14ac:dyDescent="0.25">
      <c r="E2137" t="str">
        <f>""</f>
        <v/>
      </c>
      <c r="G2137" t="str">
        <f t="shared" ref="G2137:G2168" si="24">"GUARDIAN"</f>
        <v>GUARDIAN</v>
      </c>
    </row>
    <row r="2138" spans="5:7" x14ac:dyDescent="0.25">
      <c r="E2138" t="str">
        <f>""</f>
        <v/>
      </c>
      <c r="G2138" t="str">
        <f t="shared" si="24"/>
        <v>GUARDIAN</v>
      </c>
    </row>
    <row r="2139" spans="5:7" x14ac:dyDescent="0.25">
      <c r="E2139" t="str">
        <f>""</f>
        <v/>
      </c>
      <c r="G2139" t="str">
        <f t="shared" si="24"/>
        <v>GUARDIAN</v>
      </c>
    </row>
    <row r="2140" spans="5:7" x14ac:dyDescent="0.25">
      <c r="E2140" t="str">
        <f>""</f>
        <v/>
      </c>
      <c r="G2140" t="str">
        <f t="shared" si="24"/>
        <v>GUARDIAN</v>
      </c>
    </row>
    <row r="2141" spans="5:7" x14ac:dyDescent="0.25">
      <c r="E2141" t="str">
        <f>""</f>
        <v/>
      </c>
      <c r="G2141" t="str">
        <f t="shared" si="24"/>
        <v>GUARDIAN</v>
      </c>
    </row>
    <row r="2142" spans="5:7" x14ac:dyDescent="0.25">
      <c r="E2142" t="str">
        <f>""</f>
        <v/>
      </c>
      <c r="G2142" t="str">
        <f t="shared" si="24"/>
        <v>GUARDIAN</v>
      </c>
    </row>
    <row r="2143" spans="5:7" x14ac:dyDescent="0.25">
      <c r="E2143" t="str">
        <f>""</f>
        <v/>
      </c>
      <c r="G2143" t="str">
        <f t="shared" si="24"/>
        <v>GUARDIAN</v>
      </c>
    </row>
    <row r="2144" spans="5:7" x14ac:dyDescent="0.25">
      <c r="E2144" t="str">
        <f>""</f>
        <v/>
      </c>
      <c r="G2144" t="str">
        <f t="shared" si="24"/>
        <v>GUARDIAN</v>
      </c>
    </row>
    <row r="2145" spans="5:7" x14ac:dyDescent="0.25">
      <c r="E2145" t="str">
        <f>""</f>
        <v/>
      </c>
      <c r="G2145" t="str">
        <f t="shared" si="24"/>
        <v>GUARDIAN</v>
      </c>
    </row>
    <row r="2146" spans="5:7" x14ac:dyDescent="0.25">
      <c r="E2146" t="str">
        <f>""</f>
        <v/>
      </c>
      <c r="G2146" t="str">
        <f t="shared" si="24"/>
        <v>GUARDIAN</v>
      </c>
    </row>
    <row r="2147" spans="5:7" x14ac:dyDescent="0.25">
      <c r="E2147" t="str">
        <f>""</f>
        <v/>
      </c>
      <c r="G2147" t="str">
        <f t="shared" si="24"/>
        <v>GUARDIAN</v>
      </c>
    </row>
    <row r="2148" spans="5:7" x14ac:dyDescent="0.25">
      <c r="E2148" t="str">
        <f>""</f>
        <v/>
      </c>
      <c r="G2148" t="str">
        <f t="shared" si="24"/>
        <v>GUARDIAN</v>
      </c>
    </row>
    <row r="2149" spans="5:7" x14ac:dyDescent="0.25">
      <c r="E2149" t="str">
        <f>""</f>
        <v/>
      </c>
      <c r="G2149" t="str">
        <f t="shared" si="24"/>
        <v>GUARDIAN</v>
      </c>
    </row>
    <row r="2150" spans="5:7" x14ac:dyDescent="0.25">
      <c r="E2150" t="str">
        <f>""</f>
        <v/>
      </c>
      <c r="G2150" t="str">
        <f t="shared" si="24"/>
        <v>GUARDIAN</v>
      </c>
    </row>
    <row r="2151" spans="5:7" x14ac:dyDescent="0.25">
      <c r="E2151" t="str">
        <f>""</f>
        <v/>
      </c>
      <c r="G2151" t="str">
        <f t="shared" si="24"/>
        <v>GUARDIAN</v>
      </c>
    </row>
    <row r="2152" spans="5:7" x14ac:dyDescent="0.25">
      <c r="E2152" t="str">
        <f>""</f>
        <v/>
      </c>
      <c r="G2152" t="str">
        <f t="shared" si="24"/>
        <v>GUARDIAN</v>
      </c>
    </row>
    <row r="2153" spans="5:7" x14ac:dyDescent="0.25">
      <c r="E2153" t="str">
        <f>""</f>
        <v/>
      </c>
      <c r="G2153" t="str">
        <f t="shared" si="24"/>
        <v>GUARDIAN</v>
      </c>
    </row>
    <row r="2154" spans="5:7" x14ac:dyDescent="0.25">
      <c r="E2154" t="str">
        <f>""</f>
        <v/>
      </c>
      <c r="G2154" t="str">
        <f t="shared" si="24"/>
        <v>GUARDIAN</v>
      </c>
    </row>
    <row r="2155" spans="5:7" x14ac:dyDescent="0.25">
      <c r="E2155" t="str">
        <f>""</f>
        <v/>
      </c>
      <c r="G2155" t="str">
        <f t="shared" si="24"/>
        <v>GUARDIAN</v>
      </c>
    </row>
    <row r="2156" spans="5:7" x14ac:dyDescent="0.25">
      <c r="E2156" t="str">
        <f>""</f>
        <v/>
      </c>
      <c r="G2156" t="str">
        <f t="shared" si="24"/>
        <v>GUARDIAN</v>
      </c>
    </row>
    <row r="2157" spans="5:7" x14ac:dyDescent="0.25">
      <c r="E2157" t="str">
        <f>""</f>
        <v/>
      </c>
      <c r="G2157" t="str">
        <f t="shared" si="24"/>
        <v>GUARDIAN</v>
      </c>
    </row>
    <row r="2158" spans="5:7" x14ac:dyDescent="0.25">
      <c r="E2158" t="str">
        <f>""</f>
        <v/>
      </c>
      <c r="G2158" t="str">
        <f t="shared" si="24"/>
        <v>GUARDIAN</v>
      </c>
    </row>
    <row r="2159" spans="5:7" x14ac:dyDescent="0.25">
      <c r="E2159" t="str">
        <f>""</f>
        <v/>
      </c>
      <c r="G2159" t="str">
        <f t="shared" si="24"/>
        <v>GUARDIAN</v>
      </c>
    </row>
    <row r="2160" spans="5:7" x14ac:dyDescent="0.25">
      <c r="E2160" t="str">
        <f>""</f>
        <v/>
      </c>
      <c r="G2160" t="str">
        <f t="shared" si="24"/>
        <v>GUARDIAN</v>
      </c>
    </row>
    <row r="2161" spans="5:7" x14ac:dyDescent="0.25">
      <c r="E2161" t="str">
        <f>""</f>
        <v/>
      </c>
      <c r="G2161" t="str">
        <f t="shared" si="24"/>
        <v>GUARDIAN</v>
      </c>
    </row>
    <row r="2162" spans="5:7" x14ac:dyDescent="0.25">
      <c r="E2162" t="str">
        <f>""</f>
        <v/>
      </c>
      <c r="G2162" t="str">
        <f t="shared" si="24"/>
        <v>GUARDIAN</v>
      </c>
    </row>
    <row r="2163" spans="5:7" x14ac:dyDescent="0.25">
      <c r="E2163" t="str">
        <f>""</f>
        <v/>
      </c>
      <c r="G2163" t="str">
        <f t="shared" si="24"/>
        <v>GUARDIAN</v>
      </c>
    </row>
    <row r="2164" spans="5:7" x14ac:dyDescent="0.25">
      <c r="E2164" t="str">
        <f>""</f>
        <v/>
      </c>
      <c r="G2164" t="str">
        <f t="shared" si="24"/>
        <v>GUARDIAN</v>
      </c>
    </row>
    <row r="2165" spans="5:7" x14ac:dyDescent="0.25">
      <c r="E2165" t="str">
        <f>""</f>
        <v/>
      </c>
      <c r="G2165" t="str">
        <f t="shared" si="24"/>
        <v>GUARDIAN</v>
      </c>
    </row>
    <row r="2166" spans="5:7" x14ac:dyDescent="0.25">
      <c r="E2166" t="str">
        <f>""</f>
        <v/>
      </c>
      <c r="G2166" t="str">
        <f t="shared" si="24"/>
        <v>GUARDIAN</v>
      </c>
    </row>
    <row r="2167" spans="5:7" x14ac:dyDescent="0.25">
      <c r="E2167" t="str">
        <f>""</f>
        <v/>
      </c>
      <c r="G2167" t="str">
        <f t="shared" si="24"/>
        <v>GUARDIAN</v>
      </c>
    </row>
    <row r="2168" spans="5:7" x14ac:dyDescent="0.25">
      <c r="E2168" t="str">
        <f>""</f>
        <v/>
      </c>
      <c r="G2168" t="str">
        <f t="shared" si="24"/>
        <v>GUARDIAN</v>
      </c>
    </row>
    <row r="2169" spans="5:7" x14ac:dyDescent="0.25">
      <c r="E2169" t="str">
        <f>""</f>
        <v/>
      </c>
      <c r="G2169" t="str">
        <f t="shared" ref="G2169:G2200" si="25">"GUARDIAN"</f>
        <v>GUARDIAN</v>
      </c>
    </row>
    <row r="2170" spans="5:7" x14ac:dyDescent="0.25">
      <c r="E2170" t="str">
        <f>""</f>
        <v/>
      </c>
      <c r="G2170" t="str">
        <f t="shared" si="25"/>
        <v>GUARDIAN</v>
      </c>
    </row>
    <row r="2171" spans="5:7" x14ac:dyDescent="0.25">
      <c r="E2171" t="str">
        <f>""</f>
        <v/>
      </c>
      <c r="G2171" t="str">
        <f t="shared" si="25"/>
        <v>GUARDIAN</v>
      </c>
    </row>
    <row r="2172" spans="5:7" x14ac:dyDescent="0.25">
      <c r="E2172" t="str">
        <f>""</f>
        <v/>
      </c>
      <c r="G2172" t="str">
        <f t="shared" si="25"/>
        <v>GUARDIAN</v>
      </c>
    </row>
    <row r="2173" spans="5:7" x14ac:dyDescent="0.25">
      <c r="E2173" t="str">
        <f>""</f>
        <v/>
      </c>
      <c r="G2173" t="str">
        <f t="shared" si="25"/>
        <v>GUARDIAN</v>
      </c>
    </row>
    <row r="2174" spans="5:7" x14ac:dyDescent="0.25">
      <c r="E2174" t="str">
        <f>""</f>
        <v/>
      </c>
      <c r="G2174" t="str">
        <f t="shared" si="25"/>
        <v>GUARDIAN</v>
      </c>
    </row>
    <row r="2175" spans="5:7" x14ac:dyDescent="0.25">
      <c r="E2175" t="str">
        <f>"GUARDIAN"</f>
        <v>GUARDIAN</v>
      </c>
      <c r="F2175" s="2">
        <v>83.65</v>
      </c>
      <c r="G2175" t="str">
        <f t="shared" si="25"/>
        <v>GUARDIAN</v>
      </c>
    </row>
    <row r="2176" spans="5:7" x14ac:dyDescent="0.25">
      <c r="E2176" t="str">
        <f>""</f>
        <v/>
      </c>
      <c r="G2176" t="str">
        <f t="shared" si="25"/>
        <v>GUARDIAN</v>
      </c>
    </row>
    <row r="2177" spans="5:7" x14ac:dyDescent="0.25">
      <c r="E2177" t="str">
        <f>"GUARDIAN"</f>
        <v>GUARDIAN</v>
      </c>
      <c r="F2177" s="2">
        <v>4019.24</v>
      </c>
      <c r="G2177" t="str">
        <f t="shared" si="25"/>
        <v>GUARDIAN</v>
      </c>
    </row>
    <row r="2178" spans="5:7" x14ac:dyDescent="0.25">
      <c r="E2178" t="str">
        <f>""</f>
        <v/>
      </c>
      <c r="G2178" t="str">
        <f t="shared" si="25"/>
        <v>GUARDIAN</v>
      </c>
    </row>
    <row r="2179" spans="5:7" x14ac:dyDescent="0.25">
      <c r="E2179" t="str">
        <f>""</f>
        <v/>
      </c>
      <c r="G2179" t="str">
        <f t="shared" si="25"/>
        <v>GUARDIAN</v>
      </c>
    </row>
    <row r="2180" spans="5:7" x14ac:dyDescent="0.25">
      <c r="E2180" t="str">
        <f>""</f>
        <v/>
      </c>
      <c r="G2180" t="str">
        <f t="shared" si="25"/>
        <v>GUARDIAN</v>
      </c>
    </row>
    <row r="2181" spans="5:7" x14ac:dyDescent="0.25">
      <c r="E2181" t="str">
        <f>""</f>
        <v/>
      </c>
      <c r="G2181" t="str">
        <f t="shared" si="25"/>
        <v>GUARDIAN</v>
      </c>
    </row>
    <row r="2182" spans="5:7" x14ac:dyDescent="0.25">
      <c r="E2182" t="str">
        <f>""</f>
        <v/>
      </c>
      <c r="G2182" t="str">
        <f t="shared" si="25"/>
        <v>GUARDIAN</v>
      </c>
    </row>
    <row r="2183" spans="5:7" x14ac:dyDescent="0.25">
      <c r="E2183" t="str">
        <f>""</f>
        <v/>
      </c>
      <c r="G2183" t="str">
        <f t="shared" si="25"/>
        <v>GUARDIAN</v>
      </c>
    </row>
    <row r="2184" spans="5:7" x14ac:dyDescent="0.25">
      <c r="E2184" t="str">
        <f>""</f>
        <v/>
      </c>
      <c r="G2184" t="str">
        <f t="shared" si="25"/>
        <v>GUARDIAN</v>
      </c>
    </row>
    <row r="2185" spans="5:7" x14ac:dyDescent="0.25">
      <c r="E2185" t="str">
        <f>""</f>
        <v/>
      </c>
      <c r="G2185" t="str">
        <f t="shared" si="25"/>
        <v>GUARDIAN</v>
      </c>
    </row>
    <row r="2186" spans="5:7" x14ac:dyDescent="0.25">
      <c r="E2186" t="str">
        <f>""</f>
        <v/>
      </c>
      <c r="G2186" t="str">
        <f t="shared" si="25"/>
        <v>GUARDIAN</v>
      </c>
    </row>
    <row r="2187" spans="5:7" x14ac:dyDescent="0.25">
      <c r="E2187" t="str">
        <f>""</f>
        <v/>
      </c>
      <c r="G2187" t="str">
        <f t="shared" si="25"/>
        <v>GUARDIAN</v>
      </c>
    </row>
    <row r="2188" spans="5:7" x14ac:dyDescent="0.25">
      <c r="E2188" t="str">
        <f>""</f>
        <v/>
      </c>
      <c r="G2188" t="str">
        <f t="shared" si="25"/>
        <v>GUARDIAN</v>
      </c>
    </row>
    <row r="2189" spans="5:7" x14ac:dyDescent="0.25">
      <c r="E2189" t="str">
        <f>""</f>
        <v/>
      </c>
      <c r="G2189" t="str">
        <f t="shared" si="25"/>
        <v>GUARDIAN</v>
      </c>
    </row>
    <row r="2190" spans="5:7" x14ac:dyDescent="0.25">
      <c r="E2190" t="str">
        <f>""</f>
        <v/>
      </c>
      <c r="G2190" t="str">
        <f t="shared" si="25"/>
        <v>GUARDIAN</v>
      </c>
    </row>
    <row r="2191" spans="5:7" x14ac:dyDescent="0.25">
      <c r="E2191" t="str">
        <f>""</f>
        <v/>
      </c>
      <c r="G2191" t="str">
        <f t="shared" si="25"/>
        <v>GUARDIAN</v>
      </c>
    </row>
    <row r="2192" spans="5:7" x14ac:dyDescent="0.25">
      <c r="E2192" t="str">
        <f>""</f>
        <v/>
      </c>
      <c r="G2192" t="str">
        <f t="shared" si="25"/>
        <v>GUARDIAN</v>
      </c>
    </row>
    <row r="2193" spans="5:7" x14ac:dyDescent="0.25">
      <c r="E2193" t="str">
        <f>""</f>
        <v/>
      </c>
      <c r="G2193" t="str">
        <f t="shared" si="25"/>
        <v>GUARDIAN</v>
      </c>
    </row>
    <row r="2194" spans="5:7" x14ac:dyDescent="0.25">
      <c r="E2194" t="str">
        <f>""</f>
        <v/>
      </c>
      <c r="G2194" t="str">
        <f t="shared" si="25"/>
        <v>GUARDIAN</v>
      </c>
    </row>
    <row r="2195" spans="5:7" x14ac:dyDescent="0.25">
      <c r="E2195" t="str">
        <f>""</f>
        <v/>
      </c>
      <c r="G2195" t="str">
        <f t="shared" si="25"/>
        <v>GUARDIAN</v>
      </c>
    </row>
    <row r="2196" spans="5:7" x14ac:dyDescent="0.25">
      <c r="E2196" t="str">
        <f>""</f>
        <v/>
      </c>
      <c r="G2196" t="str">
        <f t="shared" si="25"/>
        <v>GUARDIAN</v>
      </c>
    </row>
    <row r="2197" spans="5:7" x14ac:dyDescent="0.25">
      <c r="E2197" t="str">
        <f>""</f>
        <v/>
      </c>
      <c r="G2197" t="str">
        <f t="shared" si="25"/>
        <v>GUARDIAN</v>
      </c>
    </row>
    <row r="2198" spans="5:7" x14ac:dyDescent="0.25">
      <c r="E2198" t="str">
        <f>""</f>
        <v/>
      </c>
      <c r="G2198" t="str">
        <f t="shared" si="25"/>
        <v>GUARDIAN</v>
      </c>
    </row>
    <row r="2199" spans="5:7" x14ac:dyDescent="0.25">
      <c r="E2199" t="str">
        <f>""</f>
        <v/>
      </c>
      <c r="G2199" t="str">
        <f t="shared" si="25"/>
        <v>GUARDIAN</v>
      </c>
    </row>
    <row r="2200" spans="5:7" x14ac:dyDescent="0.25">
      <c r="E2200" t="str">
        <f>""</f>
        <v/>
      </c>
      <c r="G2200" t="str">
        <f t="shared" si="25"/>
        <v>GUARDIAN</v>
      </c>
    </row>
    <row r="2201" spans="5:7" x14ac:dyDescent="0.25">
      <c r="E2201" t="str">
        <f>""</f>
        <v/>
      </c>
      <c r="G2201" t="str">
        <f t="shared" ref="G2201:G2232" si="26">"GUARDIAN"</f>
        <v>GUARDIAN</v>
      </c>
    </row>
    <row r="2202" spans="5:7" x14ac:dyDescent="0.25">
      <c r="E2202" t="str">
        <f>""</f>
        <v/>
      </c>
      <c r="G2202" t="str">
        <f t="shared" si="26"/>
        <v>GUARDIAN</v>
      </c>
    </row>
    <row r="2203" spans="5:7" x14ac:dyDescent="0.25">
      <c r="E2203" t="str">
        <f>""</f>
        <v/>
      </c>
      <c r="G2203" t="str">
        <f t="shared" si="26"/>
        <v>GUARDIAN</v>
      </c>
    </row>
    <row r="2204" spans="5:7" x14ac:dyDescent="0.25">
      <c r="E2204" t="str">
        <f>""</f>
        <v/>
      </c>
      <c r="G2204" t="str">
        <f t="shared" si="26"/>
        <v>GUARDIAN</v>
      </c>
    </row>
    <row r="2205" spans="5:7" x14ac:dyDescent="0.25">
      <c r="E2205" t="str">
        <f>""</f>
        <v/>
      </c>
      <c r="G2205" t="str">
        <f t="shared" si="26"/>
        <v>GUARDIAN</v>
      </c>
    </row>
    <row r="2206" spans="5:7" x14ac:dyDescent="0.25">
      <c r="E2206" t="str">
        <f>""</f>
        <v/>
      </c>
      <c r="G2206" t="str">
        <f t="shared" si="26"/>
        <v>GUARDIAN</v>
      </c>
    </row>
    <row r="2207" spans="5:7" x14ac:dyDescent="0.25">
      <c r="E2207" t="str">
        <f>""</f>
        <v/>
      </c>
      <c r="G2207" t="str">
        <f t="shared" si="26"/>
        <v>GUARDIAN</v>
      </c>
    </row>
    <row r="2208" spans="5:7" x14ac:dyDescent="0.25">
      <c r="E2208" t="str">
        <f>""</f>
        <v/>
      </c>
      <c r="G2208" t="str">
        <f t="shared" si="26"/>
        <v>GUARDIAN</v>
      </c>
    </row>
    <row r="2209" spans="5:7" x14ac:dyDescent="0.25">
      <c r="E2209" t="str">
        <f>""</f>
        <v/>
      </c>
      <c r="G2209" t="str">
        <f t="shared" si="26"/>
        <v>GUARDIAN</v>
      </c>
    </row>
    <row r="2210" spans="5:7" x14ac:dyDescent="0.25">
      <c r="E2210" t="str">
        <f>""</f>
        <v/>
      </c>
      <c r="G2210" t="str">
        <f t="shared" si="26"/>
        <v>GUARDIAN</v>
      </c>
    </row>
    <row r="2211" spans="5:7" x14ac:dyDescent="0.25">
      <c r="E2211" t="str">
        <f>""</f>
        <v/>
      </c>
      <c r="G2211" t="str">
        <f t="shared" si="26"/>
        <v>GUARDIAN</v>
      </c>
    </row>
    <row r="2212" spans="5:7" x14ac:dyDescent="0.25">
      <c r="E2212" t="str">
        <f>""</f>
        <v/>
      </c>
      <c r="G2212" t="str">
        <f t="shared" si="26"/>
        <v>GUARDIAN</v>
      </c>
    </row>
    <row r="2213" spans="5:7" x14ac:dyDescent="0.25">
      <c r="E2213" t="str">
        <f>""</f>
        <v/>
      </c>
      <c r="G2213" t="str">
        <f t="shared" si="26"/>
        <v>GUARDIAN</v>
      </c>
    </row>
    <row r="2214" spans="5:7" x14ac:dyDescent="0.25">
      <c r="E2214" t="str">
        <f>""</f>
        <v/>
      </c>
      <c r="G2214" t="str">
        <f t="shared" si="26"/>
        <v>GUARDIAN</v>
      </c>
    </row>
    <row r="2215" spans="5:7" x14ac:dyDescent="0.25">
      <c r="E2215" t="str">
        <f>""</f>
        <v/>
      </c>
      <c r="G2215" t="str">
        <f t="shared" si="26"/>
        <v>GUARDIAN</v>
      </c>
    </row>
    <row r="2216" spans="5:7" x14ac:dyDescent="0.25">
      <c r="E2216" t="str">
        <f>""</f>
        <v/>
      </c>
      <c r="G2216" t="str">
        <f t="shared" si="26"/>
        <v>GUARDIAN</v>
      </c>
    </row>
    <row r="2217" spans="5:7" x14ac:dyDescent="0.25">
      <c r="E2217" t="str">
        <f>""</f>
        <v/>
      </c>
      <c r="G2217" t="str">
        <f t="shared" si="26"/>
        <v>GUARDIAN</v>
      </c>
    </row>
    <row r="2218" spans="5:7" x14ac:dyDescent="0.25">
      <c r="E2218" t="str">
        <f>""</f>
        <v/>
      </c>
      <c r="G2218" t="str">
        <f t="shared" si="26"/>
        <v>GUARDIAN</v>
      </c>
    </row>
    <row r="2219" spans="5:7" x14ac:dyDescent="0.25">
      <c r="E2219" t="str">
        <f>""</f>
        <v/>
      </c>
      <c r="G2219" t="str">
        <f t="shared" si="26"/>
        <v>GUARDIAN</v>
      </c>
    </row>
    <row r="2220" spans="5:7" x14ac:dyDescent="0.25">
      <c r="E2220" t="str">
        <f>""</f>
        <v/>
      </c>
      <c r="G2220" t="str">
        <f t="shared" si="26"/>
        <v>GUARDIAN</v>
      </c>
    </row>
    <row r="2221" spans="5:7" x14ac:dyDescent="0.25">
      <c r="E2221" t="str">
        <f>""</f>
        <v/>
      </c>
      <c r="G2221" t="str">
        <f t="shared" si="26"/>
        <v>GUARDIAN</v>
      </c>
    </row>
    <row r="2222" spans="5:7" x14ac:dyDescent="0.25">
      <c r="E2222" t="str">
        <f>""</f>
        <v/>
      </c>
      <c r="G2222" t="str">
        <f t="shared" si="26"/>
        <v>GUARDIAN</v>
      </c>
    </row>
    <row r="2223" spans="5:7" x14ac:dyDescent="0.25">
      <c r="E2223" t="str">
        <f>""</f>
        <v/>
      </c>
      <c r="G2223" t="str">
        <f t="shared" si="26"/>
        <v>GUARDIAN</v>
      </c>
    </row>
    <row r="2224" spans="5:7" x14ac:dyDescent="0.25">
      <c r="E2224" t="str">
        <f>""</f>
        <v/>
      </c>
      <c r="G2224" t="str">
        <f t="shared" si="26"/>
        <v>GUARDIAN</v>
      </c>
    </row>
    <row r="2225" spans="1:7" x14ac:dyDescent="0.25">
      <c r="E2225" t="str">
        <f>""</f>
        <v/>
      </c>
      <c r="G2225" t="str">
        <f t="shared" si="26"/>
        <v>GUARDIAN</v>
      </c>
    </row>
    <row r="2226" spans="1:7" x14ac:dyDescent="0.25">
      <c r="E2226" t="str">
        <f>""</f>
        <v/>
      </c>
      <c r="G2226" t="str">
        <f t="shared" si="26"/>
        <v>GUARDIAN</v>
      </c>
    </row>
    <row r="2227" spans="1:7" x14ac:dyDescent="0.25">
      <c r="E2227" t="str">
        <f>""</f>
        <v/>
      </c>
      <c r="G2227" t="str">
        <f t="shared" si="26"/>
        <v>GUARDIAN</v>
      </c>
    </row>
    <row r="2228" spans="1:7" x14ac:dyDescent="0.25">
      <c r="E2228" t="str">
        <f>"GUARDIAN"</f>
        <v>GUARDIAN</v>
      </c>
      <c r="F2228" s="2">
        <v>87.65</v>
      </c>
      <c r="G2228" t="str">
        <f t="shared" si="26"/>
        <v>GUARDIAN</v>
      </c>
    </row>
    <row r="2229" spans="1:7" x14ac:dyDescent="0.25">
      <c r="E2229" t="str">
        <f>""</f>
        <v/>
      </c>
      <c r="G2229" t="str">
        <f t="shared" si="26"/>
        <v>GUARDIAN</v>
      </c>
    </row>
    <row r="2230" spans="1:7" x14ac:dyDescent="0.25">
      <c r="E2230" t="str">
        <f t="shared" ref="E2230:E2241" si="27">"GUARDIAN"</f>
        <v>GUARDIAN</v>
      </c>
      <c r="F2230" s="2">
        <v>462.68</v>
      </c>
      <c r="G2230" t="str">
        <f t="shared" si="26"/>
        <v>GUARDIAN</v>
      </c>
    </row>
    <row r="2231" spans="1:7" x14ac:dyDescent="0.25">
      <c r="E2231" t="str">
        <f t="shared" si="27"/>
        <v>GUARDIAN</v>
      </c>
      <c r="F2231" s="2">
        <v>36.15</v>
      </c>
      <c r="G2231" t="str">
        <f t="shared" si="26"/>
        <v>GUARDIAN</v>
      </c>
    </row>
    <row r="2232" spans="1:7" x14ac:dyDescent="0.25">
      <c r="E2232" t="str">
        <f t="shared" si="27"/>
        <v>GUARDIAN</v>
      </c>
      <c r="F2232" s="2">
        <v>535.29999999999995</v>
      </c>
      <c r="G2232" t="str">
        <f t="shared" si="26"/>
        <v>GUARDIAN</v>
      </c>
    </row>
    <row r="2233" spans="1:7" x14ac:dyDescent="0.25">
      <c r="E2233" t="str">
        <f t="shared" si="27"/>
        <v>GUARDIAN</v>
      </c>
      <c r="F2233" s="2">
        <v>36.15</v>
      </c>
      <c r="G2233" t="str">
        <f t="shared" ref="G2233:G2241" si="28">"GUARDIAN"</f>
        <v>GUARDIAN</v>
      </c>
    </row>
    <row r="2234" spans="1:7" x14ac:dyDescent="0.25">
      <c r="E2234" t="str">
        <f t="shared" si="27"/>
        <v>GUARDIAN</v>
      </c>
      <c r="F2234" s="2">
        <v>785.1</v>
      </c>
      <c r="G2234" t="str">
        <f t="shared" si="28"/>
        <v>GUARDIAN</v>
      </c>
    </row>
    <row r="2235" spans="1:7" x14ac:dyDescent="0.25">
      <c r="E2235" t="str">
        <f t="shared" si="27"/>
        <v>GUARDIAN</v>
      </c>
      <c r="F2235" s="2">
        <v>6.11</v>
      </c>
      <c r="G2235" t="str">
        <f t="shared" si="28"/>
        <v>GUARDIAN</v>
      </c>
    </row>
    <row r="2236" spans="1:7" x14ac:dyDescent="0.25">
      <c r="E2236" t="str">
        <f t="shared" si="27"/>
        <v>GUARDIAN</v>
      </c>
      <c r="F2236" s="2">
        <v>829.03</v>
      </c>
      <c r="G2236" t="str">
        <f t="shared" si="28"/>
        <v>GUARDIAN</v>
      </c>
    </row>
    <row r="2237" spans="1:7" x14ac:dyDescent="0.25">
      <c r="E2237" t="str">
        <f t="shared" si="27"/>
        <v>GUARDIAN</v>
      </c>
      <c r="F2237" s="2">
        <v>6.11</v>
      </c>
      <c r="G2237" t="str">
        <f t="shared" si="28"/>
        <v>GUARDIAN</v>
      </c>
    </row>
    <row r="2238" spans="1:7" x14ac:dyDescent="0.25">
      <c r="A2238" t="s">
        <v>563</v>
      </c>
      <c r="B2238">
        <v>253</v>
      </c>
      <c r="C2238" s="2">
        <v>109.1</v>
      </c>
      <c r="D2238" s="1">
        <v>43762</v>
      </c>
      <c r="E2238" t="str">
        <f t="shared" si="27"/>
        <v>GUARDIAN</v>
      </c>
      <c r="F2238" s="2">
        <v>6.66</v>
      </c>
      <c r="G2238" t="str">
        <f t="shared" si="28"/>
        <v>GUARDIAN</v>
      </c>
    </row>
    <row r="2239" spans="1:7" x14ac:dyDescent="0.25">
      <c r="E2239" t="str">
        <f t="shared" si="27"/>
        <v>GUARDIAN</v>
      </c>
      <c r="F2239" s="2">
        <v>6.66</v>
      </c>
      <c r="G2239" t="str">
        <f t="shared" si="28"/>
        <v>GUARDIAN</v>
      </c>
    </row>
    <row r="2240" spans="1:7" x14ac:dyDescent="0.25">
      <c r="E2240" t="str">
        <f t="shared" si="27"/>
        <v>GUARDIAN</v>
      </c>
      <c r="F2240" s="2">
        <v>47.89</v>
      </c>
      <c r="G2240" t="str">
        <f t="shared" si="28"/>
        <v>GUARDIAN</v>
      </c>
    </row>
    <row r="2241" spans="1:7" x14ac:dyDescent="0.25">
      <c r="E2241" t="str">
        <f t="shared" si="27"/>
        <v>GUARDIAN</v>
      </c>
      <c r="F2241" s="2">
        <v>47.89</v>
      </c>
      <c r="G2241" t="str">
        <f t="shared" si="28"/>
        <v>GUARDIAN</v>
      </c>
    </row>
    <row r="2242" spans="1:7" x14ac:dyDescent="0.25">
      <c r="A2242" t="s">
        <v>564</v>
      </c>
      <c r="B2242">
        <v>238</v>
      </c>
      <c r="C2242" s="2">
        <v>227842.09</v>
      </c>
      <c r="D2242" s="1">
        <v>43742</v>
      </c>
      <c r="E2242" t="str">
        <f>"FEDERAL WITHHOLDING"</f>
        <v>FEDERAL WITHHOLDING</v>
      </c>
      <c r="F2242" s="2">
        <v>75368.59</v>
      </c>
      <c r="G2242" t="str">
        <f>"FEDERAL WITHHOLDING"</f>
        <v>FEDERAL WITHHOLDING</v>
      </c>
    </row>
    <row r="2243" spans="1:7" x14ac:dyDescent="0.25">
      <c r="E2243" t="str">
        <f>"FEDERAL WITHHOLDING"</f>
        <v>FEDERAL WITHHOLDING</v>
      </c>
      <c r="F2243" s="2">
        <v>3119.98</v>
      </c>
      <c r="G2243" t="str">
        <f>"FEDERAL WITHHOLDING"</f>
        <v>FEDERAL WITHHOLDING</v>
      </c>
    </row>
    <row r="2244" spans="1:7" x14ac:dyDescent="0.25">
      <c r="E2244" t="str">
        <f>"FEDERAL WITHHOLDING"</f>
        <v>FEDERAL WITHHOLDING</v>
      </c>
      <c r="F2244" s="2">
        <v>3475.3</v>
      </c>
      <c r="G2244" t="str">
        <f>"FEDERAL WITHHOLDING"</f>
        <v>FEDERAL WITHHOLDING</v>
      </c>
    </row>
    <row r="2245" spans="1:7" x14ac:dyDescent="0.25">
      <c r="E2245" t="str">
        <f>"SOCIAL SECURITY TAXES"</f>
        <v>SOCIAL SECURITY TAXES</v>
      </c>
      <c r="F2245" s="2">
        <v>108997.75999999999</v>
      </c>
      <c r="G2245" t="str">
        <f t="shared" ref="G2245:G2276" si="29">"SOCIAL SECURITY TAXES"</f>
        <v>SOCIAL SECURITY TAXES</v>
      </c>
    </row>
    <row r="2246" spans="1:7" x14ac:dyDescent="0.25">
      <c r="E2246" t="str">
        <f>""</f>
        <v/>
      </c>
      <c r="G2246" t="str">
        <f t="shared" si="29"/>
        <v>SOCIAL SECURITY TAXES</v>
      </c>
    </row>
    <row r="2247" spans="1:7" x14ac:dyDescent="0.25">
      <c r="E2247" t="str">
        <f>""</f>
        <v/>
      </c>
      <c r="G2247" t="str">
        <f t="shared" si="29"/>
        <v>SOCIAL SECURITY TAXES</v>
      </c>
    </row>
    <row r="2248" spans="1:7" x14ac:dyDescent="0.25">
      <c r="E2248" t="str">
        <f>""</f>
        <v/>
      </c>
      <c r="G2248" t="str">
        <f t="shared" si="29"/>
        <v>SOCIAL SECURITY TAXES</v>
      </c>
    </row>
    <row r="2249" spans="1:7" x14ac:dyDescent="0.25">
      <c r="E2249" t="str">
        <f>""</f>
        <v/>
      </c>
      <c r="G2249" t="str">
        <f t="shared" si="29"/>
        <v>SOCIAL SECURITY TAXES</v>
      </c>
    </row>
    <row r="2250" spans="1:7" x14ac:dyDescent="0.25">
      <c r="E2250" t="str">
        <f>""</f>
        <v/>
      </c>
      <c r="G2250" t="str">
        <f t="shared" si="29"/>
        <v>SOCIAL SECURITY TAXES</v>
      </c>
    </row>
    <row r="2251" spans="1:7" x14ac:dyDescent="0.25">
      <c r="E2251" t="str">
        <f>""</f>
        <v/>
      </c>
      <c r="G2251" t="str">
        <f t="shared" si="29"/>
        <v>SOCIAL SECURITY TAXES</v>
      </c>
    </row>
    <row r="2252" spans="1:7" x14ac:dyDescent="0.25">
      <c r="E2252" t="str">
        <f>""</f>
        <v/>
      </c>
      <c r="G2252" t="str">
        <f t="shared" si="29"/>
        <v>SOCIAL SECURITY TAXES</v>
      </c>
    </row>
    <row r="2253" spans="1:7" x14ac:dyDescent="0.25">
      <c r="E2253" t="str">
        <f>""</f>
        <v/>
      </c>
      <c r="G2253" t="str">
        <f t="shared" si="29"/>
        <v>SOCIAL SECURITY TAXES</v>
      </c>
    </row>
    <row r="2254" spans="1:7" x14ac:dyDescent="0.25">
      <c r="E2254" t="str">
        <f>""</f>
        <v/>
      </c>
      <c r="G2254" t="str">
        <f t="shared" si="29"/>
        <v>SOCIAL SECURITY TAXES</v>
      </c>
    </row>
    <row r="2255" spans="1:7" x14ac:dyDescent="0.25">
      <c r="E2255" t="str">
        <f>""</f>
        <v/>
      </c>
      <c r="G2255" t="str">
        <f t="shared" si="29"/>
        <v>SOCIAL SECURITY TAXES</v>
      </c>
    </row>
    <row r="2256" spans="1:7" x14ac:dyDescent="0.25">
      <c r="E2256" t="str">
        <f>""</f>
        <v/>
      </c>
      <c r="G2256" t="str">
        <f t="shared" si="29"/>
        <v>SOCIAL SECURITY TAXES</v>
      </c>
    </row>
    <row r="2257" spans="5:7" x14ac:dyDescent="0.25">
      <c r="E2257" t="str">
        <f>""</f>
        <v/>
      </c>
      <c r="G2257" t="str">
        <f t="shared" si="29"/>
        <v>SOCIAL SECURITY TAXES</v>
      </c>
    </row>
    <row r="2258" spans="5:7" x14ac:dyDescent="0.25">
      <c r="E2258" t="str">
        <f>""</f>
        <v/>
      </c>
      <c r="G2258" t="str">
        <f t="shared" si="29"/>
        <v>SOCIAL SECURITY TAXES</v>
      </c>
    </row>
    <row r="2259" spans="5:7" x14ac:dyDescent="0.25">
      <c r="E2259" t="str">
        <f>""</f>
        <v/>
      </c>
      <c r="G2259" t="str">
        <f t="shared" si="29"/>
        <v>SOCIAL SECURITY TAXES</v>
      </c>
    </row>
    <row r="2260" spans="5:7" x14ac:dyDescent="0.25">
      <c r="E2260" t="str">
        <f>""</f>
        <v/>
      </c>
      <c r="G2260" t="str">
        <f t="shared" si="29"/>
        <v>SOCIAL SECURITY TAXES</v>
      </c>
    </row>
    <row r="2261" spans="5:7" x14ac:dyDescent="0.25">
      <c r="E2261" t="str">
        <f>""</f>
        <v/>
      </c>
      <c r="G2261" t="str">
        <f t="shared" si="29"/>
        <v>SOCIAL SECURITY TAXES</v>
      </c>
    </row>
    <row r="2262" spans="5:7" x14ac:dyDescent="0.25">
      <c r="E2262" t="str">
        <f>""</f>
        <v/>
      </c>
      <c r="G2262" t="str">
        <f t="shared" si="29"/>
        <v>SOCIAL SECURITY TAXES</v>
      </c>
    </row>
    <row r="2263" spans="5:7" x14ac:dyDescent="0.25">
      <c r="E2263" t="str">
        <f>""</f>
        <v/>
      </c>
      <c r="G2263" t="str">
        <f t="shared" si="29"/>
        <v>SOCIAL SECURITY TAXES</v>
      </c>
    </row>
    <row r="2264" spans="5:7" x14ac:dyDescent="0.25">
      <c r="E2264" t="str">
        <f>""</f>
        <v/>
      </c>
      <c r="G2264" t="str">
        <f t="shared" si="29"/>
        <v>SOCIAL SECURITY TAXES</v>
      </c>
    </row>
    <row r="2265" spans="5:7" x14ac:dyDescent="0.25">
      <c r="E2265" t="str">
        <f>""</f>
        <v/>
      </c>
      <c r="G2265" t="str">
        <f t="shared" si="29"/>
        <v>SOCIAL SECURITY TAXES</v>
      </c>
    </row>
    <row r="2266" spans="5:7" x14ac:dyDescent="0.25">
      <c r="E2266" t="str">
        <f>""</f>
        <v/>
      </c>
      <c r="G2266" t="str">
        <f t="shared" si="29"/>
        <v>SOCIAL SECURITY TAXES</v>
      </c>
    </row>
    <row r="2267" spans="5:7" x14ac:dyDescent="0.25">
      <c r="E2267" t="str">
        <f>""</f>
        <v/>
      </c>
      <c r="G2267" t="str">
        <f t="shared" si="29"/>
        <v>SOCIAL SECURITY TAXES</v>
      </c>
    </row>
    <row r="2268" spans="5:7" x14ac:dyDescent="0.25">
      <c r="E2268" t="str">
        <f>""</f>
        <v/>
      </c>
      <c r="G2268" t="str">
        <f t="shared" si="29"/>
        <v>SOCIAL SECURITY TAXES</v>
      </c>
    </row>
    <row r="2269" spans="5:7" x14ac:dyDescent="0.25">
      <c r="E2269" t="str">
        <f>""</f>
        <v/>
      </c>
      <c r="G2269" t="str">
        <f t="shared" si="29"/>
        <v>SOCIAL SECURITY TAXES</v>
      </c>
    </row>
    <row r="2270" spans="5:7" x14ac:dyDescent="0.25">
      <c r="E2270" t="str">
        <f>""</f>
        <v/>
      </c>
      <c r="G2270" t="str">
        <f t="shared" si="29"/>
        <v>SOCIAL SECURITY TAXES</v>
      </c>
    </row>
    <row r="2271" spans="5:7" x14ac:dyDescent="0.25">
      <c r="E2271" t="str">
        <f>""</f>
        <v/>
      </c>
      <c r="G2271" t="str">
        <f t="shared" si="29"/>
        <v>SOCIAL SECURITY TAXES</v>
      </c>
    </row>
    <row r="2272" spans="5:7" x14ac:dyDescent="0.25">
      <c r="E2272" t="str">
        <f>""</f>
        <v/>
      </c>
      <c r="G2272" t="str">
        <f t="shared" si="29"/>
        <v>SOCIAL SECURITY TAXES</v>
      </c>
    </row>
    <row r="2273" spans="5:7" x14ac:dyDescent="0.25">
      <c r="E2273" t="str">
        <f>""</f>
        <v/>
      </c>
      <c r="G2273" t="str">
        <f t="shared" si="29"/>
        <v>SOCIAL SECURITY TAXES</v>
      </c>
    </row>
    <row r="2274" spans="5:7" x14ac:dyDescent="0.25">
      <c r="E2274" t="str">
        <f>""</f>
        <v/>
      </c>
      <c r="G2274" t="str">
        <f t="shared" si="29"/>
        <v>SOCIAL SECURITY TAXES</v>
      </c>
    </row>
    <row r="2275" spans="5:7" x14ac:dyDescent="0.25">
      <c r="E2275" t="str">
        <f>""</f>
        <v/>
      </c>
      <c r="G2275" t="str">
        <f t="shared" si="29"/>
        <v>SOCIAL SECURITY TAXES</v>
      </c>
    </row>
    <row r="2276" spans="5:7" x14ac:dyDescent="0.25">
      <c r="E2276" t="str">
        <f>""</f>
        <v/>
      </c>
      <c r="G2276" t="str">
        <f t="shared" si="29"/>
        <v>SOCIAL SECURITY TAXES</v>
      </c>
    </row>
    <row r="2277" spans="5:7" x14ac:dyDescent="0.25">
      <c r="E2277" t="str">
        <f>""</f>
        <v/>
      </c>
      <c r="G2277" t="str">
        <f t="shared" ref="G2277:G2300" si="30">"SOCIAL SECURITY TAXES"</f>
        <v>SOCIAL SECURITY TAXES</v>
      </c>
    </row>
    <row r="2278" spans="5:7" x14ac:dyDescent="0.25">
      <c r="E2278" t="str">
        <f>""</f>
        <v/>
      </c>
      <c r="G2278" t="str">
        <f t="shared" si="30"/>
        <v>SOCIAL SECURITY TAXES</v>
      </c>
    </row>
    <row r="2279" spans="5:7" x14ac:dyDescent="0.25">
      <c r="E2279" t="str">
        <f>""</f>
        <v/>
      </c>
      <c r="G2279" t="str">
        <f t="shared" si="30"/>
        <v>SOCIAL SECURITY TAXES</v>
      </c>
    </row>
    <row r="2280" spans="5:7" x14ac:dyDescent="0.25">
      <c r="E2280" t="str">
        <f>""</f>
        <v/>
      </c>
      <c r="G2280" t="str">
        <f t="shared" si="30"/>
        <v>SOCIAL SECURITY TAXES</v>
      </c>
    </row>
    <row r="2281" spans="5:7" x14ac:dyDescent="0.25">
      <c r="E2281" t="str">
        <f>""</f>
        <v/>
      </c>
      <c r="G2281" t="str">
        <f t="shared" si="30"/>
        <v>SOCIAL SECURITY TAXES</v>
      </c>
    </row>
    <row r="2282" spans="5:7" x14ac:dyDescent="0.25">
      <c r="E2282" t="str">
        <f>""</f>
        <v/>
      </c>
      <c r="G2282" t="str">
        <f t="shared" si="30"/>
        <v>SOCIAL SECURITY TAXES</v>
      </c>
    </row>
    <row r="2283" spans="5:7" x14ac:dyDescent="0.25">
      <c r="E2283" t="str">
        <f>""</f>
        <v/>
      </c>
      <c r="G2283" t="str">
        <f t="shared" si="30"/>
        <v>SOCIAL SECURITY TAXES</v>
      </c>
    </row>
    <row r="2284" spans="5:7" x14ac:dyDescent="0.25">
      <c r="E2284" t="str">
        <f>""</f>
        <v/>
      </c>
      <c r="G2284" t="str">
        <f t="shared" si="30"/>
        <v>SOCIAL SECURITY TAXES</v>
      </c>
    </row>
    <row r="2285" spans="5:7" x14ac:dyDescent="0.25">
      <c r="E2285" t="str">
        <f>""</f>
        <v/>
      </c>
      <c r="G2285" t="str">
        <f t="shared" si="30"/>
        <v>SOCIAL SECURITY TAXES</v>
      </c>
    </row>
    <row r="2286" spans="5:7" x14ac:dyDescent="0.25">
      <c r="E2286" t="str">
        <f>""</f>
        <v/>
      </c>
      <c r="G2286" t="str">
        <f t="shared" si="30"/>
        <v>SOCIAL SECURITY TAXES</v>
      </c>
    </row>
    <row r="2287" spans="5:7" x14ac:dyDescent="0.25">
      <c r="E2287" t="str">
        <f>""</f>
        <v/>
      </c>
      <c r="G2287" t="str">
        <f t="shared" si="30"/>
        <v>SOCIAL SECURITY TAXES</v>
      </c>
    </row>
    <row r="2288" spans="5:7" x14ac:dyDescent="0.25">
      <c r="E2288" t="str">
        <f>""</f>
        <v/>
      </c>
      <c r="G2288" t="str">
        <f t="shared" si="30"/>
        <v>SOCIAL SECURITY TAXES</v>
      </c>
    </row>
    <row r="2289" spans="5:7" x14ac:dyDescent="0.25">
      <c r="E2289" t="str">
        <f>""</f>
        <v/>
      </c>
      <c r="G2289" t="str">
        <f t="shared" si="30"/>
        <v>SOCIAL SECURITY TAXES</v>
      </c>
    </row>
    <row r="2290" spans="5:7" x14ac:dyDescent="0.25">
      <c r="E2290" t="str">
        <f>""</f>
        <v/>
      </c>
      <c r="G2290" t="str">
        <f t="shared" si="30"/>
        <v>SOCIAL SECURITY TAXES</v>
      </c>
    </row>
    <row r="2291" spans="5:7" x14ac:dyDescent="0.25">
      <c r="E2291" t="str">
        <f>""</f>
        <v/>
      </c>
      <c r="G2291" t="str">
        <f t="shared" si="30"/>
        <v>SOCIAL SECURITY TAXES</v>
      </c>
    </row>
    <row r="2292" spans="5:7" x14ac:dyDescent="0.25">
      <c r="E2292" t="str">
        <f>""</f>
        <v/>
      </c>
      <c r="G2292" t="str">
        <f t="shared" si="30"/>
        <v>SOCIAL SECURITY TAXES</v>
      </c>
    </row>
    <row r="2293" spans="5:7" x14ac:dyDescent="0.25">
      <c r="E2293" t="str">
        <f>""</f>
        <v/>
      </c>
      <c r="G2293" t="str">
        <f t="shared" si="30"/>
        <v>SOCIAL SECURITY TAXES</v>
      </c>
    </row>
    <row r="2294" spans="5:7" x14ac:dyDescent="0.25">
      <c r="E2294" t="str">
        <f>""</f>
        <v/>
      </c>
      <c r="G2294" t="str">
        <f t="shared" si="30"/>
        <v>SOCIAL SECURITY TAXES</v>
      </c>
    </row>
    <row r="2295" spans="5:7" x14ac:dyDescent="0.25">
      <c r="E2295" t="str">
        <f>""</f>
        <v/>
      </c>
      <c r="G2295" t="str">
        <f t="shared" si="30"/>
        <v>SOCIAL SECURITY TAXES</v>
      </c>
    </row>
    <row r="2296" spans="5:7" x14ac:dyDescent="0.25">
      <c r="E2296" t="str">
        <f>""</f>
        <v/>
      </c>
      <c r="G2296" t="str">
        <f t="shared" si="30"/>
        <v>SOCIAL SECURITY TAXES</v>
      </c>
    </row>
    <row r="2297" spans="5:7" x14ac:dyDescent="0.25">
      <c r="E2297" t="str">
        <f>"SOCIAL SECURITY TAXES"</f>
        <v>SOCIAL SECURITY TAXES</v>
      </c>
      <c r="F2297" s="2">
        <v>4292.8</v>
      </c>
      <c r="G2297" t="str">
        <f t="shared" si="30"/>
        <v>SOCIAL SECURITY TAXES</v>
      </c>
    </row>
    <row r="2298" spans="5:7" x14ac:dyDescent="0.25">
      <c r="E2298" t="str">
        <f>""</f>
        <v/>
      </c>
      <c r="G2298" t="str">
        <f t="shared" si="30"/>
        <v>SOCIAL SECURITY TAXES</v>
      </c>
    </row>
    <row r="2299" spans="5:7" x14ac:dyDescent="0.25">
      <c r="E2299" t="str">
        <f>"SOCIAL SECURITY TAXES"</f>
        <v>SOCIAL SECURITY TAXES</v>
      </c>
      <c r="F2299" s="2">
        <v>4937.5600000000004</v>
      </c>
      <c r="G2299" t="str">
        <f t="shared" si="30"/>
        <v>SOCIAL SECURITY TAXES</v>
      </c>
    </row>
    <row r="2300" spans="5:7" x14ac:dyDescent="0.25">
      <c r="E2300" t="str">
        <f>""</f>
        <v/>
      </c>
      <c r="G2300" t="str">
        <f t="shared" si="30"/>
        <v>SOCIAL SECURITY TAXES</v>
      </c>
    </row>
    <row r="2301" spans="5:7" x14ac:dyDescent="0.25">
      <c r="E2301" t="str">
        <f>"MEDICARE TAXES"</f>
        <v>MEDICARE TAXES</v>
      </c>
      <c r="F2301" s="2">
        <v>25491.439999999999</v>
      </c>
      <c r="G2301" t="str">
        <f t="shared" ref="G2301:G2332" si="31">"MEDICARE TAXES"</f>
        <v>MEDICARE TAXES</v>
      </c>
    </row>
    <row r="2302" spans="5:7" x14ac:dyDescent="0.25">
      <c r="E2302" t="str">
        <f>""</f>
        <v/>
      </c>
      <c r="G2302" t="str">
        <f t="shared" si="31"/>
        <v>MEDICARE TAXES</v>
      </c>
    </row>
    <row r="2303" spans="5:7" x14ac:dyDescent="0.25">
      <c r="E2303" t="str">
        <f>""</f>
        <v/>
      </c>
      <c r="G2303" t="str">
        <f t="shared" si="31"/>
        <v>MEDICARE TAXES</v>
      </c>
    </row>
    <row r="2304" spans="5:7" x14ac:dyDescent="0.25">
      <c r="E2304" t="str">
        <f>""</f>
        <v/>
      </c>
      <c r="G2304" t="str">
        <f t="shared" si="31"/>
        <v>MEDICARE TAXES</v>
      </c>
    </row>
    <row r="2305" spans="5:7" x14ac:dyDescent="0.25">
      <c r="E2305" t="str">
        <f>""</f>
        <v/>
      </c>
      <c r="G2305" t="str">
        <f t="shared" si="31"/>
        <v>MEDICARE TAXES</v>
      </c>
    </row>
    <row r="2306" spans="5:7" x14ac:dyDescent="0.25">
      <c r="E2306" t="str">
        <f>""</f>
        <v/>
      </c>
      <c r="G2306" t="str">
        <f t="shared" si="31"/>
        <v>MEDICARE TAXES</v>
      </c>
    </row>
    <row r="2307" spans="5:7" x14ac:dyDescent="0.25">
      <c r="E2307" t="str">
        <f>""</f>
        <v/>
      </c>
      <c r="G2307" t="str">
        <f t="shared" si="31"/>
        <v>MEDICARE TAXES</v>
      </c>
    </row>
    <row r="2308" spans="5:7" x14ac:dyDescent="0.25">
      <c r="E2308" t="str">
        <f>""</f>
        <v/>
      </c>
      <c r="G2308" t="str">
        <f t="shared" si="31"/>
        <v>MEDICARE TAXES</v>
      </c>
    </row>
    <row r="2309" spans="5:7" x14ac:dyDescent="0.25">
      <c r="E2309" t="str">
        <f>""</f>
        <v/>
      </c>
      <c r="G2309" t="str">
        <f t="shared" si="31"/>
        <v>MEDICARE TAXES</v>
      </c>
    </row>
    <row r="2310" spans="5:7" x14ac:dyDescent="0.25">
      <c r="E2310" t="str">
        <f>""</f>
        <v/>
      </c>
      <c r="G2310" t="str">
        <f t="shared" si="31"/>
        <v>MEDICARE TAXES</v>
      </c>
    </row>
    <row r="2311" spans="5:7" x14ac:dyDescent="0.25">
      <c r="E2311" t="str">
        <f>""</f>
        <v/>
      </c>
      <c r="G2311" t="str">
        <f t="shared" si="31"/>
        <v>MEDICARE TAXES</v>
      </c>
    </row>
    <row r="2312" spans="5:7" x14ac:dyDescent="0.25">
      <c r="E2312" t="str">
        <f>""</f>
        <v/>
      </c>
      <c r="G2312" t="str">
        <f t="shared" si="31"/>
        <v>MEDICARE TAXES</v>
      </c>
    </row>
    <row r="2313" spans="5:7" x14ac:dyDescent="0.25">
      <c r="E2313" t="str">
        <f>""</f>
        <v/>
      </c>
      <c r="G2313" t="str">
        <f t="shared" si="31"/>
        <v>MEDICARE TAXES</v>
      </c>
    </row>
    <row r="2314" spans="5:7" x14ac:dyDescent="0.25">
      <c r="E2314" t="str">
        <f>""</f>
        <v/>
      </c>
      <c r="G2314" t="str">
        <f t="shared" si="31"/>
        <v>MEDICARE TAXES</v>
      </c>
    </row>
    <row r="2315" spans="5:7" x14ac:dyDescent="0.25">
      <c r="E2315" t="str">
        <f>""</f>
        <v/>
      </c>
      <c r="G2315" t="str">
        <f t="shared" si="31"/>
        <v>MEDICARE TAXES</v>
      </c>
    </row>
    <row r="2316" spans="5:7" x14ac:dyDescent="0.25">
      <c r="E2316" t="str">
        <f>""</f>
        <v/>
      </c>
      <c r="G2316" t="str">
        <f t="shared" si="31"/>
        <v>MEDICARE TAXES</v>
      </c>
    </row>
    <row r="2317" spans="5:7" x14ac:dyDescent="0.25">
      <c r="E2317" t="str">
        <f>""</f>
        <v/>
      </c>
      <c r="G2317" t="str">
        <f t="shared" si="31"/>
        <v>MEDICARE TAXES</v>
      </c>
    </row>
    <row r="2318" spans="5:7" x14ac:dyDescent="0.25">
      <c r="E2318" t="str">
        <f>""</f>
        <v/>
      </c>
      <c r="G2318" t="str">
        <f t="shared" si="31"/>
        <v>MEDICARE TAXES</v>
      </c>
    </row>
    <row r="2319" spans="5:7" x14ac:dyDescent="0.25">
      <c r="E2319" t="str">
        <f>""</f>
        <v/>
      </c>
      <c r="G2319" t="str">
        <f t="shared" si="31"/>
        <v>MEDICARE TAXES</v>
      </c>
    </row>
    <row r="2320" spans="5:7" x14ac:dyDescent="0.25">
      <c r="E2320" t="str">
        <f>""</f>
        <v/>
      </c>
      <c r="G2320" t="str">
        <f t="shared" si="31"/>
        <v>MEDICARE TAXES</v>
      </c>
    </row>
    <row r="2321" spans="5:7" x14ac:dyDescent="0.25">
      <c r="E2321" t="str">
        <f>""</f>
        <v/>
      </c>
      <c r="G2321" t="str">
        <f t="shared" si="31"/>
        <v>MEDICARE TAXES</v>
      </c>
    </row>
    <row r="2322" spans="5:7" x14ac:dyDescent="0.25">
      <c r="E2322" t="str">
        <f>""</f>
        <v/>
      </c>
      <c r="G2322" t="str">
        <f t="shared" si="31"/>
        <v>MEDICARE TAXES</v>
      </c>
    </row>
    <row r="2323" spans="5:7" x14ac:dyDescent="0.25">
      <c r="E2323" t="str">
        <f>""</f>
        <v/>
      </c>
      <c r="G2323" t="str">
        <f t="shared" si="31"/>
        <v>MEDICARE TAXES</v>
      </c>
    </row>
    <row r="2324" spans="5:7" x14ac:dyDescent="0.25">
      <c r="E2324" t="str">
        <f>""</f>
        <v/>
      </c>
      <c r="G2324" t="str">
        <f t="shared" si="31"/>
        <v>MEDICARE TAXES</v>
      </c>
    </row>
    <row r="2325" spans="5:7" x14ac:dyDescent="0.25">
      <c r="E2325" t="str">
        <f>""</f>
        <v/>
      </c>
      <c r="G2325" t="str">
        <f t="shared" si="31"/>
        <v>MEDICARE TAXES</v>
      </c>
    </row>
    <row r="2326" spans="5:7" x14ac:dyDescent="0.25">
      <c r="E2326" t="str">
        <f>""</f>
        <v/>
      </c>
      <c r="G2326" t="str">
        <f t="shared" si="31"/>
        <v>MEDICARE TAXES</v>
      </c>
    </row>
    <row r="2327" spans="5:7" x14ac:dyDescent="0.25">
      <c r="E2327" t="str">
        <f>""</f>
        <v/>
      </c>
      <c r="G2327" t="str">
        <f t="shared" si="31"/>
        <v>MEDICARE TAXES</v>
      </c>
    </row>
    <row r="2328" spans="5:7" x14ac:dyDescent="0.25">
      <c r="E2328" t="str">
        <f>""</f>
        <v/>
      </c>
      <c r="G2328" t="str">
        <f t="shared" si="31"/>
        <v>MEDICARE TAXES</v>
      </c>
    </row>
    <row r="2329" spans="5:7" x14ac:dyDescent="0.25">
      <c r="E2329" t="str">
        <f>""</f>
        <v/>
      </c>
      <c r="G2329" t="str">
        <f t="shared" si="31"/>
        <v>MEDICARE TAXES</v>
      </c>
    </row>
    <row r="2330" spans="5:7" x14ac:dyDescent="0.25">
      <c r="E2330" t="str">
        <f>""</f>
        <v/>
      </c>
      <c r="G2330" t="str">
        <f t="shared" si="31"/>
        <v>MEDICARE TAXES</v>
      </c>
    </row>
    <row r="2331" spans="5:7" x14ac:dyDescent="0.25">
      <c r="E2331" t="str">
        <f>""</f>
        <v/>
      </c>
      <c r="G2331" t="str">
        <f t="shared" si="31"/>
        <v>MEDICARE TAXES</v>
      </c>
    </row>
    <row r="2332" spans="5:7" x14ac:dyDescent="0.25">
      <c r="E2332" t="str">
        <f>""</f>
        <v/>
      </c>
      <c r="G2332" t="str">
        <f t="shared" si="31"/>
        <v>MEDICARE TAXES</v>
      </c>
    </row>
    <row r="2333" spans="5:7" x14ac:dyDescent="0.25">
      <c r="E2333" t="str">
        <f>""</f>
        <v/>
      </c>
      <c r="G2333" t="str">
        <f t="shared" ref="G2333:G2356" si="32">"MEDICARE TAXES"</f>
        <v>MEDICARE TAXES</v>
      </c>
    </row>
    <row r="2334" spans="5:7" x14ac:dyDescent="0.25">
      <c r="E2334" t="str">
        <f>""</f>
        <v/>
      </c>
      <c r="G2334" t="str">
        <f t="shared" si="32"/>
        <v>MEDICARE TAXES</v>
      </c>
    </row>
    <row r="2335" spans="5:7" x14ac:dyDescent="0.25">
      <c r="E2335" t="str">
        <f>""</f>
        <v/>
      </c>
      <c r="G2335" t="str">
        <f t="shared" si="32"/>
        <v>MEDICARE TAXES</v>
      </c>
    </row>
    <row r="2336" spans="5:7" x14ac:dyDescent="0.25">
      <c r="E2336" t="str">
        <f>""</f>
        <v/>
      </c>
      <c r="G2336" t="str">
        <f t="shared" si="32"/>
        <v>MEDICARE TAXES</v>
      </c>
    </row>
    <row r="2337" spans="5:7" x14ac:dyDescent="0.25">
      <c r="E2337" t="str">
        <f>""</f>
        <v/>
      </c>
      <c r="G2337" t="str">
        <f t="shared" si="32"/>
        <v>MEDICARE TAXES</v>
      </c>
    </row>
    <row r="2338" spans="5:7" x14ac:dyDescent="0.25">
      <c r="E2338" t="str">
        <f>""</f>
        <v/>
      </c>
      <c r="G2338" t="str">
        <f t="shared" si="32"/>
        <v>MEDICARE TAXES</v>
      </c>
    </row>
    <row r="2339" spans="5:7" x14ac:dyDescent="0.25">
      <c r="E2339" t="str">
        <f>""</f>
        <v/>
      </c>
      <c r="G2339" t="str">
        <f t="shared" si="32"/>
        <v>MEDICARE TAXES</v>
      </c>
    </row>
    <row r="2340" spans="5:7" x14ac:dyDescent="0.25">
      <c r="E2340" t="str">
        <f>""</f>
        <v/>
      </c>
      <c r="G2340" t="str">
        <f t="shared" si="32"/>
        <v>MEDICARE TAXES</v>
      </c>
    </row>
    <row r="2341" spans="5:7" x14ac:dyDescent="0.25">
      <c r="E2341" t="str">
        <f>""</f>
        <v/>
      </c>
      <c r="G2341" t="str">
        <f t="shared" si="32"/>
        <v>MEDICARE TAXES</v>
      </c>
    </row>
    <row r="2342" spans="5:7" x14ac:dyDescent="0.25">
      <c r="E2342" t="str">
        <f>""</f>
        <v/>
      </c>
      <c r="G2342" t="str">
        <f t="shared" si="32"/>
        <v>MEDICARE TAXES</v>
      </c>
    </row>
    <row r="2343" spans="5:7" x14ac:dyDescent="0.25">
      <c r="E2343" t="str">
        <f>""</f>
        <v/>
      </c>
      <c r="G2343" t="str">
        <f t="shared" si="32"/>
        <v>MEDICARE TAXES</v>
      </c>
    </row>
    <row r="2344" spans="5:7" x14ac:dyDescent="0.25">
      <c r="E2344" t="str">
        <f>""</f>
        <v/>
      </c>
      <c r="G2344" t="str">
        <f t="shared" si="32"/>
        <v>MEDICARE TAXES</v>
      </c>
    </row>
    <row r="2345" spans="5:7" x14ac:dyDescent="0.25">
      <c r="E2345" t="str">
        <f>""</f>
        <v/>
      </c>
      <c r="G2345" t="str">
        <f t="shared" si="32"/>
        <v>MEDICARE TAXES</v>
      </c>
    </row>
    <row r="2346" spans="5:7" x14ac:dyDescent="0.25">
      <c r="E2346" t="str">
        <f>""</f>
        <v/>
      </c>
      <c r="G2346" t="str">
        <f t="shared" si="32"/>
        <v>MEDICARE TAXES</v>
      </c>
    </row>
    <row r="2347" spans="5:7" x14ac:dyDescent="0.25">
      <c r="E2347" t="str">
        <f>""</f>
        <v/>
      </c>
      <c r="G2347" t="str">
        <f t="shared" si="32"/>
        <v>MEDICARE TAXES</v>
      </c>
    </row>
    <row r="2348" spans="5:7" x14ac:dyDescent="0.25">
      <c r="E2348" t="str">
        <f>""</f>
        <v/>
      </c>
      <c r="G2348" t="str">
        <f t="shared" si="32"/>
        <v>MEDICARE TAXES</v>
      </c>
    </row>
    <row r="2349" spans="5:7" x14ac:dyDescent="0.25">
      <c r="E2349" t="str">
        <f>""</f>
        <v/>
      </c>
      <c r="G2349" t="str">
        <f t="shared" si="32"/>
        <v>MEDICARE TAXES</v>
      </c>
    </row>
    <row r="2350" spans="5:7" x14ac:dyDescent="0.25">
      <c r="E2350" t="str">
        <f>""</f>
        <v/>
      </c>
      <c r="G2350" t="str">
        <f t="shared" si="32"/>
        <v>MEDICARE TAXES</v>
      </c>
    </row>
    <row r="2351" spans="5:7" x14ac:dyDescent="0.25">
      <c r="E2351" t="str">
        <f>""</f>
        <v/>
      </c>
      <c r="G2351" t="str">
        <f t="shared" si="32"/>
        <v>MEDICARE TAXES</v>
      </c>
    </row>
    <row r="2352" spans="5:7" x14ac:dyDescent="0.25">
      <c r="E2352" t="str">
        <f>""</f>
        <v/>
      </c>
      <c r="G2352" t="str">
        <f t="shared" si="32"/>
        <v>MEDICARE TAXES</v>
      </c>
    </row>
    <row r="2353" spans="1:7" x14ac:dyDescent="0.25">
      <c r="E2353" t="str">
        <f>"MEDICARE TAXES"</f>
        <v>MEDICARE TAXES</v>
      </c>
      <c r="F2353" s="2">
        <v>1003.98</v>
      </c>
      <c r="G2353" t="str">
        <f t="shared" si="32"/>
        <v>MEDICARE TAXES</v>
      </c>
    </row>
    <row r="2354" spans="1:7" x14ac:dyDescent="0.25">
      <c r="E2354" t="str">
        <f>""</f>
        <v/>
      </c>
      <c r="G2354" t="str">
        <f t="shared" si="32"/>
        <v>MEDICARE TAXES</v>
      </c>
    </row>
    <row r="2355" spans="1:7" x14ac:dyDescent="0.25">
      <c r="E2355" t="str">
        <f>"MEDICARE TAXES"</f>
        <v>MEDICARE TAXES</v>
      </c>
      <c r="F2355" s="2">
        <v>1154.68</v>
      </c>
      <c r="G2355" t="str">
        <f t="shared" si="32"/>
        <v>MEDICARE TAXES</v>
      </c>
    </row>
    <row r="2356" spans="1:7" x14ac:dyDescent="0.25">
      <c r="E2356" t="str">
        <f>""</f>
        <v/>
      </c>
      <c r="G2356" t="str">
        <f t="shared" si="32"/>
        <v>MEDICARE TAXES</v>
      </c>
    </row>
    <row r="2357" spans="1:7" x14ac:dyDescent="0.25">
      <c r="A2357" t="s">
        <v>564</v>
      </c>
      <c r="B2357">
        <v>245</v>
      </c>
      <c r="C2357" s="2">
        <v>241588.78</v>
      </c>
      <c r="D2357" s="1">
        <v>43756</v>
      </c>
      <c r="E2357" t="str">
        <f>"FEDERAL WITHHOLDING"</f>
        <v>FEDERAL WITHHOLDING</v>
      </c>
      <c r="F2357" s="2">
        <v>81831.03</v>
      </c>
      <c r="G2357" t="str">
        <f>"FEDERAL WITHHOLDING"</f>
        <v>FEDERAL WITHHOLDING</v>
      </c>
    </row>
    <row r="2358" spans="1:7" x14ac:dyDescent="0.25">
      <c r="E2358" t="str">
        <f>"FEDERAL WITHHOLDING"</f>
        <v>FEDERAL WITHHOLDING</v>
      </c>
      <c r="F2358" s="2">
        <v>3048.47</v>
      </c>
      <c r="G2358" t="str">
        <f>"FEDERAL WITHHOLDING"</f>
        <v>FEDERAL WITHHOLDING</v>
      </c>
    </row>
    <row r="2359" spans="1:7" x14ac:dyDescent="0.25">
      <c r="E2359" t="str">
        <f>"FEDERAL WITHHOLDING"</f>
        <v>FEDERAL WITHHOLDING</v>
      </c>
      <c r="F2359" s="2">
        <v>3604.12</v>
      </c>
      <c r="G2359" t="str">
        <f>"FEDERAL WITHHOLDING"</f>
        <v>FEDERAL WITHHOLDING</v>
      </c>
    </row>
    <row r="2360" spans="1:7" x14ac:dyDescent="0.25">
      <c r="E2360" t="str">
        <f>"SOCIAL SECURITY TAXES"</f>
        <v>SOCIAL SECURITY TAXES</v>
      </c>
      <c r="F2360" s="2">
        <v>114782.88</v>
      </c>
      <c r="G2360" t="str">
        <f t="shared" ref="G2360:G2391" si="33">"SOCIAL SECURITY TAXES"</f>
        <v>SOCIAL SECURITY TAXES</v>
      </c>
    </row>
    <row r="2361" spans="1:7" x14ac:dyDescent="0.25">
      <c r="E2361" t="str">
        <f>""</f>
        <v/>
      </c>
      <c r="G2361" t="str">
        <f t="shared" si="33"/>
        <v>SOCIAL SECURITY TAXES</v>
      </c>
    </row>
    <row r="2362" spans="1:7" x14ac:dyDescent="0.25">
      <c r="E2362" t="str">
        <f>""</f>
        <v/>
      </c>
      <c r="G2362" t="str">
        <f t="shared" si="33"/>
        <v>SOCIAL SECURITY TAXES</v>
      </c>
    </row>
    <row r="2363" spans="1:7" x14ac:dyDescent="0.25">
      <c r="E2363" t="str">
        <f>""</f>
        <v/>
      </c>
      <c r="G2363" t="str">
        <f t="shared" si="33"/>
        <v>SOCIAL SECURITY TAXES</v>
      </c>
    </row>
    <row r="2364" spans="1:7" x14ac:dyDescent="0.25">
      <c r="E2364" t="str">
        <f>""</f>
        <v/>
      </c>
      <c r="G2364" t="str">
        <f t="shared" si="33"/>
        <v>SOCIAL SECURITY TAXES</v>
      </c>
    </row>
    <row r="2365" spans="1:7" x14ac:dyDescent="0.25">
      <c r="E2365" t="str">
        <f>""</f>
        <v/>
      </c>
      <c r="G2365" t="str">
        <f t="shared" si="33"/>
        <v>SOCIAL SECURITY TAXES</v>
      </c>
    </row>
    <row r="2366" spans="1:7" x14ac:dyDescent="0.25">
      <c r="E2366" t="str">
        <f>""</f>
        <v/>
      </c>
      <c r="G2366" t="str">
        <f t="shared" si="33"/>
        <v>SOCIAL SECURITY TAXES</v>
      </c>
    </row>
    <row r="2367" spans="1:7" x14ac:dyDescent="0.25">
      <c r="E2367" t="str">
        <f>""</f>
        <v/>
      </c>
      <c r="G2367" t="str">
        <f t="shared" si="33"/>
        <v>SOCIAL SECURITY TAXES</v>
      </c>
    </row>
    <row r="2368" spans="1:7" x14ac:dyDescent="0.25">
      <c r="E2368" t="str">
        <f>""</f>
        <v/>
      </c>
      <c r="G2368" t="str">
        <f t="shared" si="33"/>
        <v>SOCIAL SECURITY TAXES</v>
      </c>
    </row>
    <row r="2369" spans="5:7" x14ac:dyDescent="0.25">
      <c r="E2369" t="str">
        <f>""</f>
        <v/>
      </c>
      <c r="G2369" t="str">
        <f t="shared" si="33"/>
        <v>SOCIAL SECURITY TAXES</v>
      </c>
    </row>
    <row r="2370" spans="5:7" x14ac:dyDescent="0.25">
      <c r="E2370" t="str">
        <f>""</f>
        <v/>
      </c>
      <c r="G2370" t="str">
        <f t="shared" si="33"/>
        <v>SOCIAL SECURITY TAXES</v>
      </c>
    </row>
    <row r="2371" spans="5:7" x14ac:dyDescent="0.25">
      <c r="E2371" t="str">
        <f>""</f>
        <v/>
      </c>
      <c r="G2371" t="str">
        <f t="shared" si="33"/>
        <v>SOCIAL SECURITY TAXES</v>
      </c>
    </row>
    <row r="2372" spans="5:7" x14ac:dyDescent="0.25">
      <c r="E2372" t="str">
        <f>""</f>
        <v/>
      </c>
      <c r="G2372" t="str">
        <f t="shared" si="33"/>
        <v>SOCIAL SECURITY TAXES</v>
      </c>
    </row>
    <row r="2373" spans="5:7" x14ac:dyDescent="0.25">
      <c r="E2373" t="str">
        <f>""</f>
        <v/>
      </c>
      <c r="G2373" t="str">
        <f t="shared" si="33"/>
        <v>SOCIAL SECURITY TAXES</v>
      </c>
    </row>
    <row r="2374" spans="5:7" x14ac:dyDescent="0.25">
      <c r="E2374" t="str">
        <f>""</f>
        <v/>
      </c>
      <c r="G2374" t="str">
        <f t="shared" si="33"/>
        <v>SOCIAL SECURITY TAXES</v>
      </c>
    </row>
    <row r="2375" spans="5:7" x14ac:dyDescent="0.25">
      <c r="E2375" t="str">
        <f>""</f>
        <v/>
      </c>
      <c r="G2375" t="str">
        <f t="shared" si="33"/>
        <v>SOCIAL SECURITY TAXES</v>
      </c>
    </row>
    <row r="2376" spans="5:7" x14ac:dyDescent="0.25">
      <c r="E2376" t="str">
        <f>""</f>
        <v/>
      </c>
      <c r="G2376" t="str">
        <f t="shared" si="33"/>
        <v>SOCIAL SECURITY TAXES</v>
      </c>
    </row>
    <row r="2377" spans="5:7" x14ac:dyDescent="0.25">
      <c r="E2377" t="str">
        <f>""</f>
        <v/>
      </c>
      <c r="G2377" t="str">
        <f t="shared" si="33"/>
        <v>SOCIAL SECURITY TAXES</v>
      </c>
    </row>
    <row r="2378" spans="5:7" x14ac:dyDescent="0.25">
      <c r="E2378" t="str">
        <f>""</f>
        <v/>
      </c>
      <c r="G2378" t="str">
        <f t="shared" si="33"/>
        <v>SOCIAL SECURITY TAXES</v>
      </c>
    </row>
    <row r="2379" spans="5:7" x14ac:dyDescent="0.25">
      <c r="E2379" t="str">
        <f>""</f>
        <v/>
      </c>
      <c r="G2379" t="str">
        <f t="shared" si="33"/>
        <v>SOCIAL SECURITY TAXES</v>
      </c>
    </row>
    <row r="2380" spans="5:7" x14ac:dyDescent="0.25">
      <c r="E2380" t="str">
        <f>""</f>
        <v/>
      </c>
      <c r="G2380" t="str">
        <f t="shared" si="33"/>
        <v>SOCIAL SECURITY TAXES</v>
      </c>
    </row>
    <row r="2381" spans="5:7" x14ac:dyDescent="0.25">
      <c r="E2381" t="str">
        <f>""</f>
        <v/>
      </c>
      <c r="G2381" t="str">
        <f t="shared" si="33"/>
        <v>SOCIAL SECURITY TAXES</v>
      </c>
    </row>
    <row r="2382" spans="5:7" x14ac:dyDescent="0.25">
      <c r="E2382" t="str">
        <f>""</f>
        <v/>
      </c>
      <c r="G2382" t="str">
        <f t="shared" si="33"/>
        <v>SOCIAL SECURITY TAXES</v>
      </c>
    </row>
    <row r="2383" spans="5:7" x14ac:dyDescent="0.25">
      <c r="E2383" t="str">
        <f>""</f>
        <v/>
      </c>
      <c r="G2383" t="str">
        <f t="shared" si="33"/>
        <v>SOCIAL SECURITY TAXES</v>
      </c>
    </row>
    <row r="2384" spans="5:7" x14ac:dyDescent="0.25">
      <c r="E2384" t="str">
        <f>""</f>
        <v/>
      </c>
      <c r="G2384" t="str">
        <f t="shared" si="33"/>
        <v>SOCIAL SECURITY TAXES</v>
      </c>
    </row>
    <row r="2385" spans="5:7" x14ac:dyDescent="0.25">
      <c r="E2385" t="str">
        <f>""</f>
        <v/>
      </c>
      <c r="G2385" t="str">
        <f t="shared" si="33"/>
        <v>SOCIAL SECURITY TAXES</v>
      </c>
    </row>
    <row r="2386" spans="5:7" x14ac:dyDescent="0.25">
      <c r="E2386" t="str">
        <f>""</f>
        <v/>
      </c>
      <c r="G2386" t="str">
        <f t="shared" si="33"/>
        <v>SOCIAL SECURITY TAXES</v>
      </c>
    </row>
    <row r="2387" spans="5:7" x14ac:dyDescent="0.25">
      <c r="E2387" t="str">
        <f>""</f>
        <v/>
      </c>
      <c r="G2387" t="str">
        <f t="shared" si="33"/>
        <v>SOCIAL SECURITY TAXES</v>
      </c>
    </row>
    <row r="2388" spans="5:7" x14ac:dyDescent="0.25">
      <c r="E2388" t="str">
        <f>""</f>
        <v/>
      </c>
      <c r="G2388" t="str">
        <f t="shared" si="33"/>
        <v>SOCIAL SECURITY TAXES</v>
      </c>
    </row>
    <row r="2389" spans="5:7" x14ac:dyDescent="0.25">
      <c r="E2389" t="str">
        <f>""</f>
        <v/>
      </c>
      <c r="G2389" t="str">
        <f t="shared" si="33"/>
        <v>SOCIAL SECURITY TAXES</v>
      </c>
    </row>
    <row r="2390" spans="5:7" x14ac:dyDescent="0.25">
      <c r="E2390" t="str">
        <f>""</f>
        <v/>
      </c>
      <c r="G2390" t="str">
        <f t="shared" si="33"/>
        <v>SOCIAL SECURITY TAXES</v>
      </c>
    </row>
    <row r="2391" spans="5:7" x14ac:dyDescent="0.25">
      <c r="E2391" t="str">
        <f>""</f>
        <v/>
      </c>
      <c r="G2391" t="str">
        <f t="shared" si="33"/>
        <v>SOCIAL SECURITY TAXES</v>
      </c>
    </row>
    <row r="2392" spans="5:7" x14ac:dyDescent="0.25">
      <c r="E2392" t="str">
        <f>""</f>
        <v/>
      </c>
      <c r="G2392" t="str">
        <f t="shared" ref="G2392:G2416" si="34">"SOCIAL SECURITY TAXES"</f>
        <v>SOCIAL SECURITY TAXES</v>
      </c>
    </row>
    <row r="2393" spans="5:7" x14ac:dyDescent="0.25">
      <c r="E2393" t="str">
        <f>""</f>
        <v/>
      </c>
      <c r="G2393" t="str">
        <f t="shared" si="34"/>
        <v>SOCIAL SECURITY TAXES</v>
      </c>
    </row>
    <row r="2394" spans="5:7" x14ac:dyDescent="0.25">
      <c r="E2394" t="str">
        <f>""</f>
        <v/>
      </c>
      <c r="G2394" t="str">
        <f t="shared" si="34"/>
        <v>SOCIAL SECURITY TAXES</v>
      </c>
    </row>
    <row r="2395" spans="5:7" x14ac:dyDescent="0.25">
      <c r="E2395" t="str">
        <f>""</f>
        <v/>
      </c>
      <c r="G2395" t="str">
        <f t="shared" si="34"/>
        <v>SOCIAL SECURITY TAXES</v>
      </c>
    </row>
    <row r="2396" spans="5:7" x14ac:dyDescent="0.25">
      <c r="E2396" t="str">
        <f>""</f>
        <v/>
      </c>
      <c r="G2396" t="str">
        <f t="shared" si="34"/>
        <v>SOCIAL SECURITY TAXES</v>
      </c>
    </row>
    <row r="2397" spans="5:7" x14ac:dyDescent="0.25">
      <c r="E2397" t="str">
        <f>""</f>
        <v/>
      </c>
      <c r="G2397" t="str">
        <f t="shared" si="34"/>
        <v>SOCIAL SECURITY TAXES</v>
      </c>
    </row>
    <row r="2398" spans="5:7" x14ac:dyDescent="0.25">
      <c r="E2398" t="str">
        <f>""</f>
        <v/>
      </c>
      <c r="G2398" t="str">
        <f t="shared" si="34"/>
        <v>SOCIAL SECURITY TAXES</v>
      </c>
    </row>
    <row r="2399" spans="5:7" x14ac:dyDescent="0.25">
      <c r="E2399" t="str">
        <f>""</f>
        <v/>
      </c>
      <c r="G2399" t="str">
        <f t="shared" si="34"/>
        <v>SOCIAL SECURITY TAXES</v>
      </c>
    </row>
    <row r="2400" spans="5:7" x14ac:dyDescent="0.25">
      <c r="E2400" t="str">
        <f>""</f>
        <v/>
      </c>
      <c r="G2400" t="str">
        <f t="shared" si="34"/>
        <v>SOCIAL SECURITY TAXES</v>
      </c>
    </row>
    <row r="2401" spans="5:7" x14ac:dyDescent="0.25">
      <c r="E2401" t="str">
        <f>""</f>
        <v/>
      </c>
      <c r="G2401" t="str">
        <f t="shared" si="34"/>
        <v>SOCIAL SECURITY TAXES</v>
      </c>
    </row>
    <row r="2402" spans="5:7" x14ac:dyDescent="0.25">
      <c r="E2402" t="str">
        <f>""</f>
        <v/>
      </c>
      <c r="G2402" t="str">
        <f t="shared" si="34"/>
        <v>SOCIAL SECURITY TAXES</v>
      </c>
    </row>
    <row r="2403" spans="5:7" x14ac:dyDescent="0.25">
      <c r="E2403" t="str">
        <f>""</f>
        <v/>
      </c>
      <c r="G2403" t="str">
        <f t="shared" si="34"/>
        <v>SOCIAL SECURITY TAXES</v>
      </c>
    </row>
    <row r="2404" spans="5:7" x14ac:dyDescent="0.25">
      <c r="E2404" t="str">
        <f>""</f>
        <v/>
      </c>
      <c r="G2404" t="str">
        <f t="shared" si="34"/>
        <v>SOCIAL SECURITY TAXES</v>
      </c>
    </row>
    <row r="2405" spans="5:7" x14ac:dyDescent="0.25">
      <c r="E2405" t="str">
        <f>""</f>
        <v/>
      </c>
      <c r="G2405" t="str">
        <f t="shared" si="34"/>
        <v>SOCIAL SECURITY TAXES</v>
      </c>
    </row>
    <row r="2406" spans="5:7" x14ac:dyDescent="0.25">
      <c r="E2406" t="str">
        <f>""</f>
        <v/>
      </c>
      <c r="G2406" t="str">
        <f t="shared" si="34"/>
        <v>SOCIAL SECURITY TAXES</v>
      </c>
    </row>
    <row r="2407" spans="5:7" x14ac:dyDescent="0.25">
      <c r="E2407" t="str">
        <f>""</f>
        <v/>
      </c>
      <c r="G2407" t="str">
        <f t="shared" si="34"/>
        <v>SOCIAL SECURITY TAXES</v>
      </c>
    </row>
    <row r="2408" spans="5:7" x14ac:dyDescent="0.25">
      <c r="E2408" t="str">
        <f>""</f>
        <v/>
      </c>
      <c r="G2408" t="str">
        <f t="shared" si="34"/>
        <v>SOCIAL SECURITY TAXES</v>
      </c>
    </row>
    <row r="2409" spans="5:7" x14ac:dyDescent="0.25">
      <c r="E2409" t="str">
        <f>""</f>
        <v/>
      </c>
      <c r="G2409" t="str">
        <f t="shared" si="34"/>
        <v>SOCIAL SECURITY TAXES</v>
      </c>
    </row>
    <row r="2410" spans="5:7" x14ac:dyDescent="0.25">
      <c r="E2410" t="str">
        <f>""</f>
        <v/>
      </c>
      <c r="G2410" t="str">
        <f t="shared" si="34"/>
        <v>SOCIAL SECURITY TAXES</v>
      </c>
    </row>
    <row r="2411" spans="5:7" x14ac:dyDescent="0.25">
      <c r="E2411" t="str">
        <f>""</f>
        <v/>
      </c>
      <c r="G2411" t="str">
        <f t="shared" si="34"/>
        <v>SOCIAL SECURITY TAXES</v>
      </c>
    </row>
    <row r="2412" spans="5:7" x14ac:dyDescent="0.25">
      <c r="E2412" t="str">
        <f>""</f>
        <v/>
      </c>
      <c r="G2412" t="str">
        <f t="shared" si="34"/>
        <v>SOCIAL SECURITY TAXES</v>
      </c>
    </row>
    <row r="2413" spans="5:7" x14ac:dyDescent="0.25">
      <c r="E2413" t="str">
        <f>"SOCIAL SECURITY TAXES"</f>
        <v>SOCIAL SECURITY TAXES</v>
      </c>
      <c r="F2413" s="2">
        <v>4187.5</v>
      </c>
      <c r="G2413" t="str">
        <f t="shared" si="34"/>
        <v>SOCIAL SECURITY TAXES</v>
      </c>
    </row>
    <row r="2414" spans="5:7" x14ac:dyDescent="0.25">
      <c r="E2414" t="str">
        <f>""</f>
        <v/>
      </c>
      <c r="G2414" t="str">
        <f t="shared" si="34"/>
        <v>SOCIAL SECURITY TAXES</v>
      </c>
    </row>
    <row r="2415" spans="5:7" x14ac:dyDescent="0.25">
      <c r="E2415" t="str">
        <f>"SOCIAL SECURITY TAXES"</f>
        <v>SOCIAL SECURITY TAXES</v>
      </c>
      <c r="F2415" s="2">
        <v>5114.96</v>
      </c>
      <c r="G2415" t="str">
        <f t="shared" si="34"/>
        <v>SOCIAL SECURITY TAXES</v>
      </c>
    </row>
    <row r="2416" spans="5:7" x14ac:dyDescent="0.25">
      <c r="E2416" t="str">
        <f>""</f>
        <v/>
      </c>
      <c r="G2416" t="str">
        <f t="shared" si="34"/>
        <v>SOCIAL SECURITY TAXES</v>
      </c>
    </row>
    <row r="2417" spans="5:7" x14ac:dyDescent="0.25">
      <c r="E2417" t="str">
        <f>"MEDICARE TAXES"</f>
        <v>MEDICARE TAXES</v>
      </c>
      <c r="F2417" s="2">
        <v>26844.28</v>
      </c>
      <c r="G2417" t="str">
        <f t="shared" ref="G2417:G2448" si="35">"MEDICARE TAXES"</f>
        <v>MEDICARE TAXES</v>
      </c>
    </row>
    <row r="2418" spans="5:7" x14ac:dyDescent="0.25">
      <c r="E2418" t="str">
        <f>""</f>
        <v/>
      </c>
      <c r="G2418" t="str">
        <f t="shared" si="35"/>
        <v>MEDICARE TAXES</v>
      </c>
    </row>
    <row r="2419" spans="5:7" x14ac:dyDescent="0.25">
      <c r="E2419" t="str">
        <f>""</f>
        <v/>
      </c>
      <c r="G2419" t="str">
        <f t="shared" si="35"/>
        <v>MEDICARE TAXES</v>
      </c>
    </row>
    <row r="2420" spans="5:7" x14ac:dyDescent="0.25">
      <c r="E2420" t="str">
        <f>""</f>
        <v/>
      </c>
      <c r="G2420" t="str">
        <f t="shared" si="35"/>
        <v>MEDICARE TAXES</v>
      </c>
    </row>
    <row r="2421" spans="5:7" x14ac:dyDescent="0.25">
      <c r="E2421" t="str">
        <f>""</f>
        <v/>
      </c>
      <c r="G2421" t="str">
        <f t="shared" si="35"/>
        <v>MEDICARE TAXES</v>
      </c>
    </row>
    <row r="2422" spans="5:7" x14ac:dyDescent="0.25">
      <c r="E2422" t="str">
        <f>""</f>
        <v/>
      </c>
      <c r="G2422" t="str">
        <f t="shared" si="35"/>
        <v>MEDICARE TAXES</v>
      </c>
    </row>
    <row r="2423" spans="5:7" x14ac:dyDescent="0.25">
      <c r="E2423" t="str">
        <f>""</f>
        <v/>
      </c>
      <c r="G2423" t="str">
        <f t="shared" si="35"/>
        <v>MEDICARE TAXES</v>
      </c>
    </row>
    <row r="2424" spans="5:7" x14ac:dyDescent="0.25">
      <c r="E2424" t="str">
        <f>""</f>
        <v/>
      </c>
      <c r="G2424" t="str">
        <f t="shared" si="35"/>
        <v>MEDICARE TAXES</v>
      </c>
    </row>
    <row r="2425" spans="5:7" x14ac:dyDescent="0.25">
      <c r="E2425" t="str">
        <f>""</f>
        <v/>
      </c>
      <c r="G2425" t="str">
        <f t="shared" si="35"/>
        <v>MEDICARE TAXES</v>
      </c>
    </row>
    <row r="2426" spans="5:7" x14ac:dyDescent="0.25">
      <c r="E2426" t="str">
        <f>""</f>
        <v/>
      </c>
      <c r="G2426" t="str">
        <f t="shared" si="35"/>
        <v>MEDICARE TAXES</v>
      </c>
    </row>
    <row r="2427" spans="5:7" x14ac:dyDescent="0.25">
      <c r="E2427" t="str">
        <f>""</f>
        <v/>
      </c>
      <c r="G2427" t="str">
        <f t="shared" si="35"/>
        <v>MEDICARE TAXES</v>
      </c>
    </row>
    <row r="2428" spans="5:7" x14ac:dyDescent="0.25">
      <c r="E2428" t="str">
        <f>""</f>
        <v/>
      </c>
      <c r="G2428" t="str">
        <f t="shared" si="35"/>
        <v>MEDICARE TAXES</v>
      </c>
    </row>
    <row r="2429" spans="5:7" x14ac:dyDescent="0.25">
      <c r="E2429" t="str">
        <f>""</f>
        <v/>
      </c>
      <c r="G2429" t="str">
        <f t="shared" si="35"/>
        <v>MEDICARE TAXES</v>
      </c>
    </row>
    <row r="2430" spans="5:7" x14ac:dyDescent="0.25">
      <c r="E2430" t="str">
        <f>""</f>
        <v/>
      </c>
      <c r="G2430" t="str">
        <f t="shared" si="35"/>
        <v>MEDICARE TAXES</v>
      </c>
    </row>
    <row r="2431" spans="5:7" x14ac:dyDescent="0.25">
      <c r="E2431" t="str">
        <f>""</f>
        <v/>
      </c>
      <c r="G2431" t="str">
        <f t="shared" si="35"/>
        <v>MEDICARE TAXES</v>
      </c>
    </row>
    <row r="2432" spans="5:7" x14ac:dyDescent="0.25">
      <c r="E2432" t="str">
        <f>""</f>
        <v/>
      </c>
      <c r="G2432" t="str">
        <f t="shared" si="35"/>
        <v>MEDICARE TAXES</v>
      </c>
    </row>
    <row r="2433" spans="5:7" x14ac:dyDescent="0.25">
      <c r="E2433" t="str">
        <f>""</f>
        <v/>
      </c>
      <c r="G2433" t="str">
        <f t="shared" si="35"/>
        <v>MEDICARE TAXES</v>
      </c>
    </row>
    <row r="2434" spans="5:7" x14ac:dyDescent="0.25">
      <c r="E2434" t="str">
        <f>""</f>
        <v/>
      </c>
      <c r="G2434" t="str">
        <f t="shared" si="35"/>
        <v>MEDICARE TAXES</v>
      </c>
    </row>
    <row r="2435" spans="5:7" x14ac:dyDescent="0.25">
      <c r="E2435" t="str">
        <f>""</f>
        <v/>
      </c>
      <c r="G2435" t="str">
        <f t="shared" si="35"/>
        <v>MEDICARE TAXES</v>
      </c>
    </row>
    <row r="2436" spans="5:7" x14ac:dyDescent="0.25">
      <c r="E2436" t="str">
        <f>""</f>
        <v/>
      </c>
      <c r="G2436" t="str">
        <f t="shared" si="35"/>
        <v>MEDICARE TAXES</v>
      </c>
    </row>
    <row r="2437" spans="5:7" x14ac:dyDescent="0.25">
      <c r="E2437" t="str">
        <f>""</f>
        <v/>
      </c>
      <c r="G2437" t="str">
        <f t="shared" si="35"/>
        <v>MEDICARE TAXES</v>
      </c>
    </row>
    <row r="2438" spans="5:7" x14ac:dyDescent="0.25">
      <c r="E2438" t="str">
        <f>""</f>
        <v/>
      </c>
      <c r="G2438" t="str">
        <f t="shared" si="35"/>
        <v>MEDICARE TAXES</v>
      </c>
    </row>
    <row r="2439" spans="5:7" x14ac:dyDescent="0.25">
      <c r="E2439" t="str">
        <f>""</f>
        <v/>
      </c>
      <c r="G2439" t="str">
        <f t="shared" si="35"/>
        <v>MEDICARE TAXES</v>
      </c>
    </row>
    <row r="2440" spans="5:7" x14ac:dyDescent="0.25">
      <c r="E2440" t="str">
        <f>""</f>
        <v/>
      </c>
      <c r="G2440" t="str">
        <f t="shared" si="35"/>
        <v>MEDICARE TAXES</v>
      </c>
    </row>
    <row r="2441" spans="5:7" x14ac:dyDescent="0.25">
      <c r="E2441" t="str">
        <f>""</f>
        <v/>
      </c>
      <c r="G2441" t="str">
        <f t="shared" si="35"/>
        <v>MEDICARE TAXES</v>
      </c>
    </row>
    <row r="2442" spans="5:7" x14ac:dyDescent="0.25">
      <c r="E2442" t="str">
        <f>""</f>
        <v/>
      </c>
      <c r="G2442" t="str">
        <f t="shared" si="35"/>
        <v>MEDICARE TAXES</v>
      </c>
    </row>
    <row r="2443" spans="5:7" x14ac:dyDescent="0.25">
      <c r="E2443" t="str">
        <f>""</f>
        <v/>
      </c>
      <c r="G2443" t="str">
        <f t="shared" si="35"/>
        <v>MEDICARE TAXES</v>
      </c>
    </row>
    <row r="2444" spans="5:7" x14ac:dyDescent="0.25">
      <c r="E2444" t="str">
        <f>""</f>
        <v/>
      </c>
      <c r="G2444" t="str">
        <f t="shared" si="35"/>
        <v>MEDICARE TAXES</v>
      </c>
    </row>
    <row r="2445" spans="5:7" x14ac:dyDescent="0.25">
      <c r="E2445" t="str">
        <f>""</f>
        <v/>
      </c>
      <c r="G2445" t="str">
        <f t="shared" si="35"/>
        <v>MEDICARE TAXES</v>
      </c>
    </row>
    <row r="2446" spans="5:7" x14ac:dyDescent="0.25">
      <c r="E2446" t="str">
        <f>""</f>
        <v/>
      </c>
      <c r="G2446" t="str">
        <f t="shared" si="35"/>
        <v>MEDICARE TAXES</v>
      </c>
    </row>
    <row r="2447" spans="5:7" x14ac:dyDescent="0.25">
      <c r="E2447" t="str">
        <f>""</f>
        <v/>
      </c>
      <c r="G2447" t="str">
        <f t="shared" si="35"/>
        <v>MEDICARE TAXES</v>
      </c>
    </row>
    <row r="2448" spans="5:7" x14ac:dyDescent="0.25">
      <c r="E2448" t="str">
        <f>""</f>
        <v/>
      </c>
      <c r="G2448" t="str">
        <f t="shared" si="35"/>
        <v>MEDICARE TAXES</v>
      </c>
    </row>
    <row r="2449" spans="5:7" x14ac:dyDescent="0.25">
      <c r="E2449" t="str">
        <f>""</f>
        <v/>
      </c>
      <c r="G2449" t="str">
        <f t="shared" ref="G2449:G2473" si="36">"MEDICARE TAXES"</f>
        <v>MEDICARE TAXES</v>
      </c>
    </row>
    <row r="2450" spans="5:7" x14ac:dyDescent="0.25">
      <c r="E2450" t="str">
        <f>""</f>
        <v/>
      </c>
      <c r="G2450" t="str">
        <f t="shared" si="36"/>
        <v>MEDICARE TAXES</v>
      </c>
    </row>
    <row r="2451" spans="5:7" x14ac:dyDescent="0.25">
      <c r="E2451" t="str">
        <f>""</f>
        <v/>
      </c>
      <c r="G2451" t="str">
        <f t="shared" si="36"/>
        <v>MEDICARE TAXES</v>
      </c>
    </row>
    <row r="2452" spans="5:7" x14ac:dyDescent="0.25">
      <c r="E2452" t="str">
        <f>""</f>
        <v/>
      </c>
      <c r="G2452" t="str">
        <f t="shared" si="36"/>
        <v>MEDICARE TAXES</v>
      </c>
    </row>
    <row r="2453" spans="5:7" x14ac:dyDescent="0.25">
      <c r="E2453" t="str">
        <f>""</f>
        <v/>
      </c>
      <c r="G2453" t="str">
        <f t="shared" si="36"/>
        <v>MEDICARE TAXES</v>
      </c>
    </row>
    <row r="2454" spans="5:7" x14ac:dyDescent="0.25">
      <c r="E2454" t="str">
        <f>""</f>
        <v/>
      </c>
      <c r="G2454" t="str">
        <f t="shared" si="36"/>
        <v>MEDICARE TAXES</v>
      </c>
    </row>
    <row r="2455" spans="5:7" x14ac:dyDescent="0.25">
      <c r="E2455" t="str">
        <f>""</f>
        <v/>
      </c>
      <c r="G2455" t="str">
        <f t="shared" si="36"/>
        <v>MEDICARE TAXES</v>
      </c>
    </row>
    <row r="2456" spans="5:7" x14ac:dyDescent="0.25">
      <c r="E2456" t="str">
        <f>""</f>
        <v/>
      </c>
      <c r="G2456" t="str">
        <f t="shared" si="36"/>
        <v>MEDICARE TAXES</v>
      </c>
    </row>
    <row r="2457" spans="5:7" x14ac:dyDescent="0.25">
      <c r="E2457" t="str">
        <f>""</f>
        <v/>
      </c>
      <c r="G2457" t="str">
        <f t="shared" si="36"/>
        <v>MEDICARE TAXES</v>
      </c>
    </row>
    <row r="2458" spans="5:7" x14ac:dyDescent="0.25">
      <c r="E2458" t="str">
        <f>""</f>
        <v/>
      </c>
      <c r="G2458" t="str">
        <f t="shared" si="36"/>
        <v>MEDICARE TAXES</v>
      </c>
    </row>
    <row r="2459" spans="5:7" x14ac:dyDescent="0.25">
      <c r="E2459" t="str">
        <f>""</f>
        <v/>
      </c>
      <c r="G2459" t="str">
        <f t="shared" si="36"/>
        <v>MEDICARE TAXES</v>
      </c>
    </row>
    <row r="2460" spans="5:7" x14ac:dyDescent="0.25">
      <c r="E2460" t="str">
        <f>""</f>
        <v/>
      </c>
      <c r="G2460" t="str">
        <f t="shared" si="36"/>
        <v>MEDICARE TAXES</v>
      </c>
    </row>
    <row r="2461" spans="5:7" x14ac:dyDescent="0.25">
      <c r="E2461" t="str">
        <f>""</f>
        <v/>
      </c>
      <c r="G2461" t="str">
        <f t="shared" si="36"/>
        <v>MEDICARE TAXES</v>
      </c>
    </row>
    <row r="2462" spans="5:7" x14ac:dyDescent="0.25">
      <c r="E2462" t="str">
        <f>""</f>
        <v/>
      </c>
      <c r="G2462" t="str">
        <f t="shared" si="36"/>
        <v>MEDICARE TAXES</v>
      </c>
    </row>
    <row r="2463" spans="5:7" x14ac:dyDescent="0.25">
      <c r="E2463" t="str">
        <f>""</f>
        <v/>
      </c>
      <c r="G2463" t="str">
        <f t="shared" si="36"/>
        <v>MEDICARE TAXES</v>
      </c>
    </row>
    <row r="2464" spans="5:7" x14ac:dyDescent="0.25">
      <c r="E2464" t="str">
        <f>""</f>
        <v/>
      </c>
      <c r="G2464" t="str">
        <f t="shared" si="36"/>
        <v>MEDICARE TAXES</v>
      </c>
    </row>
    <row r="2465" spans="1:7" x14ac:dyDescent="0.25">
      <c r="E2465" t="str">
        <f>""</f>
        <v/>
      </c>
      <c r="G2465" t="str">
        <f t="shared" si="36"/>
        <v>MEDICARE TAXES</v>
      </c>
    </row>
    <row r="2466" spans="1:7" x14ac:dyDescent="0.25">
      <c r="E2466" t="str">
        <f>""</f>
        <v/>
      </c>
      <c r="G2466" t="str">
        <f t="shared" si="36"/>
        <v>MEDICARE TAXES</v>
      </c>
    </row>
    <row r="2467" spans="1:7" x14ac:dyDescent="0.25">
      <c r="E2467" t="str">
        <f>""</f>
        <v/>
      </c>
      <c r="G2467" t="str">
        <f t="shared" si="36"/>
        <v>MEDICARE TAXES</v>
      </c>
    </row>
    <row r="2468" spans="1:7" x14ac:dyDescent="0.25">
      <c r="E2468" t="str">
        <f>""</f>
        <v/>
      </c>
      <c r="G2468" t="str">
        <f t="shared" si="36"/>
        <v>MEDICARE TAXES</v>
      </c>
    </row>
    <row r="2469" spans="1:7" x14ac:dyDescent="0.25">
      <c r="E2469" t="str">
        <f>""</f>
        <v/>
      </c>
      <c r="G2469" t="str">
        <f t="shared" si="36"/>
        <v>MEDICARE TAXES</v>
      </c>
    </row>
    <row r="2470" spans="1:7" x14ac:dyDescent="0.25">
      <c r="E2470" t="str">
        <f>"MEDICARE TAXES"</f>
        <v>MEDICARE TAXES</v>
      </c>
      <c r="F2470" s="2">
        <v>979.34</v>
      </c>
      <c r="G2470" t="str">
        <f t="shared" si="36"/>
        <v>MEDICARE TAXES</v>
      </c>
    </row>
    <row r="2471" spans="1:7" x14ac:dyDescent="0.25">
      <c r="E2471" t="str">
        <f>""</f>
        <v/>
      </c>
      <c r="G2471" t="str">
        <f t="shared" si="36"/>
        <v>MEDICARE TAXES</v>
      </c>
    </row>
    <row r="2472" spans="1:7" x14ac:dyDescent="0.25">
      <c r="E2472" t="str">
        <f>"MEDICARE TAXES"</f>
        <v>MEDICARE TAXES</v>
      </c>
      <c r="F2472" s="2">
        <v>1196.2</v>
      </c>
      <c r="G2472" t="str">
        <f t="shared" si="36"/>
        <v>MEDICARE TAXES</v>
      </c>
    </row>
    <row r="2473" spans="1:7" x14ac:dyDescent="0.25">
      <c r="E2473" t="str">
        <f>""</f>
        <v/>
      </c>
      <c r="G2473" t="str">
        <f t="shared" si="36"/>
        <v>MEDICARE TAXES</v>
      </c>
    </row>
    <row r="2474" spans="1:7" x14ac:dyDescent="0.25">
      <c r="A2474" t="s">
        <v>565</v>
      </c>
      <c r="B2474">
        <v>254</v>
      </c>
      <c r="C2474" s="2">
        <v>674.82</v>
      </c>
      <c r="D2474" s="1">
        <v>43762</v>
      </c>
      <c r="E2474" t="str">
        <f>"TEXAS LIFE/OLIVO GROUP"</f>
        <v>TEXAS LIFE/OLIVO GROUP</v>
      </c>
      <c r="F2474" s="2">
        <v>337.41</v>
      </c>
      <c r="G2474" t="str">
        <f>"TEXAS LIFE/OLIVO GROUP"</f>
        <v>TEXAS LIFE/OLIVO GROUP</v>
      </c>
    </row>
    <row r="2475" spans="1:7" x14ac:dyDescent="0.25">
      <c r="E2475" t="str">
        <f>"TEXAS LIFE/OLIVO GROUP"</f>
        <v>TEXAS LIFE/OLIVO GROUP</v>
      </c>
      <c r="F2475" s="2">
        <v>337.41</v>
      </c>
      <c r="G2475" t="str">
        <f>"TEXAS LIFE/OLIVO GROUP"</f>
        <v>TEXAS LIFE/OLIVO GROUP</v>
      </c>
    </row>
    <row r="2476" spans="1:7" x14ac:dyDescent="0.25">
      <c r="A2476" t="s">
        <v>566</v>
      </c>
      <c r="B2476">
        <v>47665</v>
      </c>
      <c r="C2476" s="2">
        <v>7840</v>
      </c>
      <c r="D2476" s="1">
        <v>43762</v>
      </c>
      <c r="E2476" t="str">
        <f>"PHI AIR"</f>
        <v>PHI AIR</v>
      </c>
      <c r="F2476" s="2">
        <v>3860</v>
      </c>
      <c r="G2476" t="str">
        <f>"PHI AIR"</f>
        <v>PHI AIR</v>
      </c>
    </row>
    <row r="2477" spans="1:7" x14ac:dyDescent="0.25">
      <c r="E2477" t="str">
        <f>"PHI AIR"</f>
        <v>PHI AIR</v>
      </c>
      <c r="F2477" s="2">
        <v>60</v>
      </c>
      <c r="G2477" t="str">
        <f>"PHI AIR"</f>
        <v>PHI AIR</v>
      </c>
    </row>
    <row r="2478" spans="1:7" x14ac:dyDescent="0.25">
      <c r="E2478" t="str">
        <f>"PHI AIR"</f>
        <v>PHI AIR</v>
      </c>
      <c r="F2478" s="2">
        <v>3860</v>
      </c>
      <c r="G2478" t="str">
        <f>"PHI AIR"</f>
        <v>PHI AIR</v>
      </c>
    </row>
    <row r="2479" spans="1:7" x14ac:dyDescent="0.25">
      <c r="E2479" t="str">
        <f>"PHI AIR"</f>
        <v>PHI AIR</v>
      </c>
      <c r="F2479" s="2">
        <v>60</v>
      </c>
      <c r="G2479" t="str">
        <f>"PHI AIR"</f>
        <v>PHI AIR</v>
      </c>
    </row>
    <row r="2480" spans="1:7" x14ac:dyDescent="0.25">
      <c r="A2480" t="s">
        <v>567</v>
      </c>
      <c r="B2480">
        <v>47664</v>
      </c>
      <c r="C2480" s="2">
        <v>356390.12</v>
      </c>
      <c r="D2480" s="1">
        <v>43762</v>
      </c>
      <c r="E2480" t="str">
        <f>"RETIREE OCT 2019"</f>
        <v>RETIREE OCT 2019</v>
      </c>
      <c r="F2480" s="2">
        <v>16818.88</v>
      </c>
      <c r="G2480" t="str">
        <f>"TAC HEALTH BENEFITS POOL"</f>
        <v>TAC HEALTH BENEFITS POOL</v>
      </c>
    </row>
    <row r="2481" spans="5:7" x14ac:dyDescent="0.25">
      <c r="E2481" t="str">
        <f>"Krystal Stabeno"</f>
        <v>Krystal Stabeno</v>
      </c>
      <c r="F2481" s="2">
        <v>248.4</v>
      </c>
      <c r="G2481" t="str">
        <f>"Krystal Stabeno"</f>
        <v>Krystal Stabeno</v>
      </c>
    </row>
    <row r="2482" spans="5:7" x14ac:dyDescent="0.25">
      <c r="E2482" t="str">
        <f>"JV deduction error Oct 2019"</f>
        <v>JV deduction error Oct 2019</v>
      </c>
      <c r="F2482" s="2">
        <v>442.4</v>
      </c>
      <c r="G2482" t="str">
        <f>"JV deduction error Oct 2019"</f>
        <v>JV deduction error Oct 2019</v>
      </c>
    </row>
    <row r="2483" spans="5:7" x14ac:dyDescent="0.25">
      <c r="E2483" t="str">
        <f>"Javario Savannah not ded Incod"</f>
        <v>Javario Savannah not ded Incod</v>
      </c>
      <c r="F2483" s="2">
        <v>663.76</v>
      </c>
      <c r="G2483" t="str">
        <f>"TAC HEALTH BENEFITS POOL"</f>
        <v>TAC HEALTH BENEFITS POOL</v>
      </c>
    </row>
    <row r="2484" spans="5:7" x14ac:dyDescent="0.25">
      <c r="E2484" t="str">
        <f>"BCBS PAYABLE"</f>
        <v>BCBS PAYABLE</v>
      </c>
      <c r="F2484" s="2">
        <v>47432.32</v>
      </c>
      <c r="G2484" t="str">
        <f t="shared" ref="G2484:G2515" si="37">"BCBS PAYABLE"</f>
        <v>BCBS PAYABLE</v>
      </c>
    </row>
    <row r="2485" spans="5:7" x14ac:dyDescent="0.25">
      <c r="E2485" t="str">
        <f>""</f>
        <v/>
      </c>
      <c r="G2485" t="str">
        <f t="shared" si="37"/>
        <v>BCBS PAYABLE</v>
      </c>
    </row>
    <row r="2486" spans="5:7" x14ac:dyDescent="0.25">
      <c r="E2486" t="str">
        <f>""</f>
        <v/>
      </c>
      <c r="G2486" t="str">
        <f t="shared" si="37"/>
        <v>BCBS PAYABLE</v>
      </c>
    </row>
    <row r="2487" spans="5:7" x14ac:dyDescent="0.25">
      <c r="E2487" t="str">
        <f>""</f>
        <v/>
      </c>
      <c r="G2487" t="str">
        <f t="shared" si="37"/>
        <v>BCBS PAYABLE</v>
      </c>
    </row>
    <row r="2488" spans="5:7" x14ac:dyDescent="0.25">
      <c r="E2488" t="str">
        <f>""</f>
        <v/>
      </c>
      <c r="G2488" t="str">
        <f t="shared" si="37"/>
        <v>BCBS PAYABLE</v>
      </c>
    </row>
    <row r="2489" spans="5:7" x14ac:dyDescent="0.25">
      <c r="E2489" t="str">
        <f>""</f>
        <v/>
      </c>
      <c r="G2489" t="str">
        <f t="shared" si="37"/>
        <v>BCBS PAYABLE</v>
      </c>
    </row>
    <row r="2490" spans="5:7" x14ac:dyDescent="0.25">
      <c r="E2490" t="str">
        <f>""</f>
        <v/>
      </c>
      <c r="G2490" t="str">
        <f t="shared" si="37"/>
        <v>BCBS PAYABLE</v>
      </c>
    </row>
    <row r="2491" spans="5:7" x14ac:dyDescent="0.25">
      <c r="E2491" t="str">
        <f>""</f>
        <v/>
      </c>
      <c r="G2491" t="str">
        <f t="shared" si="37"/>
        <v>BCBS PAYABLE</v>
      </c>
    </row>
    <row r="2492" spans="5:7" x14ac:dyDescent="0.25">
      <c r="E2492" t="str">
        <f>""</f>
        <v/>
      </c>
      <c r="G2492" t="str">
        <f t="shared" si="37"/>
        <v>BCBS PAYABLE</v>
      </c>
    </row>
    <row r="2493" spans="5:7" x14ac:dyDescent="0.25">
      <c r="E2493" t="str">
        <f>""</f>
        <v/>
      </c>
      <c r="G2493" t="str">
        <f t="shared" si="37"/>
        <v>BCBS PAYABLE</v>
      </c>
    </row>
    <row r="2494" spans="5:7" x14ac:dyDescent="0.25">
      <c r="E2494" t="str">
        <f>""</f>
        <v/>
      </c>
      <c r="G2494" t="str">
        <f t="shared" si="37"/>
        <v>BCBS PAYABLE</v>
      </c>
    </row>
    <row r="2495" spans="5:7" x14ac:dyDescent="0.25">
      <c r="E2495" t="str">
        <f>""</f>
        <v/>
      </c>
      <c r="G2495" t="str">
        <f t="shared" si="37"/>
        <v>BCBS PAYABLE</v>
      </c>
    </row>
    <row r="2496" spans="5:7" x14ac:dyDescent="0.25">
      <c r="E2496" t="str">
        <f>""</f>
        <v/>
      </c>
      <c r="G2496" t="str">
        <f t="shared" si="37"/>
        <v>BCBS PAYABLE</v>
      </c>
    </row>
    <row r="2497" spans="5:7" x14ac:dyDescent="0.25">
      <c r="E2497" t="str">
        <f>""</f>
        <v/>
      </c>
      <c r="G2497" t="str">
        <f t="shared" si="37"/>
        <v>BCBS PAYABLE</v>
      </c>
    </row>
    <row r="2498" spans="5:7" x14ac:dyDescent="0.25">
      <c r="E2498" t="str">
        <f>""</f>
        <v/>
      </c>
      <c r="G2498" t="str">
        <f t="shared" si="37"/>
        <v>BCBS PAYABLE</v>
      </c>
    </row>
    <row r="2499" spans="5:7" x14ac:dyDescent="0.25">
      <c r="E2499" t="str">
        <f>""</f>
        <v/>
      </c>
      <c r="G2499" t="str">
        <f t="shared" si="37"/>
        <v>BCBS PAYABLE</v>
      </c>
    </row>
    <row r="2500" spans="5:7" x14ac:dyDescent="0.25">
      <c r="E2500" t="str">
        <f>""</f>
        <v/>
      </c>
      <c r="G2500" t="str">
        <f t="shared" si="37"/>
        <v>BCBS PAYABLE</v>
      </c>
    </row>
    <row r="2501" spans="5:7" x14ac:dyDescent="0.25">
      <c r="E2501" t="str">
        <f>""</f>
        <v/>
      </c>
      <c r="G2501" t="str">
        <f t="shared" si="37"/>
        <v>BCBS PAYABLE</v>
      </c>
    </row>
    <row r="2502" spans="5:7" x14ac:dyDescent="0.25">
      <c r="E2502" t="str">
        <f>""</f>
        <v/>
      </c>
      <c r="G2502" t="str">
        <f t="shared" si="37"/>
        <v>BCBS PAYABLE</v>
      </c>
    </row>
    <row r="2503" spans="5:7" x14ac:dyDescent="0.25">
      <c r="E2503" t="str">
        <f>""</f>
        <v/>
      </c>
      <c r="G2503" t="str">
        <f t="shared" si="37"/>
        <v>BCBS PAYABLE</v>
      </c>
    </row>
    <row r="2504" spans="5:7" x14ac:dyDescent="0.25">
      <c r="E2504" t="str">
        <f>""</f>
        <v/>
      </c>
      <c r="G2504" t="str">
        <f t="shared" si="37"/>
        <v>BCBS PAYABLE</v>
      </c>
    </row>
    <row r="2505" spans="5:7" x14ac:dyDescent="0.25">
      <c r="E2505" t="str">
        <f>""</f>
        <v/>
      </c>
      <c r="G2505" t="str">
        <f t="shared" si="37"/>
        <v>BCBS PAYABLE</v>
      </c>
    </row>
    <row r="2506" spans="5:7" x14ac:dyDescent="0.25">
      <c r="E2506" t="str">
        <f>""</f>
        <v/>
      </c>
      <c r="G2506" t="str">
        <f t="shared" si="37"/>
        <v>BCBS PAYABLE</v>
      </c>
    </row>
    <row r="2507" spans="5:7" x14ac:dyDescent="0.25">
      <c r="E2507" t="str">
        <f>""</f>
        <v/>
      </c>
      <c r="G2507" t="str">
        <f t="shared" si="37"/>
        <v>BCBS PAYABLE</v>
      </c>
    </row>
    <row r="2508" spans="5:7" x14ac:dyDescent="0.25">
      <c r="E2508" t="str">
        <f>""</f>
        <v/>
      </c>
      <c r="G2508" t="str">
        <f t="shared" si="37"/>
        <v>BCBS PAYABLE</v>
      </c>
    </row>
    <row r="2509" spans="5:7" x14ac:dyDescent="0.25">
      <c r="E2509" t="str">
        <f>""</f>
        <v/>
      </c>
      <c r="G2509" t="str">
        <f t="shared" si="37"/>
        <v>BCBS PAYABLE</v>
      </c>
    </row>
    <row r="2510" spans="5:7" x14ac:dyDescent="0.25">
      <c r="E2510" t="str">
        <f>""</f>
        <v/>
      </c>
      <c r="G2510" t="str">
        <f t="shared" si="37"/>
        <v>BCBS PAYABLE</v>
      </c>
    </row>
    <row r="2511" spans="5:7" x14ac:dyDescent="0.25">
      <c r="E2511" t="str">
        <f>""</f>
        <v/>
      </c>
      <c r="G2511" t="str">
        <f t="shared" si="37"/>
        <v>BCBS PAYABLE</v>
      </c>
    </row>
    <row r="2512" spans="5:7" x14ac:dyDescent="0.25">
      <c r="E2512" t="str">
        <f>""</f>
        <v/>
      </c>
      <c r="G2512" t="str">
        <f t="shared" si="37"/>
        <v>BCBS PAYABLE</v>
      </c>
    </row>
    <row r="2513" spans="5:7" x14ac:dyDescent="0.25">
      <c r="E2513" t="str">
        <f>""</f>
        <v/>
      </c>
      <c r="G2513" t="str">
        <f t="shared" si="37"/>
        <v>BCBS PAYABLE</v>
      </c>
    </row>
    <row r="2514" spans="5:7" x14ac:dyDescent="0.25">
      <c r="E2514" t="str">
        <f>""</f>
        <v/>
      </c>
      <c r="G2514" t="str">
        <f t="shared" si="37"/>
        <v>BCBS PAYABLE</v>
      </c>
    </row>
    <row r="2515" spans="5:7" x14ac:dyDescent="0.25">
      <c r="E2515" t="str">
        <f>""</f>
        <v/>
      </c>
      <c r="G2515" t="str">
        <f t="shared" si="37"/>
        <v>BCBS PAYABLE</v>
      </c>
    </row>
    <row r="2516" spans="5:7" x14ac:dyDescent="0.25">
      <c r="E2516" t="str">
        <f>"BCBS PAYABLE"</f>
        <v>BCBS PAYABLE</v>
      </c>
      <c r="F2516" s="2">
        <v>1619.43</v>
      </c>
      <c r="G2516" t="str">
        <f t="shared" ref="G2516:G2547" si="38">"BCBS PAYABLE"</f>
        <v>BCBS PAYABLE</v>
      </c>
    </row>
    <row r="2517" spans="5:7" x14ac:dyDescent="0.25">
      <c r="E2517" t="str">
        <f>""</f>
        <v/>
      </c>
      <c r="G2517" t="str">
        <f t="shared" si="38"/>
        <v>BCBS PAYABLE</v>
      </c>
    </row>
    <row r="2518" spans="5:7" x14ac:dyDescent="0.25">
      <c r="E2518" t="str">
        <f>"BCBS PAYABLE"</f>
        <v>BCBS PAYABLE</v>
      </c>
      <c r="F2518" s="2">
        <v>47432.32</v>
      </c>
      <c r="G2518" t="str">
        <f t="shared" si="38"/>
        <v>BCBS PAYABLE</v>
      </c>
    </row>
    <row r="2519" spans="5:7" x14ac:dyDescent="0.25">
      <c r="E2519" t="str">
        <f>""</f>
        <v/>
      </c>
      <c r="G2519" t="str">
        <f t="shared" si="38"/>
        <v>BCBS PAYABLE</v>
      </c>
    </row>
    <row r="2520" spans="5:7" x14ac:dyDescent="0.25">
      <c r="E2520" t="str">
        <f>""</f>
        <v/>
      </c>
      <c r="G2520" t="str">
        <f t="shared" si="38"/>
        <v>BCBS PAYABLE</v>
      </c>
    </row>
    <row r="2521" spans="5:7" x14ac:dyDescent="0.25">
      <c r="E2521" t="str">
        <f>""</f>
        <v/>
      </c>
      <c r="G2521" t="str">
        <f t="shared" si="38"/>
        <v>BCBS PAYABLE</v>
      </c>
    </row>
    <row r="2522" spans="5:7" x14ac:dyDescent="0.25">
      <c r="E2522" t="str">
        <f>""</f>
        <v/>
      </c>
      <c r="G2522" t="str">
        <f t="shared" si="38"/>
        <v>BCBS PAYABLE</v>
      </c>
    </row>
    <row r="2523" spans="5:7" x14ac:dyDescent="0.25">
      <c r="E2523" t="str">
        <f>""</f>
        <v/>
      </c>
      <c r="G2523" t="str">
        <f t="shared" si="38"/>
        <v>BCBS PAYABLE</v>
      </c>
    </row>
    <row r="2524" spans="5:7" x14ac:dyDescent="0.25">
      <c r="E2524" t="str">
        <f>""</f>
        <v/>
      </c>
      <c r="G2524" t="str">
        <f t="shared" si="38"/>
        <v>BCBS PAYABLE</v>
      </c>
    </row>
    <row r="2525" spans="5:7" x14ac:dyDescent="0.25">
      <c r="E2525" t="str">
        <f>""</f>
        <v/>
      </c>
      <c r="G2525" t="str">
        <f t="shared" si="38"/>
        <v>BCBS PAYABLE</v>
      </c>
    </row>
    <row r="2526" spans="5:7" x14ac:dyDescent="0.25">
      <c r="E2526" t="str">
        <f>""</f>
        <v/>
      </c>
      <c r="G2526" t="str">
        <f t="shared" si="38"/>
        <v>BCBS PAYABLE</v>
      </c>
    </row>
    <row r="2527" spans="5:7" x14ac:dyDescent="0.25">
      <c r="E2527" t="str">
        <f>""</f>
        <v/>
      </c>
      <c r="G2527" t="str">
        <f t="shared" si="38"/>
        <v>BCBS PAYABLE</v>
      </c>
    </row>
    <row r="2528" spans="5:7" x14ac:dyDescent="0.25">
      <c r="E2528" t="str">
        <f>""</f>
        <v/>
      </c>
      <c r="G2528" t="str">
        <f t="shared" si="38"/>
        <v>BCBS PAYABLE</v>
      </c>
    </row>
    <row r="2529" spans="5:7" x14ac:dyDescent="0.25">
      <c r="E2529" t="str">
        <f>""</f>
        <v/>
      </c>
      <c r="G2529" t="str">
        <f t="shared" si="38"/>
        <v>BCBS PAYABLE</v>
      </c>
    </row>
    <row r="2530" spans="5:7" x14ac:dyDescent="0.25">
      <c r="E2530" t="str">
        <f>""</f>
        <v/>
      </c>
      <c r="G2530" t="str">
        <f t="shared" si="38"/>
        <v>BCBS PAYABLE</v>
      </c>
    </row>
    <row r="2531" spans="5:7" x14ac:dyDescent="0.25">
      <c r="E2531" t="str">
        <f>""</f>
        <v/>
      </c>
      <c r="G2531" t="str">
        <f t="shared" si="38"/>
        <v>BCBS PAYABLE</v>
      </c>
    </row>
    <row r="2532" spans="5:7" x14ac:dyDescent="0.25">
      <c r="E2532" t="str">
        <f>""</f>
        <v/>
      </c>
      <c r="G2532" t="str">
        <f t="shared" si="38"/>
        <v>BCBS PAYABLE</v>
      </c>
    </row>
    <row r="2533" spans="5:7" x14ac:dyDescent="0.25">
      <c r="E2533" t="str">
        <f>""</f>
        <v/>
      </c>
      <c r="G2533" t="str">
        <f t="shared" si="38"/>
        <v>BCBS PAYABLE</v>
      </c>
    </row>
    <row r="2534" spans="5:7" x14ac:dyDescent="0.25">
      <c r="E2534" t="str">
        <f>""</f>
        <v/>
      </c>
      <c r="G2534" t="str">
        <f t="shared" si="38"/>
        <v>BCBS PAYABLE</v>
      </c>
    </row>
    <row r="2535" spans="5:7" x14ac:dyDescent="0.25">
      <c r="E2535" t="str">
        <f>""</f>
        <v/>
      </c>
      <c r="G2535" t="str">
        <f t="shared" si="38"/>
        <v>BCBS PAYABLE</v>
      </c>
    </row>
    <row r="2536" spans="5:7" x14ac:dyDescent="0.25">
      <c r="E2536" t="str">
        <f>""</f>
        <v/>
      </c>
      <c r="G2536" t="str">
        <f t="shared" si="38"/>
        <v>BCBS PAYABLE</v>
      </c>
    </row>
    <row r="2537" spans="5:7" x14ac:dyDescent="0.25">
      <c r="E2537" t="str">
        <f>""</f>
        <v/>
      </c>
      <c r="G2537" t="str">
        <f t="shared" si="38"/>
        <v>BCBS PAYABLE</v>
      </c>
    </row>
    <row r="2538" spans="5:7" x14ac:dyDescent="0.25">
      <c r="E2538" t="str">
        <f>""</f>
        <v/>
      </c>
      <c r="G2538" t="str">
        <f t="shared" si="38"/>
        <v>BCBS PAYABLE</v>
      </c>
    </row>
    <row r="2539" spans="5:7" x14ac:dyDescent="0.25">
      <c r="E2539" t="str">
        <f>""</f>
        <v/>
      </c>
      <c r="G2539" t="str">
        <f t="shared" si="38"/>
        <v>BCBS PAYABLE</v>
      </c>
    </row>
    <row r="2540" spans="5:7" x14ac:dyDescent="0.25">
      <c r="E2540" t="str">
        <f>""</f>
        <v/>
      </c>
      <c r="G2540" t="str">
        <f t="shared" si="38"/>
        <v>BCBS PAYABLE</v>
      </c>
    </row>
    <row r="2541" spans="5:7" x14ac:dyDescent="0.25">
      <c r="E2541" t="str">
        <f>""</f>
        <v/>
      </c>
      <c r="G2541" t="str">
        <f t="shared" si="38"/>
        <v>BCBS PAYABLE</v>
      </c>
    </row>
    <row r="2542" spans="5:7" x14ac:dyDescent="0.25">
      <c r="E2542" t="str">
        <f>""</f>
        <v/>
      </c>
      <c r="G2542" t="str">
        <f t="shared" si="38"/>
        <v>BCBS PAYABLE</v>
      </c>
    </row>
    <row r="2543" spans="5:7" x14ac:dyDescent="0.25">
      <c r="E2543" t="str">
        <f>""</f>
        <v/>
      </c>
      <c r="G2543" t="str">
        <f t="shared" si="38"/>
        <v>BCBS PAYABLE</v>
      </c>
    </row>
    <row r="2544" spans="5:7" x14ac:dyDescent="0.25">
      <c r="E2544" t="str">
        <f>""</f>
        <v/>
      </c>
      <c r="G2544" t="str">
        <f t="shared" si="38"/>
        <v>BCBS PAYABLE</v>
      </c>
    </row>
    <row r="2545" spans="5:7" x14ac:dyDescent="0.25">
      <c r="E2545" t="str">
        <f>""</f>
        <v/>
      </c>
      <c r="G2545" t="str">
        <f t="shared" si="38"/>
        <v>BCBS PAYABLE</v>
      </c>
    </row>
    <row r="2546" spans="5:7" x14ac:dyDescent="0.25">
      <c r="E2546" t="str">
        <f>""</f>
        <v/>
      </c>
      <c r="G2546" t="str">
        <f t="shared" si="38"/>
        <v>BCBS PAYABLE</v>
      </c>
    </row>
    <row r="2547" spans="5:7" x14ac:dyDescent="0.25">
      <c r="E2547" t="str">
        <f>""</f>
        <v/>
      </c>
      <c r="G2547" t="str">
        <f t="shared" si="38"/>
        <v>BCBS PAYABLE</v>
      </c>
    </row>
    <row r="2548" spans="5:7" x14ac:dyDescent="0.25">
      <c r="E2548" t="str">
        <f>""</f>
        <v/>
      </c>
      <c r="G2548" t="str">
        <f t="shared" ref="G2548:G2579" si="39">"BCBS PAYABLE"</f>
        <v>BCBS PAYABLE</v>
      </c>
    </row>
    <row r="2549" spans="5:7" x14ac:dyDescent="0.25">
      <c r="E2549" t="str">
        <f>""</f>
        <v/>
      </c>
      <c r="G2549" t="str">
        <f t="shared" si="39"/>
        <v>BCBS PAYABLE</v>
      </c>
    </row>
    <row r="2550" spans="5:7" x14ac:dyDescent="0.25">
      <c r="E2550" t="str">
        <f>"BCBS PAYABLE"</f>
        <v>BCBS PAYABLE</v>
      </c>
      <c r="F2550" s="2">
        <v>1717.61</v>
      </c>
      <c r="G2550" t="str">
        <f t="shared" si="39"/>
        <v>BCBS PAYABLE</v>
      </c>
    </row>
    <row r="2551" spans="5:7" x14ac:dyDescent="0.25">
      <c r="E2551" t="str">
        <f>""</f>
        <v/>
      </c>
      <c r="G2551" t="str">
        <f t="shared" si="39"/>
        <v>BCBS PAYABLE</v>
      </c>
    </row>
    <row r="2552" spans="5:7" x14ac:dyDescent="0.25">
      <c r="E2552" t="str">
        <f>"BCBS PAYABLE"</f>
        <v>BCBS PAYABLE</v>
      </c>
      <c r="F2552" s="2">
        <v>1812.18</v>
      </c>
      <c r="G2552" t="str">
        <f t="shared" si="39"/>
        <v>BCBS PAYABLE</v>
      </c>
    </row>
    <row r="2553" spans="5:7" x14ac:dyDescent="0.25">
      <c r="E2553" t="str">
        <f>""</f>
        <v/>
      </c>
      <c r="G2553" t="str">
        <f t="shared" si="39"/>
        <v>BCBS PAYABLE</v>
      </c>
    </row>
    <row r="2554" spans="5:7" x14ac:dyDescent="0.25">
      <c r="E2554" t="str">
        <f>""</f>
        <v/>
      </c>
      <c r="G2554" t="str">
        <f t="shared" si="39"/>
        <v>BCBS PAYABLE</v>
      </c>
    </row>
    <row r="2555" spans="5:7" x14ac:dyDescent="0.25">
      <c r="E2555" t="str">
        <f>"BCBS PAYABLE"</f>
        <v>BCBS PAYABLE</v>
      </c>
      <c r="F2555" s="2">
        <v>1812.18</v>
      </c>
      <c r="G2555" t="str">
        <f t="shared" si="39"/>
        <v>BCBS PAYABLE</v>
      </c>
    </row>
    <row r="2556" spans="5:7" x14ac:dyDescent="0.25">
      <c r="E2556" t="str">
        <f>""</f>
        <v/>
      </c>
      <c r="G2556" t="str">
        <f t="shared" si="39"/>
        <v>BCBS PAYABLE</v>
      </c>
    </row>
    <row r="2557" spans="5:7" x14ac:dyDescent="0.25">
      <c r="E2557" t="str">
        <f>""</f>
        <v/>
      </c>
      <c r="G2557" t="str">
        <f t="shared" si="39"/>
        <v>BCBS PAYABLE</v>
      </c>
    </row>
    <row r="2558" spans="5:7" x14ac:dyDescent="0.25">
      <c r="E2558" t="str">
        <f>"BCBS PAYABLE"</f>
        <v>BCBS PAYABLE</v>
      </c>
      <c r="F2558" s="2">
        <v>98900.24</v>
      </c>
      <c r="G2558" t="str">
        <f t="shared" si="39"/>
        <v>BCBS PAYABLE</v>
      </c>
    </row>
    <row r="2559" spans="5:7" x14ac:dyDescent="0.25">
      <c r="E2559" t="str">
        <f>""</f>
        <v/>
      </c>
      <c r="G2559" t="str">
        <f t="shared" si="39"/>
        <v>BCBS PAYABLE</v>
      </c>
    </row>
    <row r="2560" spans="5:7" x14ac:dyDescent="0.25">
      <c r="E2560" t="str">
        <f>""</f>
        <v/>
      </c>
      <c r="G2560" t="str">
        <f t="shared" si="39"/>
        <v>BCBS PAYABLE</v>
      </c>
    </row>
    <row r="2561" spans="5:7" x14ac:dyDescent="0.25">
      <c r="E2561" t="str">
        <f>""</f>
        <v/>
      </c>
      <c r="G2561" t="str">
        <f t="shared" si="39"/>
        <v>BCBS PAYABLE</v>
      </c>
    </row>
    <row r="2562" spans="5:7" x14ac:dyDescent="0.25">
      <c r="E2562" t="str">
        <f>""</f>
        <v/>
      </c>
      <c r="G2562" t="str">
        <f t="shared" si="39"/>
        <v>BCBS PAYABLE</v>
      </c>
    </row>
    <row r="2563" spans="5:7" x14ac:dyDescent="0.25">
      <c r="E2563" t="str">
        <f>""</f>
        <v/>
      </c>
      <c r="G2563" t="str">
        <f t="shared" si="39"/>
        <v>BCBS PAYABLE</v>
      </c>
    </row>
    <row r="2564" spans="5:7" x14ac:dyDescent="0.25">
      <c r="E2564" t="str">
        <f>""</f>
        <v/>
      </c>
      <c r="G2564" t="str">
        <f t="shared" si="39"/>
        <v>BCBS PAYABLE</v>
      </c>
    </row>
    <row r="2565" spans="5:7" x14ac:dyDescent="0.25">
      <c r="E2565" t="str">
        <f>""</f>
        <v/>
      </c>
      <c r="G2565" t="str">
        <f t="shared" si="39"/>
        <v>BCBS PAYABLE</v>
      </c>
    </row>
    <row r="2566" spans="5:7" x14ac:dyDescent="0.25">
      <c r="E2566" t="str">
        <f>""</f>
        <v/>
      </c>
      <c r="G2566" t="str">
        <f t="shared" si="39"/>
        <v>BCBS PAYABLE</v>
      </c>
    </row>
    <row r="2567" spans="5:7" x14ac:dyDescent="0.25">
      <c r="E2567" t="str">
        <f>""</f>
        <v/>
      </c>
      <c r="G2567" t="str">
        <f t="shared" si="39"/>
        <v>BCBS PAYABLE</v>
      </c>
    </row>
    <row r="2568" spans="5:7" x14ac:dyDescent="0.25">
      <c r="E2568" t="str">
        <f>""</f>
        <v/>
      </c>
      <c r="G2568" t="str">
        <f t="shared" si="39"/>
        <v>BCBS PAYABLE</v>
      </c>
    </row>
    <row r="2569" spans="5:7" x14ac:dyDescent="0.25">
      <c r="E2569" t="str">
        <f>""</f>
        <v/>
      </c>
      <c r="G2569" t="str">
        <f t="shared" si="39"/>
        <v>BCBS PAYABLE</v>
      </c>
    </row>
    <row r="2570" spans="5:7" x14ac:dyDescent="0.25">
      <c r="E2570" t="str">
        <f>""</f>
        <v/>
      </c>
      <c r="G2570" t="str">
        <f t="shared" si="39"/>
        <v>BCBS PAYABLE</v>
      </c>
    </row>
    <row r="2571" spans="5:7" x14ac:dyDescent="0.25">
      <c r="E2571" t="str">
        <f>""</f>
        <v/>
      </c>
      <c r="G2571" t="str">
        <f t="shared" si="39"/>
        <v>BCBS PAYABLE</v>
      </c>
    </row>
    <row r="2572" spans="5:7" x14ac:dyDescent="0.25">
      <c r="E2572" t="str">
        <f>""</f>
        <v/>
      </c>
      <c r="G2572" t="str">
        <f t="shared" si="39"/>
        <v>BCBS PAYABLE</v>
      </c>
    </row>
    <row r="2573" spans="5:7" x14ac:dyDescent="0.25">
      <c r="E2573" t="str">
        <f>""</f>
        <v/>
      </c>
      <c r="G2573" t="str">
        <f t="shared" si="39"/>
        <v>BCBS PAYABLE</v>
      </c>
    </row>
    <row r="2574" spans="5:7" x14ac:dyDescent="0.25">
      <c r="E2574" t="str">
        <f>""</f>
        <v/>
      </c>
      <c r="G2574" t="str">
        <f t="shared" si="39"/>
        <v>BCBS PAYABLE</v>
      </c>
    </row>
    <row r="2575" spans="5:7" x14ac:dyDescent="0.25">
      <c r="E2575" t="str">
        <f>""</f>
        <v/>
      </c>
      <c r="G2575" t="str">
        <f t="shared" si="39"/>
        <v>BCBS PAYABLE</v>
      </c>
    </row>
    <row r="2576" spans="5:7" x14ac:dyDescent="0.25">
      <c r="E2576" t="str">
        <f>""</f>
        <v/>
      </c>
      <c r="G2576" t="str">
        <f t="shared" si="39"/>
        <v>BCBS PAYABLE</v>
      </c>
    </row>
    <row r="2577" spans="5:7" x14ac:dyDescent="0.25">
      <c r="E2577" t="str">
        <f>""</f>
        <v/>
      </c>
      <c r="G2577" t="str">
        <f t="shared" si="39"/>
        <v>BCBS PAYABLE</v>
      </c>
    </row>
    <row r="2578" spans="5:7" x14ac:dyDescent="0.25">
      <c r="E2578" t="str">
        <f>""</f>
        <v/>
      </c>
      <c r="G2578" t="str">
        <f t="shared" si="39"/>
        <v>BCBS PAYABLE</v>
      </c>
    </row>
    <row r="2579" spans="5:7" x14ac:dyDescent="0.25">
      <c r="E2579" t="str">
        <f>""</f>
        <v/>
      </c>
      <c r="G2579" t="str">
        <f t="shared" si="39"/>
        <v>BCBS PAYABLE</v>
      </c>
    </row>
    <row r="2580" spans="5:7" x14ac:dyDescent="0.25">
      <c r="E2580" t="str">
        <f>""</f>
        <v/>
      </c>
      <c r="G2580" t="str">
        <f t="shared" ref="G2580:G2611" si="40">"BCBS PAYABLE"</f>
        <v>BCBS PAYABLE</v>
      </c>
    </row>
    <row r="2581" spans="5:7" x14ac:dyDescent="0.25">
      <c r="E2581" t="str">
        <f>""</f>
        <v/>
      </c>
      <c r="G2581" t="str">
        <f t="shared" si="40"/>
        <v>BCBS PAYABLE</v>
      </c>
    </row>
    <row r="2582" spans="5:7" x14ac:dyDescent="0.25">
      <c r="E2582" t="str">
        <f>""</f>
        <v/>
      </c>
      <c r="G2582" t="str">
        <f t="shared" si="40"/>
        <v>BCBS PAYABLE</v>
      </c>
    </row>
    <row r="2583" spans="5:7" x14ac:dyDescent="0.25">
      <c r="E2583" t="str">
        <f>""</f>
        <v/>
      </c>
      <c r="G2583" t="str">
        <f t="shared" si="40"/>
        <v>BCBS PAYABLE</v>
      </c>
    </row>
    <row r="2584" spans="5:7" x14ac:dyDescent="0.25">
      <c r="E2584" t="str">
        <f>""</f>
        <v/>
      </c>
      <c r="G2584" t="str">
        <f t="shared" si="40"/>
        <v>BCBS PAYABLE</v>
      </c>
    </row>
    <row r="2585" spans="5:7" x14ac:dyDescent="0.25">
      <c r="E2585" t="str">
        <f>""</f>
        <v/>
      </c>
      <c r="G2585" t="str">
        <f t="shared" si="40"/>
        <v>BCBS PAYABLE</v>
      </c>
    </row>
    <row r="2586" spans="5:7" x14ac:dyDescent="0.25">
      <c r="E2586" t="str">
        <f>""</f>
        <v/>
      </c>
      <c r="G2586" t="str">
        <f t="shared" si="40"/>
        <v>BCBS PAYABLE</v>
      </c>
    </row>
    <row r="2587" spans="5:7" x14ac:dyDescent="0.25">
      <c r="E2587" t="str">
        <f>""</f>
        <v/>
      </c>
      <c r="G2587" t="str">
        <f t="shared" si="40"/>
        <v>BCBS PAYABLE</v>
      </c>
    </row>
    <row r="2588" spans="5:7" x14ac:dyDescent="0.25">
      <c r="E2588" t="str">
        <f>""</f>
        <v/>
      </c>
      <c r="G2588" t="str">
        <f t="shared" si="40"/>
        <v>BCBS PAYABLE</v>
      </c>
    </row>
    <row r="2589" spans="5:7" x14ac:dyDescent="0.25">
      <c r="E2589" t="str">
        <f>""</f>
        <v/>
      </c>
      <c r="G2589" t="str">
        <f t="shared" si="40"/>
        <v>BCBS PAYABLE</v>
      </c>
    </row>
    <row r="2590" spans="5:7" x14ac:dyDescent="0.25">
      <c r="E2590" t="str">
        <f>""</f>
        <v/>
      </c>
      <c r="G2590" t="str">
        <f t="shared" si="40"/>
        <v>BCBS PAYABLE</v>
      </c>
    </row>
    <row r="2591" spans="5:7" x14ac:dyDescent="0.25">
      <c r="E2591" t="str">
        <f>""</f>
        <v/>
      </c>
      <c r="G2591" t="str">
        <f t="shared" si="40"/>
        <v>BCBS PAYABLE</v>
      </c>
    </row>
    <row r="2592" spans="5:7" x14ac:dyDescent="0.25">
      <c r="E2592" t="str">
        <f>""</f>
        <v/>
      </c>
      <c r="G2592" t="str">
        <f t="shared" si="40"/>
        <v>BCBS PAYABLE</v>
      </c>
    </row>
    <row r="2593" spans="5:7" x14ac:dyDescent="0.25">
      <c r="E2593" t="str">
        <f>""</f>
        <v/>
      </c>
      <c r="G2593" t="str">
        <f t="shared" si="40"/>
        <v>BCBS PAYABLE</v>
      </c>
    </row>
    <row r="2594" spans="5:7" x14ac:dyDescent="0.25">
      <c r="E2594" t="str">
        <f>""</f>
        <v/>
      </c>
      <c r="G2594" t="str">
        <f t="shared" si="40"/>
        <v>BCBS PAYABLE</v>
      </c>
    </row>
    <row r="2595" spans="5:7" x14ac:dyDescent="0.25">
      <c r="E2595" t="str">
        <f>""</f>
        <v/>
      </c>
      <c r="G2595" t="str">
        <f t="shared" si="40"/>
        <v>BCBS PAYABLE</v>
      </c>
    </row>
    <row r="2596" spans="5:7" x14ac:dyDescent="0.25">
      <c r="E2596" t="str">
        <f>""</f>
        <v/>
      </c>
      <c r="G2596" t="str">
        <f t="shared" si="40"/>
        <v>BCBS PAYABLE</v>
      </c>
    </row>
    <row r="2597" spans="5:7" x14ac:dyDescent="0.25">
      <c r="E2597" t="str">
        <f>""</f>
        <v/>
      </c>
      <c r="G2597" t="str">
        <f t="shared" si="40"/>
        <v>BCBS PAYABLE</v>
      </c>
    </row>
    <row r="2598" spans="5:7" x14ac:dyDescent="0.25">
      <c r="E2598" t="str">
        <f>""</f>
        <v/>
      </c>
      <c r="G2598" t="str">
        <f t="shared" si="40"/>
        <v>BCBS PAYABLE</v>
      </c>
    </row>
    <row r="2599" spans="5:7" x14ac:dyDescent="0.25">
      <c r="E2599" t="str">
        <f>""</f>
        <v/>
      </c>
      <c r="G2599" t="str">
        <f t="shared" si="40"/>
        <v>BCBS PAYABLE</v>
      </c>
    </row>
    <row r="2600" spans="5:7" x14ac:dyDescent="0.25">
      <c r="E2600" t="str">
        <f>""</f>
        <v/>
      </c>
      <c r="G2600" t="str">
        <f t="shared" si="40"/>
        <v>BCBS PAYABLE</v>
      </c>
    </row>
    <row r="2601" spans="5:7" x14ac:dyDescent="0.25">
      <c r="E2601" t="str">
        <f>""</f>
        <v/>
      </c>
      <c r="G2601" t="str">
        <f t="shared" si="40"/>
        <v>BCBS PAYABLE</v>
      </c>
    </row>
    <row r="2602" spans="5:7" x14ac:dyDescent="0.25">
      <c r="E2602" t="str">
        <f>""</f>
        <v/>
      </c>
      <c r="G2602" t="str">
        <f t="shared" si="40"/>
        <v>BCBS PAYABLE</v>
      </c>
    </row>
    <row r="2603" spans="5:7" x14ac:dyDescent="0.25">
      <c r="E2603" t="str">
        <f>""</f>
        <v/>
      </c>
      <c r="G2603" t="str">
        <f t="shared" si="40"/>
        <v>BCBS PAYABLE</v>
      </c>
    </row>
    <row r="2604" spans="5:7" x14ac:dyDescent="0.25">
      <c r="E2604" t="str">
        <f>"BCBS PAYABLE"</f>
        <v>BCBS PAYABLE</v>
      </c>
      <c r="F2604" s="2">
        <v>3792.96</v>
      </c>
      <c r="G2604" t="str">
        <f t="shared" si="40"/>
        <v>BCBS PAYABLE</v>
      </c>
    </row>
    <row r="2605" spans="5:7" x14ac:dyDescent="0.25">
      <c r="E2605" t="str">
        <f>"BCBS PAYABLE"</f>
        <v>BCBS PAYABLE</v>
      </c>
      <c r="F2605" s="2">
        <v>98236.479999999996</v>
      </c>
      <c r="G2605" t="str">
        <f t="shared" si="40"/>
        <v>BCBS PAYABLE</v>
      </c>
    </row>
    <row r="2606" spans="5:7" x14ac:dyDescent="0.25">
      <c r="E2606" t="str">
        <f>""</f>
        <v/>
      </c>
      <c r="G2606" t="str">
        <f t="shared" si="40"/>
        <v>BCBS PAYABLE</v>
      </c>
    </row>
    <row r="2607" spans="5:7" x14ac:dyDescent="0.25">
      <c r="E2607" t="str">
        <f>""</f>
        <v/>
      </c>
      <c r="G2607" t="str">
        <f t="shared" si="40"/>
        <v>BCBS PAYABLE</v>
      </c>
    </row>
    <row r="2608" spans="5:7" x14ac:dyDescent="0.25">
      <c r="E2608" t="str">
        <f>""</f>
        <v/>
      </c>
      <c r="G2608" t="str">
        <f t="shared" si="40"/>
        <v>BCBS PAYABLE</v>
      </c>
    </row>
    <row r="2609" spans="5:7" x14ac:dyDescent="0.25">
      <c r="E2609" t="str">
        <f>""</f>
        <v/>
      </c>
      <c r="G2609" t="str">
        <f t="shared" si="40"/>
        <v>BCBS PAYABLE</v>
      </c>
    </row>
    <row r="2610" spans="5:7" x14ac:dyDescent="0.25">
      <c r="E2610" t="str">
        <f>""</f>
        <v/>
      </c>
      <c r="G2610" t="str">
        <f t="shared" si="40"/>
        <v>BCBS PAYABLE</v>
      </c>
    </row>
    <row r="2611" spans="5:7" x14ac:dyDescent="0.25">
      <c r="E2611" t="str">
        <f>""</f>
        <v/>
      </c>
      <c r="G2611" t="str">
        <f t="shared" si="40"/>
        <v>BCBS PAYABLE</v>
      </c>
    </row>
    <row r="2612" spans="5:7" x14ac:dyDescent="0.25">
      <c r="E2612" t="str">
        <f>""</f>
        <v/>
      </c>
      <c r="G2612" t="str">
        <f t="shared" ref="G2612:G2643" si="41">"BCBS PAYABLE"</f>
        <v>BCBS PAYABLE</v>
      </c>
    </row>
    <row r="2613" spans="5:7" x14ac:dyDescent="0.25">
      <c r="E2613" t="str">
        <f>""</f>
        <v/>
      </c>
      <c r="G2613" t="str">
        <f t="shared" si="41"/>
        <v>BCBS PAYABLE</v>
      </c>
    </row>
    <row r="2614" spans="5:7" x14ac:dyDescent="0.25">
      <c r="E2614" t="str">
        <f>""</f>
        <v/>
      </c>
      <c r="G2614" t="str">
        <f t="shared" si="41"/>
        <v>BCBS PAYABLE</v>
      </c>
    </row>
    <row r="2615" spans="5:7" x14ac:dyDescent="0.25">
      <c r="E2615" t="str">
        <f>""</f>
        <v/>
      </c>
      <c r="G2615" t="str">
        <f t="shared" si="41"/>
        <v>BCBS PAYABLE</v>
      </c>
    </row>
    <row r="2616" spans="5:7" x14ac:dyDescent="0.25">
      <c r="E2616" t="str">
        <f>""</f>
        <v/>
      </c>
      <c r="G2616" t="str">
        <f t="shared" si="41"/>
        <v>BCBS PAYABLE</v>
      </c>
    </row>
    <row r="2617" spans="5:7" x14ac:dyDescent="0.25">
      <c r="E2617" t="str">
        <f>""</f>
        <v/>
      </c>
      <c r="G2617" t="str">
        <f t="shared" si="41"/>
        <v>BCBS PAYABLE</v>
      </c>
    </row>
    <row r="2618" spans="5:7" x14ac:dyDescent="0.25">
      <c r="E2618" t="str">
        <f>""</f>
        <v/>
      </c>
      <c r="G2618" t="str">
        <f t="shared" si="41"/>
        <v>BCBS PAYABLE</v>
      </c>
    </row>
    <row r="2619" spans="5:7" x14ac:dyDescent="0.25">
      <c r="E2619" t="str">
        <f>""</f>
        <v/>
      </c>
      <c r="G2619" t="str">
        <f t="shared" si="41"/>
        <v>BCBS PAYABLE</v>
      </c>
    </row>
    <row r="2620" spans="5:7" x14ac:dyDescent="0.25">
      <c r="E2620" t="str">
        <f>""</f>
        <v/>
      </c>
      <c r="G2620" t="str">
        <f t="shared" si="41"/>
        <v>BCBS PAYABLE</v>
      </c>
    </row>
    <row r="2621" spans="5:7" x14ac:dyDescent="0.25">
      <c r="E2621" t="str">
        <f>""</f>
        <v/>
      </c>
      <c r="G2621" t="str">
        <f t="shared" si="41"/>
        <v>BCBS PAYABLE</v>
      </c>
    </row>
    <row r="2622" spans="5:7" x14ac:dyDescent="0.25">
      <c r="E2622" t="str">
        <f>""</f>
        <v/>
      </c>
      <c r="G2622" t="str">
        <f t="shared" si="41"/>
        <v>BCBS PAYABLE</v>
      </c>
    </row>
    <row r="2623" spans="5:7" x14ac:dyDescent="0.25">
      <c r="E2623" t="str">
        <f>""</f>
        <v/>
      </c>
      <c r="G2623" t="str">
        <f t="shared" si="41"/>
        <v>BCBS PAYABLE</v>
      </c>
    </row>
    <row r="2624" spans="5:7" x14ac:dyDescent="0.25">
      <c r="E2624" t="str">
        <f>""</f>
        <v/>
      </c>
      <c r="G2624" t="str">
        <f t="shared" si="41"/>
        <v>BCBS PAYABLE</v>
      </c>
    </row>
    <row r="2625" spans="5:7" x14ac:dyDescent="0.25">
      <c r="E2625" t="str">
        <f>""</f>
        <v/>
      </c>
      <c r="G2625" t="str">
        <f t="shared" si="41"/>
        <v>BCBS PAYABLE</v>
      </c>
    </row>
    <row r="2626" spans="5:7" x14ac:dyDescent="0.25">
      <c r="E2626" t="str">
        <f>""</f>
        <v/>
      </c>
      <c r="G2626" t="str">
        <f t="shared" si="41"/>
        <v>BCBS PAYABLE</v>
      </c>
    </row>
    <row r="2627" spans="5:7" x14ac:dyDescent="0.25">
      <c r="E2627" t="str">
        <f>""</f>
        <v/>
      </c>
      <c r="G2627" t="str">
        <f t="shared" si="41"/>
        <v>BCBS PAYABLE</v>
      </c>
    </row>
    <row r="2628" spans="5:7" x14ac:dyDescent="0.25">
      <c r="E2628" t="str">
        <f>""</f>
        <v/>
      </c>
      <c r="G2628" t="str">
        <f t="shared" si="41"/>
        <v>BCBS PAYABLE</v>
      </c>
    </row>
    <row r="2629" spans="5:7" x14ac:dyDescent="0.25">
      <c r="E2629" t="str">
        <f>""</f>
        <v/>
      </c>
      <c r="G2629" t="str">
        <f t="shared" si="41"/>
        <v>BCBS PAYABLE</v>
      </c>
    </row>
    <row r="2630" spans="5:7" x14ac:dyDescent="0.25">
      <c r="E2630" t="str">
        <f>""</f>
        <v/>
      </c>
      <c r="G2630" t="str">
        <f t="shared" si="41"/>
        <v>BCBS PAYABLE</v>
      </c>
    </row>
    <row r="2631" spans="5:7" x14ac:dyDescent="0.25">
      <c r="E2631" t="str">
        <f>""</f>
        <v/>
      </c>
      <c r="G2631" t="str">
        <f t="shared" si="41"/>
        <v>BCBS PAYABLE</v>
      </c>
    </row>
    <row r="2632" spans="5:7" x14ac:dyDescent="0.25">
      <c r="E2632" t="str">
        <f>""</f>
        <v/>
      </c>
      <c r="G2632" t="str">
        <f t="shared" si="41"/>
        <v>BCBS PAYABLE</v>
      </c>
    </row>
    <row r="2633" spans="5:7" x14ac:dyDescent="0.25">
      <c r="E2633" t="str">
        <f>""</f>
        <v/>
      </c>
      <c r="G2633" t="str">
        <f t="shared" si="41"/>
        <v>BCBS PAYABLE</v>
      </c>
    </row>
    <row r="2634" spans="5:7" x14ac:dyDescent="0.25">
      <c r="E2634" t="str">
        <f>""</f>
        <v/>
      </c>
      <c r="G2634" t="str">
        <f t="shared" si="41"/>
        <v>BCBS PAYABLE</v>
      </c>
    </row>
    <row r="2635" spans="5:7" x14ac:dyDescent="0.25">
      <c r="E2635" t="str">
        <f>""</f>
        <v/>
      </c>
      <c r="G2635" t="str">
        <f t="shared" si="41"/>
        <v>BCBS PAYABLE</v>
      </c>
    </row>
    <row r="2636" spans="5:7" x14ac:dyDescent="0.25">
      <c r="E2636" t="str">
        <f>""</f>
        <v/>
      </c>
      <c r="G2636" t="str">
        <f t="shared" si="41"/>
        <v>BCBS PAYABLE</v>
      </c>
    </row>
    <row r="2637" spans="5:7" x14ac:dyDescent="0.25">
      <c r="E2637" t="str">
        <f>""</f>
        <v/>
      </c>
      <c r="G2637" t="str">
        <f t="shared" si="41"/>
        <v>BCBS PAYABLE</v>
      </c>
    </row>
    <row r="2638" spans="5:7" x14ac:dyDescent="0.25">
      <c r="E2638" t="str">
        <f>""</f>
        <v/>
      </c>
      <c r="G2638" t="str">
        <f t="shared" si="41"/>
        <v>BCBS PAYABLE</v>
      </c>
    </row>
    <row r="2639" spans="5:7" x14ac:dyDescent="0.25">
      <c r="E2639" t="str">
        <f>""</f>
        <v/>
      </c>
      <c r="G2639" t="str">
        <f t="shared" si="41"/>
        <v>BCBS PAYABLE</v>
      </c>
    </row>
    <row r="2640" spans="5:7" x14ac:dyDescent="0.25">
      <c r="E2640" t="str">
        <f>""</f>
        <v/>
      </c>
      <c r="G2640" t="str">
        <f t="shared" si="41"/>
        <v>BCBS PAYABLE</v>
      </c>
    </row>
    <row r="2641" spans="5:7" x14ac:dyDescent="0.25">
      <c r="E2641" t="str">
        <f>""</f>
        <v/>
      </c>
      <c r="G2641" t="str">
        <f t="shared" si="41"/>
        <v>BCBS PAYABLE</v>
      </c>
    </row>
    <row r="2642" spans="5:7" x14ac:dyDescent="0.25">
      <c r="E2642" t="str">
        <f>""</f>
        <v/>
      </c>
      <c r="G2642" t="str">
        <f t="shared" si="41"/>
        <v>BCBS PAYABLE</v>
      </c>
    </row>
    <row r="2643" spans="5:7" x14ac:dyDescent="0.25">
      <c r="E2643" t="str">
        <f>""</f>
        <v/>
      </c>
      <c r="G2643" t="str">
        <f t="shared" si="41"/>
        <v>BCBS PAYABLE</v>
      </c>
    </row>
    <row r="2644" spans="5:7" x14ac:dyDescent="0.25">
      <c r="E2644" t="str">
        <f>""</f>
        <v/>
      </c>
      <c r="G2644" t="str">
        <f t="shared" ref="G2644:G2680" si="42">"BCBS PAYABLE"</f>
        <v>BCBS PAYABLE</v>
      </c>
    </row>
    <row r="2645" spans="5:7" x14ac:dyDescent="0.25">
      <c r="E2645" t="str">
        <f>""</f>
        <v/>
      </c>
      <c r="G2645" t="str">
        <f t="shared" si="42"/>
        <v>BCBS PAYABLE</v>
      </c>
    </row>
    <row r="2646" spans="5:7" x14ac:dyDescent="0.25">
      <c r="E2646" t="str">
        <f>""</f>
        <v/>
      </c>
      <c r="G2646" t="str">
        <f t="shared" si="42"/>
        <v>BCBS PAYABLE</v>
      </c>
    </row>
    <row r="2647" spans="5:7" x14ac:dyDescent="0.25">
      <c r="E2647" t="str">
        <f>""</f>
        <v/>
      </c>
      <c r="G2647" t="str">
        <f t="shared" si="42"/>
        <v>BCBS PAYABLE</v>
      </c>
    </row>
    <row r="2648" spans="5:7" x14ac:dyDescent="0.25">
      <c r="E2648" t="str">
        <f>""</f>
        <v/>
      </c>
      <c r="G2648" t="str">
        <f t="shared" si="42"/>
        <v>BCBS PAYABLE</v>
      </c>
    </row>
    <row r="2649" spans="5:7" x14ac:dyDescent="0.25">
      <c r="E2649" t="str">
        <f>""</f>
        <v/>
      </c>
      <c r="G2649" t="str">
        <f t="shared" si="42"/>
        <v>BCBS PAYABLE</v>
      </c>
    </row>
    <row r="2650" spans="5:7" x14ac:dyDescent="0.25">
      <c r="E2650" t="str">
        <f>""</f>
        <v/>
      </c>
      <c r="G2650" t="str">
        <f t="shared" si="42"/>
        <v>BCBS PAYABLE</v>
      </c>
    </row>
    <row r="2651" spans="5:7" x14ac:dyDescent="0.25">
      <c r="E2651" t="str">
        <f>""</f>
        <v/>
      </c>
      <c r="G2651" t="str">
        <f t="shared" si="42"/>
        <v>BCBS PAYABLE</v>
      </c>
    </row>
    <row r="2652" spans="5:7" x14ac:dyDescent="0.25">
      <c r="E2652" t="str">
        <f>"BCBS PAYABLE"</f>
        <v>BCBS PAYABLE</v>
      </c>
      <c r="F2652" s="2">
        <v>3792.96</v>
      </c>
      <c r="G2652" t="str">
        <f t="shared" si="42"/>
        <v>BCBS PAYABLE</v>
      </c>
    </row>
    <row r="2653" spans="5:7" x14ac:dyDescent="0.25">
      <c r="E2653" t="str">
        <f>"BCBS PAYABLE"</f>
        <v>BCBS PAYABLE</v>
      </c>
      <c r="F2653" s="2">
        <v>15834</v>
      </c>
      <c r="G2653" t="str">
        <f t="shared" si="42"/>
        <v>BCBS PAYABLE</v>
      </c>
    </row>
    <row r="2654" spans="5:7" x14ac:dyDescent="0.25">
      <c r="E2654" t="str">
        <f>""</f>
        <v/>
      </c>
      <c r="G2654" t="str">
        <f t="shared" si="42"/>
        <v>BCBS PAYABLE</v>
      </c>
    </row>
    <row r="2655" spans="5:7" x14ac:dyDescent="0.25">
      <c r="E2655" t="str">
        <f>""</f>
        <v/>
      </c>
      <c r="G2655" t="str">
        <f t="shared" si="42"/>
        <v>BCBS PAYABLE</v>
      </c>
    </row>
    <row r="2656" spans="5:7" x14ac:dyDescent="0.25">
      <c r="E2656" t="str">
        <f>""</f>
        <v/>
      </c>
      <c r="G2656" t="str">
        <f t="shared" si="42"/>
        <v>BCBS PAYABLE</v>
      </c>
    </row>
    <row r="2657" spans="5:7" x14ac:dyDescent="0.25">
      <c r="E2657" t="str">
        <f>""</f>
        <v/>
      </c>
      <c r="G2657" t="str">
        <f t="shared" si="42"/>
        <v>BCBS PAYABLE</v>
      </c>
    </row>
    <row r="2658" spans="5:7" x14ac:dyDescent="0.25">
      <c r="E2658" t="str">
        <f>""</f>
        <v/>
      </c>
      <c r="G2658" t="str">
        <f t="shared" si="42"/>
        <v>BCBS PAYABLE</v>
      </c>
    </row>
    <row r="2659" spans="5:7" x14ac:dyDescent="0.25">
      <c r="E2659" t="str">
        <f>""</f>
        <v/>
      </c>
      <c r="G2659" t="str">
        <f t="shared" si="42"/>
        <v>BCBS PAYABLE</v>
      </c>
    </row>
    <row r="2660" spans="5:7" x14ac:dyDescent="0.25">
      <c r="E2660" t="str">
        <f>""</f>
        <v/>
      </c>
      <c r="G2660" t="str">
        <f t="shared" si="42"/>
        <v>BCBS PAYABLE</v>
      </c>
    </row>
    <row r="2661" spans="5:7" x14ac:dyDescent="0.25">
      <c r="E2661" t="str">
        <f>""</f>
        <v/>
      </c>
      <c r="G2661" t="str">
        <f t="shared" si="42"/>
        <v>BCBS PAYABLE</v>
      </c>
    </row>
    <row r="2662" spans="5:7" x14ac:dyDescent="0.25">
      <c r="E2662" t="str">
        <f>""</f>
        <v/>
      </c>
      <c r="G2662" t="str">
        <f t="shared" si="42"/>
        <v>BCBS PAYABLE</v>
      </c>
    </row>
    <row r="2663" spans="5:7" x14ac:dyDescent="0.25">
      <c r="E2663" t="str">
        <f>""</f>
        <v/>
      </c>
      <c r="G2663" t="str">
        <f t="shared" si="42"/>
        <v>BCBS PAYABLE</v>
      </c>
    </row>
    <row r="2664" spans="5:7" x14ac:dyDescent="0.25">
      <c r="E2664" t="str">
        <f>""</f>
        <v/>
      </c>
      <c r="G2664" t="str">
        <f t="shared" si="42"/>
        <v>BCBS PAYABLE</v>
      </c>
    </row>
    <row r="2665" spans="5:7" x14ac:dyDescent="0.25">
      <c r="E2665" t="str">
        <f>""</f>
        <v/>
      </c>
      <c r="G2665" t="str">
        <f t="shared" si="42"/>
        <v>BCBS PAYABLE</v>
      </c>
    </row>
    <row r="2666" spans="5:7" x14ac:dyDescent="0.25">
      <c r="E2666" t="str">
        <f>""</f>
        <v/>
      </c>
      <c r="G2666" t="str">
        <f t="shared" si="42"/>
        <v>BCBS PAYABLE</v>
      </c>
    </row>
    <row r="2667" spans="5:7" x14ac:dyDescent="0.25">
      <c r="E2667" t="str">
        <f>"BCBS PAYABLE"</f>
        <v>BCBS PAYABLE</v>
      </c>
      <c r="F2667" s="2">
        <v>15834</v>
      </c>
      <c r="G2667" t="str">
        <f t="shared" si="42"/>
        <v>BCBS PAYABLE</v>
      </c>
    </row>
    <row r="2668" spans="5:7" x14ac:dyDescent="0.25">
      <c r="E2668" t="str">
        <f>""</f>
        <v/>
      </c>
      <c r="G2668" t="str">
        <f t="shared" si="42"/>
        <v>BCBS PAYABLE</v>
      </c>
    </row>
    <row r="2669" spans="5:7" x14ac:dyDescent="0.25">
      <c r="E2669" t="str">
        <f>""</f>
        <v/>
      </c>
      <c r="G2669" t="str">
        <f t="shared" si="42"/>
        <v>BCBS PAYABLE</v>
      </c>
    </row>
    <row r="2670" spans="5:7" x14ac:dyDescent="0.25">
      <c r="E2670" t="str">
        <f>""</f>
        <v/>
      </c>
      <c r="G2670" t="str">
        <f t="shared" si="42"/>
        <v>BCBS PAYABLE</v>
      </c>
    </row>
    <row r="2671" spans="5:7" x14ac:dyDescent="0.25">
      <c r="E2671" t="str">
        <f>""</f>
        <v/>
      </c>
      <c r="G2671" t="str">
        <f t="shared" si="42"/>
        <v>BCBS PAYABLE</v>
      </c>
    </row>
    <row r="2672" spans="5:7" x14ac:dyDescent="0.25">
      <c r="E2672" t="str">
        <f>""</f>
        <v/>
      </c>
      <c r="G2672" t="str">
        <f t="shared" si="42"/>
        <v>BCBS PAYABLE</v>
      </c>
    </row>
    <row r="2673" spans="1:7" x14ac:dyDescent="0.25">
      <c r="E2673" t="str">
        <f>""</f>
        <v/>
      </c>
      <c r="G2673" t="str">
        <f t="shared" si="42"/>
        <v>BCBS PAYABLE</v>
      </c>
    </row>
    <row r="2674" spans="1:7" x14ac:dyDescent="0.25">
      <c r="E2674" t="str">
        <f>""</f>
        <v/>
      </c>
      <c r="G2674" t="str">
        <f t="shared" si="42"/>
        <v>BCBS PAYABLE</v>
      </c>
    </row>
    <row r="2675" spans="1:7" x14ac:dyDescent="0.25">
      <c r="E2675" t="str">
        <f>""</f>
        <v/>
      </c>
      <c r="G2675" t="str">
        <f t="shared" si="42"/>
        <v>BCBS PAYABLE</v>
      </c>
    </row>
    <row r="2676" spans="1:7" x14ac:dyDescent="0.25">
      <c r="E2676" t="str">
        <f>""</f>
        <v/>
      </c>
      <c r="G2676" t="str">
        <f t="shared" si="42"/>
        <v>BCBS PAYABLE</v>
      </c>
    </row>
    <row r="2677" spans="1:7" x14ac:dyDescent="0.25">
      <c r="E2677" t="str">
        <f>""</f>
        <v/>
      </c>
      <c r="G2677" t="str">
        <f t="shared" si="42"/>
        <v>BCBS PAYABLE</v>
      </c>
    </row>
    <row r="2678" spans="1:7" x14ac:dyDescent="0.25">
      <c r="E2678" t="str">
        <f>""</f>
        <v/>
      </c>
      <c r="G2678" t="str">
        <f t="shared" si="42"/>
        <v>BCBS PAYABLE</v>
      </c>
    </row>
    <row r="2679" spans="1:7" x14ac:dyDescent="0.25">
      <c r="E2679" t="str">
        <f>""</f>
        <v/>
      </c>
      <c r="G2679" t="str">
        <f t="shared" si="42"/>
        <v>BCBS PAYABLE</v>
      </c>
    </row>
    <row r="2680" spans="1:7" x14ac:dyDescent="0.25">
      <c r="E2680" t="str">
        <f>""</f>
        <v/>
      </c>
      <c r="G2680" t="str">
        <f t="shared" si="42"/>
        <v>BCBS PAYABLE</v>
      </c>
    </row>
    <row r="2681" spans="1:7" x14ac:dyDescent="0.25">
      <c r="A2681" t="s">
        <v>568</v>
      </c>
      <c r="B2681">
        <v>242</v>
      </c>
      <c r="C2681" s="2">
        <v>234648.87</v>
      </c>
      <c r="D2681" s="1">
        <v>43742</v>
      </c>
      <c r="E2681" t="str">
        <f>"TASC FSA"</f>
        <v>TASC FSA</v>
      </c>
      <c r="F2681" s="2">
        <v>7710.95</v>
      </c>
      <c r="G2681" t="str">
        <f>"TASC FSA"</f>
        <v>TASC FSA</v>
      </c>
    </row>
    <row r="2682" spans="1:7" x14ac:dyDescent="0.25">
      <c r="E2682" t="str">
        <f>"TASC FSA"</f>
        <v>TASC FSA</v>
      </c>
      <c r="F2682" s="2">
        <v>393.32</v>
      </c>
      <c r="G2682" t="str">
        <f>"TASC FSA"</f>
        <v>TASC FSA</v>
      </c>
    </row>
    <row r="2683" spans="1:7" x14ac:dyDescent="0.25">
      <c r="E2683" t="str">
        <f>"TASC DEPENDENT CARE"</f>
        <v>TASC DEPENDENT CARE</v>
      </c>
      <c r="F2683" s="2">
        <v>470</v>
      </c>
      <c r="G2683" t="str">
        <f>"TASC DEPENDENT CARE"</f>
        <v>TASC DEPENDENT CARE</v>
      </c>
    </row>
    <row r="2684" spans="1:7" x14ac:dyDescent="0.25">
      <c r="E2684" t="str">
        <f>"TASC - FSA  FEES"</f>
        <v>TASC - FSA  FEES</v>
      </c>
      <c r="F2684" s="2">
        <v>252</v>
      </c>
      <c r="G2684" t="str">
        <f t="shared" ref="G2684:G2722" si="43">"TASC - FSA  FEES"</f>
        <v>TASC - FSA  FEES</v>
      </c>
    </row>
    <row r="2685" spans="1:7" x14ac:dyDescent="0.25">
      <c r="E2685" t="str">
        <f>""</f>
        <v/>
      </c>
      <c r="G2685" t="str">
        <f t="shared" si="43"/>
        <v>TASC - FSA  FEES</v>
      </c>
    </row>
    <row r="2686" spans="1:7" x14ac:dyDescent="0.25">
      <c r="E2686" t="str">
        <f>""</f>
        <v/>
      </c>
      <c r="G2686" t="str">
        <f t="shared" si="43"/>
        <v>TASC - FSA  FEES</v>
      </c>
    </row>
    <row r="2687" spans="1:7" x14ac:dyDescent="0.25">
      <c r="E2687" t="str">
        <f>""</f>
        <v/>
      </c>
      <c r="G2687" t="str">
        <f t="shared" si="43"/>
        <v>TASC - FSA  FEES</v>
      </c>
    </row>
    <row r="2688" spans="1:7" x14ac:dyDescent="0.25">
      <c r="E2688" t="str">
        <f>""</f>
        <v/>
      </c>
      <c r="G2688" t="str">
        <f t="shared" si="43"/>
        <v>TASC - FSA  FEES</v>
      </c>
    </row>
    <row r="2689" spans="5:7" x14ac:dyDescent="0.25">
      <c r="E2689" t="str">
        <f>""</f>
        <v/>
      </c>
      <c r="G2689" t="str">
        <f t="shared" si="43"/>
        <v>TASC - FSA  FEES</v>
      </c>
    </row>
    <row r="2690" spans="5:7" x14ac:dyDescent="0.25">
      <c r="E2690" t="str">
        <f>""</f>
        <v/>
      </c>
      <c r="G2690" t="str">
        <f t="shared" si="43"/>
        <v>TASC - FSA  FEES</v>
      </c>
    </row>
    <row r="2691" spans="5:7" x14ac:dyDescent="0.25">
      <c r="E2691" t="str">
        <f>""</f>
        <v/>
      </c>
      <c r="G2691" t="str">
        <f t="shared" si="43"/>
        <v>TASC - FSA  FEES</v>
      </c>
    </row>
    <row r="2692" spans="5:7" x14ac:dyDescent="0.25">
      <c r="E2692" t="str">
        <f>""</f>
        <v/>
      </c>
      <c r="G2692" t="str">
        <f t="shared" si="43"/>
        <v>TASC - FSA  FEES</v>
      </c>
    </row>
    <row r="2693" spans="5:7" x14ac:dyDescent="0.25">
      <c r="E2693" t="str">
        <f>""</f>
        <v/>
      </c>
      <c r="G2693" t="str">
        <f t="shared" si="43"/>
        <v>TASC - FSA  FEES</v>
      </c>
    </row>
    <row r="2694" spans="5:7" x14ac:dyDescent="0.25">
      <c r="E2694" t="str">
        <f>""</f>
        <v/>
      </c>
      <c r="G2694" t="str">
        <f t="shared" si="43"/>
        <v>TASC - FSA  FEES</v>
      </c>
    </row>
    <row r="2695" spans="5:7" x14ac:dyDescent="0.25">
      <c r="E2695" t="str">
        <f>""</f>
        <v/>
      </c>
      <c r="G2695" t="str">
        <f t="shared" si="43"/>
        <v>TASC - FSA  FEES</v>
      </c>
    </row>
    <row r="2696" spans="5:7" x14ac:dyDescent="0.25">
      <c r="E2696" t="str">
        <f>""</f>
        <v/>
      </c>
      <c r="G2696" t="str">
        <f t="shared" si="43"/>
        <v>TASC - FSA  FEES</v>
      </c>
    </row>
    <row r="2697" spans="5:7" x14ac:dyDescent="0.25">
      <c r="E2697" t="str">
        <f>""</f>
        <v/>
      </c>
      <c r="G2697" t="str">
        <f t="shared" si="43"/>
        <v>TASC - FSA  FEES</v>
      </c>
    </row>
    <row r="2698" spans="5:7" x14ac:dyDescent="0.25">
      <c r="E2698" t="str">
        <f>""</f>
        <v/>
      </c>
      <c r="G2698" t="str">
        <f t="shared" si="43"/>
        <v>TASC - FSA  FEES</v>
      </c>
    </row>
    <row r="2699" spans="5:7" x14ac:dyDescent="0.25">
      <c r="E2699" t="str">
        <f>""</f>
        <v/>
      </c>
      <c r="G2699" t="str">
        <f t="shared" si="43"/>
        <v>TASC - FSA  FEES</v>
      </c>
    </row>
    <row r="2700" spans="5:7" x14ac:dyDescent="0.25">
      <c r="E2700" t="str">
        <f>""</f>
        <v/>
      </c>
      <c r="G2700" t="str">
        <f t="shared" si="43"/>
        <v>TASC - FSA  FEES</v>
      </c>
    </row>
    <row r="2701" spans="5:7" x14ac:dyDescent="0.25">
      <c r="E2701" t="str">
        <f>""</f>
        <v/>
      </c>
      <c r="G2701" t="str">
        <f t="shared" si="43"/>
        <v>TASC - FSA  FEES</v>
      </c>
    </row>
    <row r="2702" spans="5:7" x14ac:dyDescent="0.25">
      <c r="E2702" t="str">
        <f>""</f>
        <v/>
      </c>
      <c r="G2702" t="str">
        <f t="shared" si="43"/>
        <v>TASC - FSA  FEES</v>
      </c>
    </row>
    <row r="2703" spans="5:7" x14ac:dyDescent="0.25">
      <c r="E2703" t="str">
        <f>""</f>
        <v/>
      </c>
      <c r="G2703" t="str">
        <f t="shared" si="43"/>
        <v>TASC - FSA  FEES</v>
      </c>
    </row>
    <row r="2704" spans="5:7" x14ac:dyDescent="0.25">
      <c r="E2704" t="str">
        <f>""</f>
        <v/>
      </c>
      <c r="G2704" t="str">
        <f t="shared" si="43"/>
        <v>TASC - FSA  FEES</v>
      </c>
    </row>
    <row r="2705" spans="5:7" x14ac:dyDescent="0.25">
      <c r="E2705" t="str">
        <f>""</f>
        <v/>
      </c>
      <c r="G2705" t="str">
        <f t="shared" si="43"/>
        <v>TASC - FSA  FEES</v>
      </c>
    </row>
    <row r="2706" spans="5:7" x14ac:dyDescent="0.25">
      <c r="E2706" t="str">
        <f>""</f>
        <v/>
      </c>
      <c r="G2706" t="str">
        <f t="shared" si="43"/>
        <v>TASC - FSA  FEES</v>
      </c>
    </row>
    <row r="2707" spans="5:7" x14ac:dyDescent="0.25">
      <c r="E2707" t="str">
        <f>""</f>
        <v/>
      </c>
      <c r="G2707" t="str">
        <f t="shared" si="43"/>
        <v>TASC - FSA  FEES</v>
      </c>
    </row>
    <row r="2708" spans="5:7" x14ac:dyDescent="0.25">
      <c r="E2708" t="str">
        <f>""</f>
        <v/>
      </c>
      <c r="G2708" t="str">
        <f t="shared" si="43"/>
        <v>TASC - FSA  FEES</v>
      </c>
    </row>
    <row r="2709" spans="5:7" x14ac:dyDescent="0.25">
      <c r="E2709" t="str">
        <f>""</f>
        <v/>
      </c>
      <c r="G2709" t="str">
        <f t="shared" si="43"/>
        <v>TASC - FSA  FEES</v>
      </c>
    </row>
    <row r="2710" spans="5:7" x14ac:dyDescent="0.25">
      <c r="E2710" t="str">
        <f>""</f>
        <v/>
      </c>
      <c r="G2710" t="str">
        <f t="shared" si="43"/>
        <v>TASC - FSA  FEES</v>
      </c>
    </row>
    <row r="2711" spans="5:7" x14ac:dyDescent="0.25">
      <c r="E2711" t="str">
        <f>""</f>
        <v/>
      </c>
      <c r="G2711" t="str">
        <f t="shared" si="43"/>
        <v>TASC - FSA  FEES</v>
      </c>
    </row>
    <row r="2712" spans="5:7" x14ac:dyDescent="0.25">
      <c r="E2712" t="str">
        <f>""</f>
        <v/>
      </c>
      <c r="G2712" t="str">
        <f t="shared" si="43"/>
        <v>TASC - FSA  FEES</v>
      </c>
    </row>
    <row r="2713" spans="5:7" x14ac:dyDescent="0.25">
      <c r="E2713" t="str">
        <f>""</f>
        <v/>
      </c>
      <c r="G2713" t="str">
        <f t="shared" si="43"/>
        <v>TASC - FSA  FEES</v>
      </c>
    </row>
    <row r="2714" spans="5:7" x14ac:dyDescent="0.25">
      <c r="E2714" t="str">
        <f>""</f>
        <v/>
      </c>
      <c r="G2714" t="str">
        <f t="shared" si="43"/>
        <v>TASC - FSA  FEES</v>
      </c>
    </row>
    <row r="2715" spans="5:7" x14ac:dyDescent="0.25">
      <c r="E2715" t="str">
        <f>""</f>
        <v/>
      </c>
      <c r="G2715" t="str">
        <f t="shared" si="43"/>
        <v>TASC - FSA  FEES</v>
      </c>
    </row>
    <row r="2716" spans="5:7" x14ac:dyDescent="0.25">
      <c r="E2716" t="str">
        <f>""</f>
        <v/>
      </c>
      <c r="G2716" t="str">
        <f t="shared" si="43"/>
        <v>TASC - FSA  FEES</v>
      </c>
    </row>
    <row r="2717" spans="5:7" x14ac:dyDescent="0.25">
      <c r="E2717" t="str">
        <f>""</f>
        <v/>
      </c>
      <c r="G2717" t="str">
        <f t="shared" si="43"/>
        <v>TASC - FSA  FEES</v>
      </c>
    </row>
    <row r="2718" spans="5:7" x14ac:dyDescent="0.25">
      <c r="E2718" t="str">
        <f>""</f>
        <v/>
      </c>
      <c r="G2718" t="str">
        <f t="shared" si="43"/>
        <v>TASC - FSA  FEES</v>
      </c>
    </row>
    <row r="2719" spans="5:7" x14ac:dyDescent="0.25">
      <c r="E2719" t="str">
        <f>""</f>
        <v/>
      </c>
      <c r="G2719" t="str">
        <f t="shared" si="43"/>
        <v>TASC - FSA  FEES</v>
      </c>
    </row>
    <row r="2720" spans="5:7" x14ac:dyDescent="0.25">
      <c r="E2720" t="str">
        <f>""</f>
        <v/>
      </c>
      <c r="G2720" t="str">
        <f t="shared" si="43"/>
        <v>TASC - FSA  FEES</v>
      </c>
    </row>
    <row r="2721" spans="5:7" x14ac:dyDescent="0.25">
      <c r="E2721" t="str">
        <f>""</f>
        <v/>
      </c>
      <c r="G2721" t="str">
        <f t="shared" si="43"/>
        <v>TASC - FSA  FEES</v>
      </c>
    </row>
    <row r="2722" spans="5:7" x14ac:dyDescent="0.25">
      <c r="E2722" t="str">
        <f>"TASC - FSA  FEES"</f>
        <v>TASC - FSA  FEES</v>
      </c>
      <c r="F2722" s="2">
        <v>12.6</v>
      </c>
      <c r="G2722" t="str">
        <f t="shared" si="43"/>
        <v>TASC - FSA  FEES</v>
      </c>
    </row>
    <row r="2723" spans="5:7" x14ac:dyDescent="0.25">
      <c r="E2723" t="str">
        <f>"TASC HRA"</f>
        <v>TASC HRA</v>
      </c>
      <c r="F2723" s="2">
        <v>217000</v>
      </c>
      <c r="G2723" t="str">
        <f t="shared" ref="G2723:G2754" si="44">"TASC HRA"</f>
        <v>TASC HRA</v>
      </c>
    </row>
    <row r="2724" spans="5:7" x14ac:dyDescent="0.25">
      <c r="E2724" t="str">
        <f>""</f>
        <v/>
      </c>
      <c r="G2724" t="str">
        <f t="shared" si="44"/>
        <v>TASC HRA</v>
      </c>
    </row>
    <row r="2725" spans="5:7" x14ac:dyDescent="0.25">
      <c r="E2725" t="str">
        <f>""</f>
        <v/>
      </c>
      <c r="G2725" t="str">
        <f t="shared" si="44"/>
        <v>TASC HRA</v>
      </c>
    </row>
    <row r="2726" spans="5:7" x14ac:dyDescent="0.25">
      <c r="E2726" t="str">
        <f>""</f>
        <v/>
      </c>
      <c r="G2726" t="str">
        <f t="shared" si="44"/>
        <v>TASC HRA</v>
      </c>
    </row>
    <row r="2727" spans="5:7" x14ac:dyDescent="0.25">
      <c r="E2727" t="str">
        <f>""</f>
        <v/>
      </c>
      <c r="G2727" t="str">
        <f t="shared" si="44"/>
        <v>TASC HRA</v>
      </c>
    </row>
    <row r="2728" spans="5:7" x14ac:dyDescent="0.25">
      <c r="E2728" t="str">
        <f>""</f>
        <v/>
      </c>
      <c r="G2728" t="str">
        <f t="shared" si="44"/>
        <v>TASC HRA</v>
      </c>
    </row>
    <row r="2729" spans="5:7" x14ac:dyDescent="0.25">
      <c r="E2729" t="str">
        <f>""</f>
        <v/>
      </c>
      <c r="G2729" t="str">
        <f t="shared" si="44"/>
        <v>TASC HRA</v>
      </c>
    </row>
    <row r="2730" spans="5:7" x14ac:dyDescent="0.25">
      <c r="E2730" t="str">
        <f>""</f>
        <v/>
      </c>
      <c r="G2730" t="str">
        <f t="shared" si="44"/>
        <v>TASC HRA</v>
      </c>
    </row>
    <row r="2731" spans="5:7" x14ac:dyDescent="0.25">
      <c r="E2731" t="str">
        <f>""</f>
        <v/>
      </c>
      <c r="G2731" t="str">
        <f t="shared" si="44"/>
        <v>TASC HRA</v>
      </c>
    </row>
    <row r="2732" spans="5:7" x14ac:dyDescent="0.25">
      <c r="E2732" t="str">
        <f>""</f>
        <v/>
      </c>
      <c r="G2732" t="str">
        <f t="shared" si="44"/>
        <v>TASC HRA</v>
      </c>
    </row>
    <row r="2733" spans="5:7" x14ac:dyDescent="0.25">
      <c r="E2733" t="str">
        <f>""</f>
        <v/>
      </c>
      <c r="G2733" t="str">
        <f t="shared" si="44"/>
        <v>TASC HRA</v>
      </c>
    </row>
    <row r="2734" spans="5:7" x14ac:dyDescent="0.25">
      <c r="E2734" t="str">
        <f>""</f>
        <v/>
      </c>
      <c r="G2734" t="str">
        <f t="shared" si="44"/>
        <v>TASC HRA</v>
      </c>
    </row>
    <row r="2735" spans="5:7" x14ac:dyDescent="0.25">
      <c r="E2735" t="str">
        <f>""</f>
        <v/>
      </c>
      <c r="G2735" t="str">
        <f t="shared" si="44"/>
        <v>TASC HRA</v>
      </c>
    </row>
    <row r="2736" spans="5:7" x14ac:dyDescent="0.25">
      <c r="E2736" t="str">
        <f>""</f>
        <v/>
      </c>
      <c r="G2736" t="str">
        <f t="shared" si="44"/>
        <v>TASC HRA</v>
      </c>
    </row>
    <row r="2737" spans="5:7" x14ac:dyDescent="0.25">
      <c r="E2737" t="str">
        <f>""</f>
        <v/>
      </c>
      <c r="G2737" t="str">
        <f t="shared" si="44"/>
        <v>TASC HRA</v>
      </c>
    </row>
    <row r="2738" spans="5:7" x14ac:dyDescent="0.25">
      <c r="E2738" t="str">
        <f>""</f>
        <v/>
      </c>
      <c r="G2738" t="str">
        <f t="shared" si="44"/>
        <v>TASC HRA</v>
      </c>
    </row>
    <row r="2739" spans="5:7" x14ac:dyDescent="0.25">
      <c r="E2739" t="str">
        <f>""</f>
        <v/>
      </c>
      <c r="G2739" t="str">
        <f t="shared" si="44"/>
        <v>TASC HRA</v>
      </c>
    </row>
    <row r="2740" spans="5:7" x14ac:dyDescent="0.25">
      <c r="E2740" t="str">
        <f>""</f>
        <v/>
      </c>
      <c r="G2740" t="str">
        <f t="shared" si="44"/>
        <v>TASC HRA</v>
      </c>
    </row>
    <row r="2741" spans="5:7" x14ac:dyDescent="0.25">
      <c r="E2741" t="str">
        <f>""</f>
        <v/>
      </c>
      <c r="G2741" t="str">
        <f t="shared" si="44"/>
        <v>TASC HRA</v>
      </c>
    </row>
    <row r="2742" spans="5:7" x14ac:dyDescent="0.25">
      <c r="E2742" t="str">
        <f>""</f>
        <v/>
      </c>
      <c r="G2742" t="str">
        <f t="shared" si="44"/>
        <v>TASC HRA</v>
      </c>
    </row>
    <row r="2743" spans="5:7" x14ac:dyDescent="0.25">
      <c r="E2743" t="str">
        <f>""</f>
        <v/>
      </c>
      <c r="G2743" t="str">
        <f t="shared" si="44"/>
        <v>TASC HRA</v>
      </c>
    </row>
    <row r="2744" spans="5:7" x14ac:dyDescent="0.25">
      <c r="E2744" t="str">
        <f>""</f>
        <v/>
      </c>
      <c r="G2744" t="str">
        <f t="shared" si="44"/>
        <v>TASC HRA</v>
      </c>
    </row>
    <row r="2745" spans="5:7" x14ac:dyDescent="0.25">
      <c r="E2745" t="str">
        <f>""</f>
        <v/>
      </c>
      <c r="G2745" t="str">
        <f t="shared" si="44"/>
        <v>TASC HRA</v>
      </c>
    </row>
    <row r="2746" spans="5:7" x14ac:dyDescent="0.25">
      <c r="E2746" t="str">
        <f>""</f>
        <v/>
      </c>
      <c r="G2746" t="str">
        <f t="shared" si="44"/>
        <v>TASC HRA</v>
      </c>
    </row>
    <row r="2747" spans="5:7" x14ac:dyDescent="0.25">
      <c r="E2747" t="str">
        <f>""</f>
        <v/>
      </c>
      <c r="G2747" t="str">
        <f t="shared" si="44"/>
        <v>TASC HRA</v>
      </c>
    </row>
    <row r="2748" spans="5:7" x14ac:dyDescent="0.25">
      <c r="E2748" t="str">
        <f>""</f>
        <v/>
      </c>
      <c r="G2748" t="str">
        <f t="shared" si="44"/>
        <v>TASC HRA</v>
      </c>
    </row>
    <row r="2749" spans="5:7" x14ac:dyDescent="0.25">
      <c r="E2749" t="str">
        <f>""</f>
        <v/>
      </c>
      <c r="G2749" t="str">
        <f t="shared" si="44"/>
        <v>TASC HRA</v>
      </c>
    </row>
    <row r="2750" spans="5:7" x14ac:dyDescent="0.25">
      <c r="E2750" t="str">
        <f>""</f>
        <v/>
      </c>
      <c r="G2750" t="str">
        <f t="shared" si="44"/>
        <v>TASC HRA</v>
      </c>
    </row>
    <row r="2751" spans="5:7" x14ac:dyDescent="0.25">
      <c r="E2751" t="str">
        <f>""</f>
        <v/>
      </c>
      <c r="G2751" t="str">
        <f t="shared" si="44"/>
        <v>TASC HRA</v>
      </c>
    </row>
    <row r="2752" spans="5:7" x14ac:dyDescent="0.25">
      <c r="E2752" t="str">
        <f>""</f>
        <v/>
      </c>
      <c r="G2752" t="str">
        <f t="shared" si="44"/>
        <v>TASC HRA</v>
      </c>
    </row>
    <row r="2753" spans="5:7" x14ac:dyDescent="0.25">
      <c r="E2753" t="str">
        <f>""</f>
        <v/>
      </c>
      <c r="G2753" t="str">
        <f t="shared" si="44"/>
        <v>TASC HRA</v>
      </c>
    </row>
    <row r="2754" spans="5:7" x14ac:dyDescent="0.25">
      <c r="E2754" t="str">
        <f>""</f>
        <v/>
      </c>
      <c r="G2754" t="str">
        <f t="shared" si="44"/>
        <v>TASC HRA</v>
      </c>
    </row>
    <row r="2755" spans="5:7" x14ac:dyDescent="0.25">
      <c r="E2755" t="str">
        <f>""</f>
        <v/>
      </c>
      <c r="G2755" t="str">
        <f t="shared" ref="G2755:G2773" si="45">"TASC HRA"</f>
        <v>TASC HRA</v>
      </c>
    </row>
    <row r="2756" spans="5:7" x14ac:dyDescent="0.25">
      <c r="E2756" t="str">
        <f>""</f>
        <v/>
      </c>
      <c r="G2756" t="str">
        <f t="shared" si="45"/>
        <v>TASC HRA</v>
      </c>
    </row>
    <row r="2757" spans="5:7" x14ac:dyDescent="0.25">
      <c r="E2757" t="str">
        <f>""</f>
        <v/>
      </c>
      <c r="G2757" t="str">
        <f t="shared" si="45"/>
        <v>TASC HRA</v>
      </c>
    </row>
    <row r="2758" spans="5:7" x14ac:dyDescent="0.25">
      <c r="E2758" t="str">
        <f>""</f>
        <v/>
      </c>
      <c r="G2758" t="str">
        <f t="shared" si="45"/>
        <v>TASC HRA</v>
      </c>
    </row>
    <row r="2759" spans="5:7" x14ac:dyDescent="0.25">
      <c r="E2759" t="str">
        <f>""</f>
        <v/>
      </c>
      <c r="G2759" t="str">
        <f t="shared" si="45"/>
        <v>TASC HRA</v>
      </c>
    </row>
    <row r="2760" spans="5:7" x14ac:dyDescent="0.25">
      <c r="E2760" t="str">
        <f>""</f>
        <v/>
      </c>
      <c r="G2760" t="str">
        <f t="shared" si="45"/>
        <v>TASC HRA</v>
      </c>
    </row>
    <row r="2761" spans="5:7" x14ac:dyDescent="0.25">
      <c r="E2761" t="str">
        <f>""</f>
        <v/>
      </c>
      <c r="G2761" t="str">
        <f t="shared" si="45"/>
        <v>TASC HRA</v>
      </c>
    </row>
    <row r="2762" spans="5:7" x14ac:dyDescent="0.25">
      <c r="E2762" t="str">
        <f>""</f>
        <v/>
      </c>
      <c r="G2762" t="str">
        <f t="shared" si="45"/>
        <v>TASC HRA</v>
      </c>
    </row>
    <row r="2763" spans="5:7" x14ac:dyDescent="0.25">
      <c r="E2763" t="str">
        <f>""</f>
        <v/>
      </c>
      <c r="G2763" t="str">
        <f t="shared" si="45"/>
        <v>TASC HRA</v>
      </c>
    </row>
    <row r="2764" spans="5:7" x14ac:dyDescent="0.25">
      <c r="E2764" t="str">
        <f>""</f>
        <v/>
      </c>
      <c r="G2764" t="str">
        <f t="shared" si="45"/>
        <v>TASC HRA</v>
      </c>
    </row>
    <row r="2765" spans="5:7" x14ac:dyDescent="0.25">
      <c r="E2765" t="str">
        <f>""</f>
        <v/>
      </c>
      <c r="G2765" t="str">
        <f t="shared" si="45"/>
        <v>TASC HRA</v>
      </c>
    </row>
    <row r="2766" spans="5:7" x14ac:dyDescent="0.25">
      <c r="E2766" t="str">
        <f>""</f>
        <v/>
      </c>
      <c r="G2766" t="str">
        <f t="shared" si="45"/>
        <v>TASC HRA</v>
      </c>
    </row>
    <row r="2767" spans="5:7" x14ac:dyDescent="0.25">
      <c r="E2767" t="str">
        <f>""</f>
        <v/>
      </c>
      <c r="G2767" t="str">
        <f t="shared" si="45"/>
        <v>TASC HRA</v>
      </c>
    </row>
    <row r="2768" spans="5:7" x14ac:dyDescent="0.25">
      <c r="E2768" t="str">
        <f>""</f>
        <v/>
      </c>
      <c r="G2768" t="str">
        <f t="shared" si="45"/>
        <v>TASC HRA</v>
      </c>
    </row>
    <row r="2769" spans="5:7" x14ac:dyDescent="0.25">
      <c r="E2769" t="str">
        <f>""</f>
        <v/>
      </c>
      <c r="G2769" t="str">
        <f t="shared" si="45"/>
        <v>TASC HRA</v>
      </c>
    </row>
    <row r="2770" spans="5:7" x14ac:dyDescent="0.25">
      <c r="E2770" t="str">
        <f>""</f>
        <v/>
      </c>
      <c r="G2770" t="str">
        <f t="shared" si="45"/>
        <v>TASC HRA</v>
      </c>
    </row>
    <row r="2771" spans="5:7" x14ac:dyDescent="0.25">
      <c r="E2771" t="str">
        <f>""</f>
        <v/>
      </c>
      <c r="G2771" t="str">
        <f t="shared" si="45"/>
        <v>TASC HRA</v>
      </c>
    </row>
    <row r="2772" spans="5:7" x14ac:dyDescent="0.25">
      <c r="E2772" t="str">
        <f>""</f>
        <v/>
      </c>
      <c r="G2772" t="str">
        <f t="shared" si="45"/>
        <v>TASC HRA</v>
      </c>
    </row>
    <row r="2773" spans="5:7" x14ac:dyDescent="0.25">
      <c r="E2773" t="str">
        <f>"TASC HRA"</f>
        <v>TASC HRA</v>
      </c>
      <c r="F2773" s="2">
        <v>8000</v>
      </c>
      <c r="G2773" t="str">
        <f t="shared" si="45"/>
        <v>TASC HRA</v>
      </c>
    </row>
    <row r="2774" spans="5:7" x14ac:dyDescent="0.25">
      <c r="E2774" t="str">
        <f>"TASC - HRA FEES"</f>
        <v>TASC - HRA FEES</v>
      </c>
      <c r="F2774" s="2">
        <v>781.2</v>
      </c>
      <c r="G2774" t="str">
        <f t="shared" ref="G2774:G2805" si="46">"TASC - HRA FEES"</f>
        <v>TASC - HRA FEES</v>
      </c>
    </row>
    <row r="2775" spans="5:7" x14ac:dyDescent="0.25">
      <c r="E2775" t="str">
        <f>""</f>
        <v/>
      </c>
      <c r="G2775" t="str">
        <f t="shared" si="46"/>
        <v>TASC - HRA FEES</v>
      </c>
    </row>
    <row r="2776" spans="5:7" x14ac:dyDescent="0.25">
      <c r="E2776" t="str">
        <f>""</f>
        <v/>
      </c>
      <c r="G2776" t="str">
        <f t="shared" si="46"/>
        <v>TASC - HRA FEES</v>
      </c>
    </row>
    <row r="2777" spans="5:7" x14ac:dyDescent="0.25">
      <c r="E2777" t="str">
        <f>""</f>
        <v/>
      </c>
      <c r="G2777" t="str">
        <f t="shared" si="46"/>
        <v>TASC - HRA FEES</v>
      </c>
    </row>
    <row r="2778" spans="5:7" x14ac:dyDescent="0.25">
      <c r="E2778" t="str">
        <f>""</f>
        <v/>
      </c>
      <c r="G2778" t="str">
        <f t="shared" si="46"/>
        <v>TASC - HRA FEES</v>
      </c>
    </row>
    <row r="2779" spans="5:7" x14ac:dyDescent="0.25">
      <c r="E2779" t="str">
        <f>""</f>
        <v/>
      </c>
      <c r="G2779" t="str">
        <f t="shared" si="46"/>
        <v>TASC - HRA FEES</v>
      </c>
    </row>
    <row r="2780" spans="5:7" x14ac:dyDescent="0.25">
      <c r="E2780" t="str">
        <f>""</f>
        <v/>
      </c>
      <c r="G2780" t="str">
        <f t="shared" si="46"/>
        <v>TASC - HRA FEES</v>
      </c>
    </row>
    <row r="2781" spans="5:7" x14ac:dyDescent="0.25">
      <c r="E2781" t="str">
        <f>""</f>
        <v/>
      </c>
      <c r="G2781" t="str">
        <f t="shared" si="46"/>
        <v>TASC - HRA FEES</v>
      </c>
    </row>
    <row r="2782" spans="5:7" x14ac:dyDescent="0.25">
      <c r="E2782" t="str">
        <f>""</f>
        <v/>
      </c>
      <c r="G2782" t="str">
        <f t="shared" si="46"/>
        <v>TASC - HRA FEES</v>
      </c>
    </row>
    <row r="2783" spans="5:7" x14ac:dyDescent="0.25">
      <c r="E2783" t="str">
        <f>""</f>
        <v/>
      </c>
      <c r="G2783" t="str">
        <f t="shared" si="46"/>
        <v>TASC - HRA FEES</v>
      </c>
    </row>
    <row r="2784" spans="5:7" x14ac:dyDescent="0.25">
      <c r="E2784" t="str">
        <f>""</f>
        <v/>
      </c>
      <c r="G2784" t="str">
        <f t="shared" si="46"/>
        <v>TASC - HRA FEES</v>
      </c>
    </row>
    <row r="2785" spans="5:7" x14ac:dyDescent="0.25">
      <c r="E2785" t="str">
        <f>""</f>
        <v/>
      </c>
      <c r="G2785" t="str">
        <f t="shared" si="46"/>
        <v>TASC - HRA FEES</v>
      </c>
    </row>
    <row r="2786" spans="5:7" x14ac:dyDescent="0.25">
      <c r="E2786" t="str">
        <f>""</f>
        <v/>
      </c>
      <c r="G2786" t="str">
        <f t="shared" si="46"/>
        <v>TASC - HRA FEES</v>
      </c>
    </row>
    <row r="2787" spans="5:7" x14ac:dyDescent="0.25">
      <c r="E2787" t="str">
        <f>""</f>
        <v/>
      </c>
      <c r="G2787" t="str">
        <f t="shared" si="46"/>
        <v>TASC - HRA FEES</v>
      </c>
    </row>
    <row r="2788" spans="5:7" x14ac:dyDescent="0.25">
      <c r="E2788" t="str">
        <f>""</f>
        <v/>
      </c>
      <c r="G2788" t="str">
        <f t="shared" si="46"/>
        <v>TASC - HRA FEES</v>
      </c>
    </row>
    <row r="2789" spans="5:7" x14ac:dyDescent="0.25">
      <c r="E2789" t="str">
        <f>""</f>
        <v/>
      </c>
      <c r="G2789" t="str">
        <f t="shared" si="46"/>
        <v>TASC - HRA FEES</v>
      </c>
    </row>
    <row r="2790" spans="5:7" x14ac:dyDescent="0.25">
      <c r="E2790" t="str">
        <f>""</f>
        <v/>
      </c>
      <c r="G2790" t="str">
        <f t="shared" si="46"/>
        <v>TASC - HRA FEES</v>
      </c>
    </row>
    <row r="2791" spans="5:7" x14ac:dyDescent="0.25">
      <c r="E2791" t="str">
        <f>""</f>
        <v/>
      </c>
      <c r="G2791" t="str">
        <f t="shared" si="46"/>
        <v>TASC - HRA FEES</v>
      </c>
    </row>
    <row r="2792" spans="5:7" x14ac:dyDescent="0.25">
      <c r="E2792" t="str">
        <f>""</f>
        <v/>
      </c>
      <c r="G2792" t="str">
        <f t="shared" si="46"/>
        <v>TASC - HRA FEES</v>
      </c>
    </row>
    <row r="2793" spans="5:7" x14ac:dyDescent="0.25">
      <c r="E2793" t="str">
        <f>""</f>
        <v/>
      </c>
      <c r="G2793" t="str">
        <f t="shared" si="46"/>
        <v>TASC - HRA FEES</v>
      </c>
    </row>
    <row r="2794" spans="5:7" x14ac:dyDescent="0.25">
      <c r="E2794" t="str">
        <f>""</f>
        <v/>
      </c>
      <c r="G2794" t="str">
        <f t="shared" si="46"/>
        <v>TASC - HRA FEES</v>
      </c>
    </row>
    <row r="2795" spans="5:7" x14ac:dyDescent="0.25">
      <c r="E2795" t="str">
        <f>""</f>
        <v/>
      </c>
      <c r="G2795" t="str">
        <f t="shared" si="46"/>
        <v>TASC - HRA FEES</v>
      </c>
    </row>
    <row r="2796" spans="5:7" x14ac:dyDescent="0.25">
      <c r="E2796" t="str">
        <f>""</f>
        <v/>
      </c>
      <c r="G2796" t="str">
        <f t="shared" si="46"/>
        <v>TASC - HRA FEES</v>
      </c>
    </row>
    <row r="2797" spans="5:7" x14ac:dyDescent="0.25">
      <c r="E2797" t="str">
        <f>""</f>
        <v/>
      </c>
      <c r="G2797" t="str">
        <f t="shared" si="46"/>
        <v>TASC - HRA FEES</v>
      </c>
    </row>
    <row r="2798" spans="5:7" x14ac:dyDescent="0.25">
      <c r="E2798" t="str">
        <f>""</f>
        <v/>
      </c>
      <c r="G2798" t="str">
        <f t="shared" si="46"/>
        <v>TASC - HRA FEES</v>
      </c>
    </row>
    <row r="2799" spans="5:7" x14ac:dyDescent="0.25">
      <c r="E2799" t="str">
        <f>""</f>
        <v/>
      </c>
      <c r="G2799" t="str">
        <f t="shared" si="46"/>
        <v>TASC - HRA FEES</v>
      </c>
    </row>
    <row r="2800" spans="5:7" x14ac:dyDescent="0.25">
      <c r="E2800" t="str">
        <f>""</f>
        <v/>
      </c>
      <c r="G2800" t="str">
        <f t="shared" si="46"/>
        <v>TASC - HRA FEES</v>
      </c>
    </row>
    <row r="2801" spans="5:7" x14ac:dyDescent="0.25">
      <c r="E2801" t="str">
        <f>""</f>
        <v/>
      </c>
      <c r="G2801" t="str">
        <f t="shared" si="46"/>
        <v>TASC - HRA FEES</v>
      </c>
    </row>
    <row r="2802" spans="5:7" x14ac:dyDescent="0.25">
      <c r="E2802" t="str">
        <f>""</f>
        <v/>
      </c>
      <c r="G2802" t="str">
        <f t="shared" si="46"/>
        <v>TASC - HRA FEES</v>
      </c>
    </row>
    <row r="2803" spans="5:7" x14ac:dyDescent="0.25">
      <c r="E2803" t="str">
        <f>""</f>
        <v/>
      </c>
      <c r="G2803" t="str">
        <f t="shared" si="46"/>
        <v>TASC - HRA FEES</v>
      </c>
    </row>
    <row r="2804" spans="5:7" x14ac:dyDescent="0.25">
      <c r="E2804" t="str">
        <f>""</f>
        <v/>
      </c>
      <c r="G2804" t="str">
        <f t="shared" si="46"/>
        <v>TASC - HRA FEES</v>
      </c>
    </row>
    <row r="2805" spans="5:7" x14ac:dyDescent="0.25">
      <c r="E2805" t="str">
        <f>""</f>
        <v/>
      </c>
      <c r="G2805" t="str">
        <f t="shared" si="46"/>
        <v>TASC - HRA FEES</v>
      </c>
    </row>
    <row r="2806" spans="5:7" x14ac:dyDescent="0.25">
      <c r="E2806" t="str">
        <f>""</f>
        <v/>
      </c>
      <c r="G2806" t="str">
        <f t="shared" ref="G2806:G2824" si="47">"TASC - HRA FEES"</f>
        <v>TASC - HRA FEES</v>
      </c>
    </row>
    <row r="2807" spans="5:7" x14ac:dyDescent="0.25">
      <c r="E2807" t="str">
        <f>""</f>
        <v/>
      </c>
      <c r="G2807" t="str">
        <f t="shared" si="47"/>
        <v>TASC - HRA FEES</v>
      </c>
    </row>
    <row r="2808" spans="5:7" x14ac:dyDescent="0.25">
      <c r="E2808" t="str">
        <f>""</f>
        <v/>
      </c>
      <c r="G2808" t="str">
        <f t="shared" si="47"/>
        <v>TASC - HRA FEES</v>
      </c>
    </row>
    <row r="2809" spans="5:7" x14ac:dyDescent="0.25">
      <c r="E2809" t="str">
        <f>""</f>
        <v/>
      </c>
      <c r="G2809" t="str">
        <f t="shared" si="47"/>
        <v>TASC - HRA FEES</v>
      </c>
    </row>
    <row r="2810" spans="5:7" x14ac:dyDescent="0.25">
      <c r="E2810" t="str">
        <f>""</f>
        <v/>
      </c>
      <c r="G2810" t="str">
        <f t="shared" si="47"/>
        <v>TASC - HRA FEES</v>
      </c>
    </row>
    <row r="2811" spans="5:7" x14ac:dyDescent="0.25">
      <c r="E2811" t="str">
        <f>""</f>
        <v/>
      </c>
      <c r="G2811" t="str">
        <f t="shared" si="47"/>
        <v>TASC - HRA FEES</v>
      </c>
    </row>
    <row r="2812" spans="5:7" x14ac:dyDescent="0.25">
      <c r="E2812" t="str">
        <f>""</f>
        <v/>
      </c>
      <c r="G2812" t="str">
        <f t="shared" si="47"/>
        <v>TASC - HRA FEES</v>
      </c>
    </row>
    <row r="2813" spans="5:7" x14ac:dyDescent="0.25">
      <c r="E2813" t="str">
        <f>""</f>
        <v/>
      </c>
      <c r="G2813" t="str">
        <f t="shared" si="47"/>
        <v>TASC - HRA FEES</v>
      </c>
    </row>
    <row r="2814" spans="5:7" x14ac:dyDescent="0.25">
      <c r="E2814" t="str">
        <f>""</f>
        <v/>
      </c>
      <c r="G2814" t="str">
        <f t="shared" si="47"/>
        <v>TASC - HRA FEES</v>
      </c>
    </row>
    <row r="2815" spans="5:7" x14ac:dyDescent="0.25">
      <c r="E2815" t="str">
        <f>""</f>
        <v/>
      </c>
      <c r="G2815" t="str">
        <f t="shared" si="47"/>
        <v>TASC - HRA FEES</v>
      </c>
    </row>
    <row r="2816" spans="5:7" x14ac:dyDescent="0.25">
      <c r="E2816" t="str">
        <f>""</f>
        <v/>
      </c>
      <c r="G2816" t="str">
        <f t="shared" si="47"/>
        <v>TASC - HRA FEES</v>
      </c>
    </row>
    <row r="2817" spans="1:7" x14ac:dyDescent="0.25">
      <c r="E2817" t="str">
        <f>""</f>
        <v/>
      </c>
      <c r="G2817" t="str">
        <f t="shared" si="47"/>
        <v>TASC - HRA FEES</v>
      </c>
    </row>
    <row r="2818" spans="1:7" x14ac:dyDescent="0.25">
      <c r="E2818" t="str">
        <f>""</f>
        <v/>
      </c>
      <c r="G2818" t="str">
        <f t="shared" si="47"/>
        <v>TASC - HRA FEES</v>
      </c>
    </row>
    <row r="2819" spans="1:7" x14ac:dyDescent="0.25">
      <c r="E2819" t="str">
        <f>""</f>
        <v/>
      </c>
      <c r="G2819" t="str">
        <f t="shared" si="47"/>
        <v>TASC - HRA FEES</v>
      </c>
    </row>
    <row r="2820" spans="1:7" x14ac:dyDescent="0.25">
      <c r="E2820" t="str">
        <f>""</f>
        <v/>
      </c>
      <c r="G2820" t="str">
        <f t="shared" si="47"/>
        <v>TASC - HRA FEES</v>
      </c>
    </row>
    <row r="2821" spans="1:7" x14ac:dyDescent="0.25">
      <c r="E2821" t="str">
        <f>""</f>
        <v/>
      </c>
      <c r="G2821" t="str">
        <f t="shared" si="47"/>
        <v>TASC - HRA FEES</v>
      </c>
    </row>
    <row r="2822" spans="1:7" x14ac:dyDescent="0.25">
      <c r="E2822" t="str">
        <f>""</f>
        <v/>
      </c>
      <c r="G2822" t="str">
        <f t="shared" si="47"/>
        <v>TASC - HRA FEES</v>
      </c>
    </row>
    <row r="2823" spans="1:7" x14ac:dyDescent="0.25">
      <c r="E2823" t="str">
        <f>""</f>
        <v/>
      </c>
      <c r="G2823" t="str">
        <f t="shared" si="47"/>
        <v>TASC - HRA FEES</v>
      </c>
    </row>
    <row r="2824" spans="1:7" x14ac:dyDescent="0.25">
      <c r="E2824" t="str">
        <f>"TASC - HRA FEES"</f>
        <v>TASC - HRA FEES</v>
      </c>
      <c r="F2824" s="2">
        <v>28.8</v>
      </c>
      <c r="G2824" t="str">
        <f t="shared" si="47"/>
        <v>TASC - HRA FEES</v>
      </c>
    </row>
    <row r="2825" spans="1:7" x14ac:dyDescent="0.25">
      <c r="A2825" t="s">
        <v>568</v>
      </c>
      <c r="B2825">
        <v>249</v>
      </c>
      <c r="C2825" s="2">
        <v>9581.33</v>
      </c>
      <c r="D2825" s="1">
        <v>43756</v>
      </c>
      <c r="E2825" t="str">
        <f>"TASC FSA"</f>
        <v>TASC FSA</v>
      </c>
      <c r="F2825" s="2">
        <v>7648.81</v>
      </c>
      <c r="G2825" t="str">
        <f>"TASC FSA"</f>
        <v>TASC FSA</v>
      </c>
    </row>
    <row r="2826" spans="1:7" x14ac:dyDescent="0.25">
      <c r="E2826" t="str">
        <f>"TASC FSA"</f>
        <v>TASC FSA</v>
      </c>
      <c r="F2826" s="2">
        <v>393.32</v>
      </c>
      <c r="G2826" t="str">
        <f>"TASC FSA"</f>
        <v>TASC FSA</v>
      </c>
    </row>
    <row r="2827" spans="1:7" x14ac:dyDescent="0.25">
      <c r="E2827" t="str">
        <f>"TASC DEPENDENT CARE"</f>
        <v>TASC DEPENDENT CARE</v>
      </c>
      <c r="F2827" s="2">
        <v>470</v>
      </c>
      <c r="G2827" t="str">
        <f>"TASC DEPENDENT CARE"</f>
        <v>TASC DEPENDENT CARE</v>
      </c>
    </row>
    <row r="2828" spans="1:7" x14ac:dyDescent="0.25">
      <c r="E2828" t="str">
        <f>"TASC - FSA  FEES"</f>
        <v>TASC - FSA  FEES</v>
      </c>
      <c r="F2828" s="2">
        <v>252</v>
      </c>
      <c r="G2828" t="str">
        <f t="shared" ref="G2828:G2867" si="48">"TASC - FSA  FEES"</f>
        <v>TASC - FSA  FEES</v>
      </c>
    </row>
    <row r="2829" spans="1:7" x14ac:dyDescent="0.25">
      <c r="E2829" t="str">
        <f>""</f>
        <v/>
      </c>
      <c r="G2829" t="str">
        <f t="shared" si="48"/>
        <v>TASC - FSA  FEES</v>
      </c>
    </row>
    <row r="2830" spans="1:7" x14ac:dyDescent="0.25">
      <c r="E2830" t="str">
        <f>""</f>
        <v/>
      </c>
      <c r="G2830" t="str">
        <f t="shared" si="48"/>
        <v>TASC - FSA  FEES</v>
      </c>
    </row>
    <row r="2831" spans="1:7" x14ac:dyDescent="0.25">
      <c r="E2831" t="str">
        <f>""</f>
        <v/>
      </c>
      <c r="G2831" t="str">
        <f t="shared" si="48"/>
        <v>TASC - FSA  FEES</v>
      </c>
    </row>
    <row r="2832" spans="1:7" x14ac:dyDescent="0.25">
      <c r="E2832" t="str">
        <f>""</f>
        <v/>
      </c>
      <c r="G2832" t="str">
        <f t="shared" si="48"/>
        <v>TASC - FSA  FEES</v>
      </c>
    </row>
    <row r="2833" spans="5:7" x14ac:dyDescent="0.25">
      <c r="E2833" t="str">
        <f>""</f>
        <v/>
      </c>
      <c r="G2833" t="str">
        <f t="shared" si="48"/>
        <v>TASC - FSA  FEES</v>
      </c>
    </row>
    <row r="2834" spans="5:7" x14ac:dyDescent="0.25">
      <c r="E2834" t="str">
        <f>""</f>
        <v/>
      </c>
      <c r="G2834" t="str">
        <f t="shared" si="48"/>
        <v>TASC - FSA  FEES</v>
      </c>
    </row>
    <row r="2835" spans="5:7" x14ac:dyDescent="0.25">
      <c r="E2835" t="str">
        <f>""</f>
        <v/>
      </c>
      <c r="G2835" t="str">
        <f t="shared" si="48"/>
        <v>TASC - FSA  FEES</v>
      </c>
    </row>
    <row r="2836" spans="5:7" x14ac:dyDescent="0.25">
      <c r="E2836" t="str">
        <f>""</f>
        <v/>
      </c>
      <c r="G2836" t="str">
        <f t="shared" si="48"/>
        <v>TASC - FSA  FEES</v>
      </c>
    </row>
    <row r="2837" spans="5:7" x14ac:dyDescent="0.25">
      <c r="E2837" t="str">
        <f>""</f>
        <v/>
      </c>
      <c r="G2837" t="str">
        <f t="shared" si="48"/>
        <v>TASC - FSA  FEES</v>
      </c>
    </row>
    <row r="2838" spans="5:7" x14ac:dyDescent="0.25">
      <c r="E2838" t="str">
        <f>""</f>
        <v/>
      </c>
      <c r="G2838" t="str">
        <f t="shared" si="48"/>
        <v>TASC - FSA  FEES</v>
      </c>
    </row>
    <row r="2839" spans="5:7" x14ac:dyDescent="0.25">
      <c r="E2839" t="str">
        <f>""</f>
        <v/>
      </c>
      <c r="G2839" t="str">
        <f t="shared" si="48"/>
        <v>TASC - FSA  FEES</v>
      </c>
    </row>
    <row r="2840" spans="5:7" x14ac:dyDescent="0.25">
      <c r="E2840" t="str">
        <f>""</f>
        <v/>
      </c>
      <c r="G2840" t="str">
        <f t="shared" si="48"/>
        <v>TASC - FSA  FEES</v>
      </c>
    </row>
    <row r="2841" spans="5:7" x14ac:dyDescent="0.25">
      <c r="E2841" t="str">
        <f>""</f>
        <v/>
      </c>
      <c r="G2841" t="str">
        <f t="shared" si="48"/>
        <v>TASC - FSA  FEES</v>
      </c>
    </row>
    <row r="2842" spans="5:7" x14ac:dyDescent="0.25">
      <c r="E2842" t="str">
        <f>""</f>
        <v/>
      </c>
      <c r="G2842" t="str">
        <f t="shared" si="48"/>
        <v>TASC - FSA  FEES</v>
      </c>
    </row>
    <row r="2843" spans="5:7" x14ac:dyDescent="0.25">
      <c r="E2843" t="str">
        <f>""</f>
        <v/>
      </c>
      <c r="G2843" t="str">
        <f t="shared" si="48"/>
        <v>TASC - FSA  FEES</v>
      </c>
    </row>
    <row r="2844" spans="5:7" x14ac:dyDescent="0.25">
      <c r="E2844" t="str">
        <f>""</f>
        <v/>
      </c>
      <c r="G2844" t="str">
        <f t="shared" si="48"/>
        <v>TASC - FSA  FEES</v>
      </c>
    </row>
    <row r="2845" spans="5:7" x14ac:dyDescent="0.25">
      <c r="E2845" t="str">
        <f>""</f>
        <v/>
      </c>
      <c r="G2845" t="str">
        <f t="shared" si="48"/>
        <v>TASC - FSA  FEES</v>
      </c>
    </row>
    <row r="2846" spans="5:7" x14ac:dyDescent="0.25">
      <c r="E2846" t="str">
        <f>""</f>
        <v/>
      </c>
      <c r="G2846" t="str">
        <f t="shared" si="48"/>
        <v>TASC - FSA  FEES</v>
      </c>
    </row>
    <row r="2847" spans="5:7" x14ac:dyDescent="0.25">
      <c r="E2847" t="str">
        <f>""</f>
        <v/>
      </c>
      <c r="G2847" t="str">
        <f t="shared" si="48"/>
        <v>TASC - FSA  FEES</v>
      </c>
    </row>
    <row r="2848" spans="5:7" x14ac:dyDescent="0.25">
      <c r="E2848" t="str">
        <f>""</f>
        <v/>
      </c>
      <c r="G2848" t="str">
        <f t="shared" si="48"/>
        <v>TASC - FSA  FEES</v>
      </c>
    </row>
    <row r="2849" spans="5:7" x14ac:dyDescent="0.25">
      <c r="E2849" t="str">
        <f>""</f>
        <v/>
      </c>
      <c r="G2849" t="str">
        <f t="shared" si="48"/>
        <v>TASC - FSA  FEES</v>
      </c>
    </row>
    <row r="2850" spans="5:7" x14ac:dyDescent="0.25">
      <c r="E2850" t="str">
        <f>""</f>
        <v/>
      </c>
      <c r="G2850" t="str">
        <f t="shared" si="48"/>
        <v>TASC - FSA  FEES</v>
      </c>
    </row>
    <row r="2851" spans="5:7" x14ac:dyDescent="0.25">
      <c r="E2851" t="str">
        <f>""</f>
        <v/>
      </c>
      <c r="G2851" t="str">
        <f t="shared" si="48"/>
        <v>TASC - FSA  FEES</v>
      </c>
    </row>
    <row r="2852" spans="5:7" x14ac:dyDescent="0.25">
      <c r="E2852" t="str">
        <f>""</f>
        <v/>
      </c>
      <c r="G2852" t="str">
        <f t="shared" si="48"/>
        <v>TASC - FSA  FEES</v>
      </c>
    </row>
    <row r="2853" spans="5:7" x14ac:dyDescent="0.25">
      <c r="E2853" t="str">
        <f>""</f>
        <v/>
      </c>
      <c r="G2853" t="str">
        <f t="shared" si="48"/>
        <v>TASC - FSA  FEES</v>
      </c>
    </row>
    <row r="2854" spans="5:7" x14ac:dyDescent="0.25">
      <c r="E2854" t="str">
        <f>""</f>
        <v/>
      </c>
      <c r="G2854" t="str">
        <f t="shared" si="48"/>
        <v>TASC - FSA  FEES</v>
      </c>
    </row>
    <row r="2855" spans="5:7" x14ac:dyDescent="0.25">
      <c r="E2855" t="str">
        <f>""</f>
        <v/>
      </c>
      <c r="G2855" t="str">
        <f t="shared" si="48"/>
        <v>TASC - FSA  FEES</v>
      </c>
    </row>
    <row r="2856" spans="5:7" x14ac:dyDescent="0.25">
      <c r="E2856" t="str">
        <f>""</f>
        <v/>
      </c>
      <c r="G2856" t="str">
        <f t="shared" si="48"/>
        <v>TASC - FSA  FEES</v>
      </c>
    </row>
    <row r="2857" spans="5:7" x14ac:dyDescent="0.25">
      <c r="E2857" t="str">
        <f>""</f>
        <v/>
      </c>
      <c r="G2857" t="str">
        <f t="shared" si="48"/>
        <v>TASC - FSA  FEES</v>
      </c>
    </row>
    <row r="2858" spans="5:7" x14ac:dyDescent="0.25">
      <c r="E2858" t="str">
        <f>""</f>
        <v/>
      </c>
      <c r="G2858" t="str">
        <f t="shared" si="48"/>
        <v>TASC - FSA  FEES</v>
      </c>
    </row>
    <row r="2859" spans="5:7" x14ac:dyDescent="0.25">
      <c r="E2859" t="str">
        <f>""</f>
        <v/>
      </c>
      <c r="G2859" t="str">
        <f t="shared" si="48"/>
        <v>TASC - FSA  FEES</v>
      </c>
    </row>
    <row r="2860" spans="5:7" x14ac:dyDescent="0.25">
      <c r="E2860" t="str">
        <f>""</f>
        <v/>
      </c>
      <c r="G2860" t="str">
        <f t="shared" si="48"/>
        <v>TASC - FSA  FEES</v>
      </c>
    </row>
    <row r="2861" spans="5:7" x14ac:dyDescent="0.25">
      <c r="E2861" t="str">
        <f>""</f>
        <v/>
      </c>
      <c r="G2861" t="str">
        <f t="shared" si="48"/>
        <v>TASC - FSA  FEES</v>
      </c>
    </row>
    <row r="2862" spans="5:7" x14ac:dyDescent="0.25">
      <c r="E2862" t="str">
        <f>""</f>
        <v/>
      </c>
      <c r="G2862" t="str">
        <f t="shared" si="48"/>
        <v>TASC - FSA  FEES</v>
      </c>
    </row>
    <row r="2863" spans="5:7" x14ac:dyDescent="0.25">
      <c r="E2863" t="str">
        <f>""</f>
        <v/>
      </c>
      <c r="G2863" t="str">
        <f t="shared" si="48"/>
        <v>TASC - FSA  FEES</v>
      </c>
    </row>
    <row r="2864" spans="5:7" x14ac:dyDescent="0.25">
      <c r="E2864" t="str">
        <f>""</f>
        <v/>
      </c>
      <c r="G2864" t="str">
        <f t="shared" si="48"/>
        <v>TASC - FSA  FEES</v>
      </c>
    </row>
    <row r="2865" spans="5:7" x14ac:dyDescent="0.25">
      <c r="E2865" t="str">
        <f>""</f>
        <v/>
      </c>
      <c r="G2865" t="str">
        <f t="shared" si="48"/>
        <v>TASC - FSA  FEES</v>
      </c>
    </row>
    <row r="2866" spans="5:7" x14ac:dyDescent="0.25">
      <c r="E2866" t="str">
        <f>""</f>
        <v/>
      </c>
      <c r="G2866" t="str">
        <f t="shared" si="48"/>
        <v>TASC - FSA  FEES</v>
      </c>
    </row>
    <row r="2867" spans="5:7" x14ac:dyDescent="0.25">
      <c r="E2867" t="str">
        <f>"TASC - FSA  FEES"</f>
        <v>TASC - FSA  FEES</v>
      </c>
      <c r="F2867" s="2">
        <v>12.6</v>
      </c>
      <c r="G2867" t="str">
        <f t="shared" si="48"/>
        <v>TASC - FSA  FEES</v>
      </c>
    </row>
    <row r="2868" spans="5:7" x14ac:dyDescent="0.25">
      <c r="E2868" t="str">
        <f>"TASC - HRA FEES"</f>
        <v>TASC - HRA FEES</v>
      </c>
      <c r="F2868" s="2">
        <v>775.8</v>
      </c>
      <c r="G2868" t="str">
        <f t="shared" ref="G2868:G2899" si="49">"TASC - HRA FEES"</f>
        <v>TASC - HRA FEES</v>
      </c>
    </row>
    <row r="2869" spans="5:7" x14ac:dyDescent="0.25">
      <c r="E2869" t="str">
        <f>""</f>
        <v/>
      </c>
      <c r="G2869" t="str">
        <f t="shared" si="49"/>
        <v>TASC - HRA FEES</v>
      </c>
    </row>
    <row r="2870" spans="5:7" x14ac:dyDescent="0.25">
      <c r="E2870" t="str">
        <f>""</f>
        <v/>
      </c>
      <c r="G2870" t="str">
        <f t="shared" si="49"/>
        <v>TASC - HRA FEES</v>
      </c>
    </row>
    <row r="2871" spans="5:7" x14ac:dyDescent="0.25">
      <c r="E2871" t="str">
        <f>""</f>
        <v/>
      </c>
      <c r="G2871" t="str">
        <f t="shared" si="49"/>
        <v>TASC - HRA FEES</v>
      </c>
    </row>
    <row r="2872" spans="5:7" x14ac:dyDescent="0.25">
      <c r="E2872" t="str">
        <f>""</f>
        <v/>
      </c>
      <c r="G2872" t="str">
        <f t="shared" si="49"/>
        <v>TASC - HRA FEES</v>
      </c>
    </row>
    <row r="2873" spans="5:7" x14ac:dyDescent="0.25">
      <c r="E2873" t="str">
        <f>""</f>
        <v/>
      </c>
      <c r="G2873" t="str">
        <f t="shared" si="49"/>
        <v>TASC - HRA FEES</v>
      </c>
    </row>
    <row r="2874" spans="5:7" x14ac:dyDescent="0.25">
      <c r="E2874" t="str">
        <f>""</f>
        <v/>
      </c>
      <c r="G2874" t="str">
        <f t="shared" si="49"/>
        <v>TASC - HRA FEES</v>
      </c>
    </row>
    <row r="2875" spans="5:7" x14ac:dyDescent="0.25">
      <c r="E2875" t="str">
        <f>""</f>
        <v/>
      </c>
      <c r="G2875" t="str">
        <f t="shared" si="49"/>
        <v>TASC - HRA FEES</v>
      </c>
    </row>
    <row r="2876" spans="5:7" x14ac:dyDescent="0.25">
      <c r="E2876" t="str">
        <f>""</f>
        <v/>
      </c>
      <c r="G2876" t="str">
        <f t="shared" si="49"/>
        <v>TASC - HRA FEES</v>
      </c>
    </row>
    <row r="2877" spans="5:7" x14ac:dyDescent="0.25">
      <c r="E2877" t="str">
        <f>""</f>
        <v/>
      </c>
      <c r="G2877" t="str">
        <f t="shared" si="49"/>
        <v>TASC - HRA FEES</v>
      </c>
    </row>
    <row r="2878" spans="5:7" x14ac:dyDescent="0.25">
      <c r="E2878" t="str">
        <f>""</f>
        <v/>
      </c>
      <c r="G2878" t="str">
        <f t="shared" si="49"/>
        <v>TASC - HRA FEES</v>
      </c>
    </row>
    <row r="2879" spans="5:7" x14ac:dyDescent="0.25">
      <c r="E2879" t="str">
        <f>""</f>
        <v/>
      </c>
      <c r="G2879" t="str">
        <f t="shared" si="49"/>
        <v>TASC - HRA FEES</v>
      </c>
    </row>
    <row r="2880" spans="5:7" x14ac:dyDescent="0.25">
      <c r="E2880" t="str">
        <f>""</f>
        <v/>
      </c>
      <c r="G2880" t="str">
        <f t="shared" si="49"/>
        <v>TASC - HRA FEES</v>
      </c>
    </row>
    <row r="2881" spans="5:7" x14ac:dyDescent="0.25">
      <c r="E2881" t="str">
        <f>""</f>
        <v/>
      </c>
      <c r="G2881" t="str">
        <f t="shared" si="49"/>
        <v>TASC - HRA FEES</v>
      </c>
    </row>
    <row r="2882" spans="5:7" x14ac:dyDescent="0.25">
      <c r="E2882" t="str">
        <f>""</f>
        <v/>
      </c>
      <c r="G2882" t="str">
        <f t="shared" si="49"/>
        <v>TASC - HRA FEES</v>
      </c>
    </row>
    <row r="2883" spans="5:7" x14ac:dyDescent="0.25">
      <c r="E2883" t="str">
        <f>""</f>
        <v/>
      </c>
      <c r="G2883" t="str">
        <f t="shared" si="49"/>
        <v>TASC - HRA FEES</v>
      </c>
    </row>
    <row r="2884" spans="5:7" x14ac:dyDescent="0.25">
      <c r="E2884" t="str">
        <f>""</f>
        <v/>
      </c>
      <c r="G2884" t="str">
        <f t="shared" si="49"/>
        <v>TASC - HRA FEES</v>
      </c>
    </row>
    <row r="2885" spans="5:7" x14ac:dyDescent="0.25">
      <c r="E2885" t="str">
        <f>""</f>
        <v/>
      </c>
      <c r="G2885" t="str">
        <f t="shared" si="49"/>
        <v>TASC - HRA FEES</v>
      </c>
    </row>
    <row r="2886" spans="5:7" x14ac:dyDescent="0.25">
      <c r="E2886" t="str">
        <f>""</f>
        <v/>
      </c>
      <c r="G2886" t="str">
        <f t="shared" si="49"/>
        <v>TASC - HRA FEES</v>
      </c>
    </row>
    <row r="2887" spans="5:7" x14ac:dyDescent="0.25">
      <c r="E2887" t="str">
        <f>""</f>
        <v/>
      </c>
      <c r="G2887" t="str">
        <f t="shared" si="49"/>
        <v>TASC - HRA FEES</v>
      </c>
    </row>
    <row r="2888" spans="5:7" x14ac:dyDescent="0.25">
      <c r="E2888" t="str">
        <f>""</f>
        <v/>
      </c>
      <c r="G2888" t="str">
        <f t="shared" si="49"/>
        <v>TASC - HRA FEES</v>
      </c>
    </row>
    <row r="2889" spans="5:7" x14ac:dyDescent="0.25">
      <c r="E2889" t="str">
        <f>""</f>
        <v/>
      </c>
      <c r="G2889" t="str">
        <f t="shared" si="49"/>
        <v>TASC - HRA FEES</v>
      </c>
    </row>
    <row r="2890" spans="5:7" x14ac:dyDescent="0.25">
      <c r="E2890" t="str">
        <f>""</f>
        <v/>
      </c>
      <c r="G2890" t="str">
        <f t="shared" si="49"/>
        <v>TASC - HRA FEES</v>
      </c>
    </row>
    <row r="2891" spans="5:7" x14ac:dyDescent="0.25">
      <c r="E2891" t="str">
        <f>""</f>
        <v/>
      </c>
      <c r="G2891" t="str">
        <f t="shared" si="49"/>
        <v>TASC - HRA FEES</v>
      </c>
    </row>
    <row r="2892" spans="5:7" x14ac:dyDescent="0.25">
      <c r="E2892" t="str">
        <f>""</f>
        <v/>
      </c>
      <c r="G2892" t="str">
        <f t="shared" si="49"/>
        <v>TASC - HRA FEES</v>
      </c>
    </row>
    <row r="2893" spans="5:7" x14ac:dyDescent="0.25">
      <c r="E2893" t="str">
        <f>""</f>
        <v/>
      </c>
      <c r="G2893" t="str">
        <f t="shared" si="49"/>
        <v>TASC - HRA FEES</v>
      </c>
    </row>
    <row r="2894" spans="5:7" x14ac:dyDescent="0.25">
      <c r="E2894" t="str">
        <f>""</f>
        <v/>
      </c>
      <c r="G2894" t="str">
        <f t="shared" si="49"/>
        <v>TASC - HRA FEES</v>
      </c>
    </row>
    <row r="2895" spans="5:7" x14ac:dyDescent="0.25">
      <c r="E2895" t="str">
        <f>""</f>
        <v/>
      </c>
      <c r="G2895" t="str">
        <f t="shared" si="49"/>
        <v>TASC - HRA FEES</v>
      </c>
    </row>
    <row r="2896" spans="5:7" x14ac:dyDescent="0.25">
      <c r="E2896" t="str">
        <f>""</f>
        <v/>
      </c>
      <c r="G2896" t="str">
        <f t="shared" si="49"/>
        <v>TASC - HRA FEES</v>
      </c>
    </row>
    <row r="2897" spans="5:7" x14ac:dyDescent="0.25">
      <c r="E2897" t="str">
        <f>""</f>
        <v/>
      </c>
      <c r="G2897" t="str">
        <f t="shared" si="49"/>
        <v>TASC - HRA FEES</v>
      </c>
    </row>
    <row r="2898" spans="5:7" x14ac:dyDescent="0.25">
      <c r="E2898" t="str">
        <f>""</f>
        <v/>
      </c>
      <c r="G2898" t="str">
        <f t="shared" si="49"/>
        <v>TASC - HRA FEES</v>
      </c>
    </row>
    <row r="2899" spans="5:7" x14ac:dyDescent="0.25">
      <c r="E2899" t="str">
        <f>""</f>
        <v/>
      </c>
      <c r="G2899" t="str">
        <f t="shared" si="49"/>
        <v>TASC - HRA FEES</v>
      </c>
    </row>
    <row r="2900" spans="5:7" x14ac:dyDescent="0.25">
      <c r="E2900" t="str">
        <f>""</f>
        <v/>
      </c>
      <c r="G2900" t="str">
        <f t="shared" ref="G2900:G2919" si="50">"TASC - HRA FEES"</f>
        <v>TASC - HRA FEES</v>
      </c>
    </row>
    <row r="2901" spans="5:7" x14ac:dyDescent="0.25">
      <c r="E2901" t="str">
        <f>""</f>
        <v/>
      </c>
      <c r="G2901" t="str">
        <f t="shared" si="50"/>
        <v>TASC - HRA FEES</v>
      </c>
    </row>
    <row r="2902" spans="5:7" x14ac:dyDescent="0.25">
      <c r="E2902" t="str">
        <f>""</f>
        <v/>
      </c>
      <c r="G2902" t="str">
        <f t="shared" si="50"/>
        <v>TASC - HRA FEES</v>
      </c>
    </row>
    <row r="2903" spans="5:7" x14ac:dyDescent="0.25">
      <c r="E2903" t="str">
        <f>""</f>
        <v/>
      </c>
      <c r="G2903" t="str">
        <f t="shared" si="50"/>
        <v>TASC - HRA FEES</v>
      </c>
    </row>
    <row r="2904" spans="5:7" x14ac:dyDescent="0.25">
      <c r="E2904" t="str">
        <f>""</f>
        <v/>
      </c>
      <c r="G2904" t="str">
        <f t="shared" si="50"/>
        <v>TASC - HRA FEES</v>
      </c>
    </row>
    <row r="2905" spans="5:7" x14ac:dyDescent="0.25">
      <c r="E2905" t="str">
        <f>""</f>
        <v/>
      </c>
      <c r="G2905" t="str">
        <f t="shared" si="50"/>
        <v>TASC - HRA FEES</v>
      </c>
    </row>
    <row r="2906" spans="5:7" x14ac:dyDescent="0.25">
      <c r="E2906" t="str">
        <f>""</f>
        <v/>
      </c>
      <c r="G2906" t="str">
        <f t="shared" si="50"/>
        <v>TASC - HRA FEES</v>
      </c>
    </row>
    <row r="2907" spans="5:7" x14ac:dyDescent="0.25">
      <c r="E2907" t="str">
        <f>""</f>
        <v/>
      </c>
      <c r="G2907" t="str">
        <f t="shared" si="50"/>
        <v>TASC - HRA FEES</v>
      </c>
    </row>
    <row r="2908" spans="5:7" x14ac:dyDescent="0.25">
      <c r="E2908" t="str">
        <f>""</f>
        <v/>
      </c>
      <c r="G2908" t="str">
        <f t="shared" si="50"/>
        <v>TASC - HRA FEES</v>
      </c>
    </row>
    <row r="2909" spans="5:7" x14ac:dyDescent="0.25">
      <c r="E2909" t="str">
        <f>""</f>
        <v/>
      </c>
      <c r="G2909" t="str">
        <f t="shared" si="50"/>
        <v>TASC - HRA FEES</v>
      </c>
    </row>
    <row r="2910" spans="5:7" x14ac:dyDescent="0.25">
      <c r="E2910" t="str">
        <f>""</f>
        <v/>
      </c>
      <c r="G2910" t="str">
        <f t="shared" si="50"/>
        <v>TASC - HRA FEES</v>
      </c>
    </row>
    <row r="2911" spans="5:7" x14ac:dyDescent="0.25">
      <c r="E2911" t="str">
        <f>""</f>
        <v/>
      </c>
      <c r="G2911" t="str">
        <f t="shared" si="50"/>
        <v>TASC - HRA FEES</v>
      </c>
    </row>
    <row r="2912" spans="5:7" x14ac:dyDescent="0.25">
      <c r="E2912" t="str">
        <f>""</f>
        <v/>
      </c>
      <c r="G2912" t="str">
        <f t="shared" si="50"/>
        <v>TASC - HRA FEES</v>
      </c>
    </row>
    <row r="2913" spans="1:7" x14ac:dyDescent="0.25">
      <c r="E2913" t="str">
        <f>""</f>
        <v/>
      </c>
      <c r="G2913" t="str">
        <f t="shared" si="50"/>
        <v>TASC - HRA FEES</v>
      </c>
    </row>
    <row r="2914" spans="1:7" x14ac:dyDescent="0.25">
      <c r="E2914" t="str">
        <f>""</f>
        <v/>
      </c>
      <c r="G2914" t="str">
        <f t="shared" si="50"/>
        <v>TASC - HRA FEES</v>
      </c>
    </row>
    <row r="2915" spans="1:7" x14ac:dyDescent="0.25">
      <c r="E2915" t="str">
        <f>""</f>
        <v/>
      </c>
      <c r="G2915" t="str">
        <f t="shared" si="50"/>
        <v>TASC - HRA FEES</v>
      </c>
    </row>
    <row r="2916" spans="1:7" x14ac:dyDescent="0.25">
      <c r="E2916" t="str">
        <f>""</f>
        <v/>
      </c>
      <c r="G2916" t="str">
        <f t="shared" si="50"/>
        <v>TASC - HRA FEES</v>
      </c>
    </row>
    <row r="2917" spans="1:7" x14ac:dyDescent="0.25">
      <c r="E2917" t="str">
        <f>""</f>
        <v/>
      </c>
      <c r="G2917" t="str">
        <f t="shared" si="50"/>
        <v>TASC - HRA FEES</v>
      </c>
    </row>
    <row r="2918" spans="1:7" x14ac:dyDescent="0.25">
      <c r="E2918" t="str">
        <f>""</f>
        <v/>
      </c>
      <c r="G2918" t="str">
        <f t="shared" si="50"/>
        <v>TASC - HRA FEES</v>
      </c>
    </row>
    <row r="2919" spans="1:7" x14ac:dyDescent="0.25">
      <c r="E2919" t="str">
        <f>"TASC - HRA FEES"</f>
        <v>TASC - HRA FEES</v>
      </c>
      <c r="F2919" s="2">
        <v>28.8</v>
      </c>
      <c r="G2919" t="str">
        <f t="shared" si="50"/>
        <v>TASC - HRA FEES</v>
      </c>
    </row>
    <row r="2920" spans="1:7" x14ac:dyDescent="0.25">
      <c r="A2920" t="s">
        <v>569</v>
      </c>
      <c r="B2920">
        <v>241</v>
      </c>
      <c r="C2920" s="2">
        <v>4716.6899999999996</v>
      </c>
      <c r="D2920" s="1">
        <v>43742</v>
      </c>
      <c r="E2920" t="str">
        <f>"CAUSE# 0011635329"</f>
        <v>CAUSE# 0011635329</v>
      </c>
      <c r="F2920" s="2">
        <v>603.23</v>
      </c>
      <c r="G2920" t="str">
        <f>"CAUSE# 0011635329"</f>
        <v>CAUSE# 0011635329</v>
      </c>
    </row>
    <row r="2921" spans="1:7" x14ac:dyDescent="0.25">
      <c r="E2921" t="str">
        <f>"0012982132CCL7445"</f>
        <v>0012982132CCL7445</v>
      </c>
      <c r="F2921" s="2">
        <v>692.31</v>
      </c>
      <c r="G2921" t="str">
        <f>"0012982132CCL7445"</f>
        <v>0012982132CCL7445</v>
      </c>
    </row>
    <row r="2922" spans="1:7" x14ac:dyDescent="0.25">
      <c r="E2922" t="str">
        <f>"001003981107-12252"</f>
        <v>001003981107-12252</v>
      </c>
      <c r="F2922" s="2">
        <v>115.39</v>
      </c>
      <c r="G2922" t="str">
        <f>"001003981107-12252"</f>
        <v>001003981107-12252</v>
      </c>
    </row>
    <row r="2923" spans="1:7" x14ac:dyDescent="0.25">
      <c r="E2923" t="str">
        <f>"001236769211-14410"</f>
        <v>001236769211-14410</v>
      </c>
      <c r="F2923" s="2">
        <v>230.31</v>
      </c>
      <c r="G2923" t="str">
        <f>"001236769211-14410"</f>
        <v>001236769211-14410</v>
      </c>
    </row>
    <row r="2924" spans="1:7" x14ac:dyDescent="0.25">
      <c r="E2924" t="str">
        <f>"CAUSE# 11-14911"</f>
        <v>CAUSE# 11-14911</v>
      </c>
      <c r="F2924" s="2">
        <v>238.62</v>
      </c>
      <c r="G2924" t="str">
        <f>"CAUSE# 11-14911"</f>
        <v>CAUSE# 11-14911</v>
      </c>
    </row>
    <row r="2925" spans="1:7" x14ac:dyDescent="0.25">
      <c r="E2925" t="str">
        <f>"0012453366"</f>
        <v>0012453366</v>
      </c>
      <c r="F2925" s="2">
        <v>138.46</v>
      </c>
      <c r="G2925" t="str">
        <f>"0012453366"</f>
        <v>0012453366</v>
      </c>
    </row>
    <row r="2926" spans="1:7" x14ac:dyDescent="0.25">
      <c r="E2926" t="str">
        <f>"00130730762012V300"</f>
        <v>00130730762012V300</v>
      </c>
      <c r="F2926" s="2">
        <v>399.32</v>
      </c>
      <c r="G2926" t="str">
        <f>"00130730762012V300"</f>
        <v>00130730762012V300</v>
      </c>
    </row>
    <row r="2927" spans="1:7" x14ac:dyDescent="0.25">
      <c r="E2927" t="str">
        <f>"# 0012128865"</f>
        <v># 0012128865</v>
      </c>
      <c r="F2927" s="2">
        <v>243.23</v>
      </c>
      <c r="G2927" t="str">
        <f>"# 0012128865"</f>
        <v># 0012128865</v>
      </c>
    </row>
    <row r="2928" spans="1:7" x14ac:dyDescent="0.25">
      <c r="E2928" t="str">
        <f>"# 0012871801"</f>
        <v># 0012871801</v>
      </c>
      <c r="F2928" s="2">
        <v>90</v>
      </c>
      <c r="G2928" t="str">
        <f>"# 0012871801"</f>
        <v># 0012871801</v>
      </c>
    </row>
    <row r="2929" spans="1:7" x14ac:dyDescent="0.25">
      <c r="E2929" t="str">
        <f>"13154657"</f>
        <v>13154657</v>
      </c>
      <c r="F2929" s="2">
        <v>101.99</v>
      </c>
      <c r="G2929" t="str">
        <f>"13154657"</f>
        <v>13154657</v>
      </c>
    </row>
    <row r="2930" spans="1:7" x14ac:dyDescent="0.25">
      <c r="E2930" t="str">
        <f>"0012046911423672"</f>
        <v>0012046911423672</v>
      </c>
      <c r="F2930" s="2">
        <v>187.38</v>
      </c>
      <c r="G2930" t="str">
        <f>"0012046911423672"</f>
        <v>0012046911423672</v>
      </c>
    </row>
    <row r="2931" spans="1:7" x14ac:dyDescent="0.25">
      <c r="E2931" t="str">
        <f>"00136881334235026"</f>
        <v>00136881334235026</v>
      </c>
      <c r="F2931" s="2">
        <v>257.45999999999998</v>
      </c>
      <c r="G2931" t="str">
        <f>"00136881334235026"</f>
        <v>00136881334235026</v>
      </c>
    </row>
    <row r="2932" spans="1:7" x14ac:dyDescent="0.25">
      <c r="E2932" t="str">
        <f>"00137390532018V215"</f>
        <v>00137390532018V215</v>
      </c>
      <c r="F2932" s="2">
        <v>264</v>
      </c>
      <c r="G2932" t="str">
        <f>"00137390532018V215"</f>
        <v>00137390532018V215</v>
      </c>
    </row>
    <row r="2933" spans="1:7" x14ac:dyDescent="0.25">
      <c r="E2933" t="str">
        <f>"0012797601C20130529B"</f>
        <v>0012797601C20130529B</v>
      </c>
      <c r="F2933" s="2">
        <v>241.85</v>
      </c>
      <c r="G2933" t="str">
        <f>"0012797601C20130529B"</f>
        <v>0012797601C20130529B</v>
      </c>
    </row>
    <row r="2934" spans="1:7" x14ac:dyDescent="0.25">
      <c r="E2934" t="str">
        <f>"00105115972005106221"</f>
        <v>00105115972005106221</v>
      </c>
      <c r="F2934" s="2">
        <v>144.68</v>
      </c>
      <c r="G2934" t="str">
        <f>"00105115972005106221"</f>
        <v>00105115972005106221</v>
      </c>
    </row>
    <row r="2935" spans="1:7" x14ac:dyDescent="0.25">
      <c r="E2935" t="str">
        <f>"0013045733S146091FLB"</f>
        <v>0013045733S146091FLB</v>
      </c>
      <c r="F2935" s="2">
        <v>197.08</v>
      </c>
      <c r="G2935" t="str">
        <f>"0013045733S146091FLB"</f>
        <v>0013045733S146091FLB</v>
      </c>
    </row>
    <row r="2936" spans="1:7" x14ac:dyDescent="0.25">
      <c r="E2936" t="str">
        <f>"00123916889200232472"</f>
        <v>00123916889200232472</v>
      </c>
      <c r="F2936" s="2">
        <v>109.85</v>
      </c>
      <c r="G2936" t="str">
        <f>"00123916889200232472"</f>
        <v>00123916889200232472</v>
      </c>
    </row>
    <row r="2937" spans="1:7" x14ac:dyDescent="0.25">
      <c r="E2937" t="str">
        <f>"0009476377203172B"</f>
        <v>0009476377203172B</v>
      </c>
      <c r="F2937" s="2">
        <v>115.38</v>
      </c>
      <c r="G2937" t="str">
        <f>"0009476377203172B"</f>
        <v>0009476377203172B</v>
      </c>
    </row>
    <row r="2938" spans="1:7" x14ac:dyDescent="0.25">
      <c r="E2938" t="str">
        <f>"0013096953150533"</f>
        <v>0013096953150533</v>
      </c>
      <c r="F2938" s="2">
        <v>346.15</v>
      </c>
      <c r="G2938" t="str">
        <f>"0013096953150533"</f>
        <v>0013096953150533</v>
      </c>
    </row>
    <row r="2939" spans="1:7" x14ac:dyDescent="0.25">
      <c r="A2939" t="s">
        <v>569</v>
      </c>
      <c r="B2939">
        <v>248</v>
      </c>
      <c r="C2939" s="2">
        <v>4654.38</v>
      </c>
      <c r="D2939" s="1">
        <v>43756</v>
      </c>
      <c r="E2939" t="str">
        <f>"CAUSE# 0011635329"</f>
        <v>CAUSE# 0011635329</v>
      </c>
      <c r="F2939" s="2">
        <v>603.23</v>
      </c>
      <c r="G2939" t="str">
        <f>"CAUSE# 0011635329"</f>
        <v>CAUSE# 0011635329</v>
      </c>
    </row>
    <row r="2940" spans="1:7" x14ac:dyDescent="0.25">
      <c r="E2940" t="str">
        <f>"0012982132CCL7445"</f>
        <v>0012982132CCL7445</v>
      </c>
      <c r="F2940" s="2">
        <v>692.31</v>
      </c>
      <c r="G2940" t="str">
        <f>"0012982132CCL7445"</f>
        <v>0012982132CCL7445</v>
      </c>
    </row>
    <row r="2941" spans="1:7" x14ac:dyDescent="0.25">
      <c r="E2941" t="str">
        <f>"001003981107-12252"</f>
        <v>001003981107-12252</v>
      </c>
      <c r="F2941" s="2">
        <v>115.39</v>
      </c>
      <c r="G2941" t="str">
        <f>"001003981107-12252"</f>
        <v>001003981107-12252</v>
      </c>
    </row>
    <row r="2942" spans="1:7" x14ac:dyDescent="0.25">
      <c r="E2942" t="str">
        <f>"001236769211-14410"</f>
        <v>001236769211-14410</v>
      </c>
      <c r="F2942" s="2">
        <v>230.31</v>
      </c>
      <c r="G2942" t="str">
        <f>"001236769211-14410"</f>
        <v>001236769211-14410</v>
      </c>
    </row>
    <row r="2943" spans="1:7" x14ac:dyDescent="0.25">
      <c r="E2943" t="str">
        <f>"CAUSE# 11-14911"</f>
        <v>CAUSE# 11-14911</v>
      </c>
      <c r="F2943" s="2">
        <v>238.62</v>
      </c>
      <c r="G2943" t="str">
        <f>"CAUSE# 11-14911"</f>
        <v>CAUSE# 11-14911</v>
      </c>
    </row>
    <row r="2944" spans="1:7" x14ac:dyDescent="0.25">
      <c r="E2944" t="str">
        <f>"0012453366"</f>
        <v>0012453366</v>
      </c>
      <c r="F2944" s="2">
        <v>138.46</v>
      </c>
      <c r="G2944" t="str">
        <f>"0012453366"</f>
        <v>0012453366</v>
      </c>
    </row>
    <row r="2945" spans="1:7" x14ac:dyDescent="0.25">
      <c r="E2945" t="str">
        <f>"00130730762012V300"</f>
        <v>00130730762012V300</v>
      </c>
      <c r="F2945" s="2">
        <v>399.32</v>
      </c>
      <c r="G2945" t="str">
        <f>"00130730762012V300"</f>
        <v>00130730762012V300</v>
      </c>
    </row>
    <row r="2946" spans="1:7" x14ac:dyDescent="0.25">
      <c r="E2946" t="str">
        <f>"# 0012128865"</f>
        <v># 0012128865</v>
      </c>
      <c r="F2946" s="2">
        <v>243.23</v>
      </c>
      <c r="G2946" t="str">
        <f>"# 0012128865"</f>
        <v># 0012128865</v>
      </c>
    </row>
    <row r="2947" spans="1:7" x14ac:dyDescent="0.25">
      <c r="E2947" t="str">
        <f>"# 0012871801"</f>
        <v># 0012871801</v>
      </c>
      <c r="F2947" s="2">
        <v>90</v>
      </c>
      <c r="G2947" t="str">
        <f>"# 0012871801"</f>
        <v># 0012871801</v>
      </c>
    </row>
    <row r="2948" spans="1:7" x14ac:dyDescent="0.25">
      <c r="E2948" t="str">
        <f>"13154657"</f>
        <v>13154657</v>
      </c>
      <c r="F2948" s="2">
        <v>101.99</v>
      </c>
      <c r="G2948" t="str">
        <f>"13154657"</f>
        <v>13154657</v>
      </c>
    </row>
    <row r="2949" spans="1:7" x14ac:dyDescent="0.25">
      <c r="E2949" t="str">
        <f>"0012046911423672"</f>
        <v>0012046911423672</v>
      </c>
      <c r="F2949" s="2">
        <v>187.38</v>
      </c>
      <c r="G2949" t="str">
        <f>"0012046911423672"</f>
        <v>0012046911423672</v>
      </c>
    </row>
    <row r="2950" spans="1:7" x14ac:dyDescent="0.25">
      <c r="E2950" t="str">
        <f>"00136881334235026"</f>
        <v>00136881334235026</v>
      </c>
      <c r="F2950" s="2">
        <v>195.15</v>
      </c>
      <c r="G2950" t="str">
        <f>"00136881334235026"</f>
        <v>00136881334235026</v>
      </c>
    </row>
    <row r="2951" spans="1:7" x14ac:dyDescent="0.25">
      <c r="E2951" t="str">
        <f>"00137390532018V215"</f>
        <v>00137390532018V215</v>
      </c>
      <c r="F2951" s="2">
        <v>264</v>
      </c>
      <c r="G2951" t="str">
        <f>"00137390532018V215"</f>
        <v>00137390532018V215</v>
      </c>
    </row>
    <row r="2952" spans="1:7" x14ac:dyDescent="0.25">
      <c r="E2952" t="str">
        <f>"0012797601C20130529B"</f>
        <v>0012797601C20130529B</v>
      </c>
      <c r="F2952" s="2">
        <v>241.85</v>
      </c>
      <c r="G2952" t="str">
        <f>"0012797601C20130529B"</f>
        <v>0012797601C20130529B</v>
      </c>
    </row>
    <row r="2953" spans="1:7" x14ac:dyDescent="0.25">
      <c r="E2953" t="str">
        <f>"00105115972005106221"</f>
        <v>00105115972005106221</v>
      </c>
      <c r="F2953" s="2">
        <v>144.68</v>
      </c>
      <c r="G2953" t="str">
        <f>"00105115972005106221"</f>
        <v>00105115972005106221</v>
      </c>
    </row>
    <row r="2954" spans="1:7" x14ac:dyDescent="0.25">
      <c r="E2954" t="str">
        <f>"0013045733S146091FLB"</f>
        <v>0013045733S146091FLB</v>
      </c>
      <c r="F2954" s="2">
        <v>197.08</v>
      </c>
      <c r="G2954" t="str">
        <f>"0013045733S146091FLB"</f>
        <v>0013045733S146091FLB</v>
      </c>
    </row>
    <row r="2955" spans="1:7" x14ac:dyDescent="0.25">
      <c r="E2955" t="str">
        <f>"00123916889200232472"</f>
        <v>00123916889200232472</v>
      </c>
      <c r="F2955" s="2">
        <v>109.85</v>
      </c>
      <c r="G2955" t="str">
        <f>"00123916889200232472"</f>
        <v>00123916889200232472</v>
      </c>
    </row>
    <row r="2956" spans="1:7" x14ac:dyDescent="0.25">
      <c r="E2956" t="str">
        <f>"0009476377203172B"</f>
        <v>0009476377203172B</v>
      </c>
      <c r="F2956" s="2">
        <v>115.38</v>
      </c>
      <c r="G2956" t="str">
        <f>"0009476377203172B"</f>
        <v>0009476377203172B</v>
      </c>
    </row>
    <row r="2957" spans="1:7" x14ac:dyDescent="0.25">
      <c r="E2957" t="str">
        <f>"0013096953150533"</f>
        <v>0013096953150533</v>
      </c>
      <c r="F2957" s="2">
        <v>346.15</v>
      </c>
      <c r="G2957" t="str">
        <f>"0013096953150533"</f>
        <v>0013096953150533</v>
      </c>
    </row>
    <row r="2958" spans="1:7" x14ac:dyDescent="0.25">
      <c r="A2958" t="s">
        <v>570</v>
      </c>
      <c r="B2958">
        <v>250</v>
      </c>
      <c r="C2958" s="2">
        <v>351587.32</v>
      </c>
      <c r="D2958" s="1">
        <v>43756</v>
      </c>
      <c r="E2958" t="str">
        <f>"TEXAS COUNTY &amp; DISTRICT RET"</f>
        <v>TEXAS COUNTY &amp; DISTRICT RET</v>
      </c>
      <c r="F2958" s="2">
        <v>158394.82999999999</v>
      </c>
      <c r="G2958" t="str">
        <f t="shared" ref="G2958:G2989" si="51">"TEXAS COUNTY &amp; DISTRICT RET"</f>
        <v>TEXAS COUNTY &amp; DISTRICT RET</v>
      </c>
    </row>
    <row r="2959" spans="1:7" x14ac:dyDescent="0.25">
      <c r="E2959" t="str">
        <f>""</f>
        <v/>
      </c>
      <c r="G2959" t="str">
        <f t="shared" si="51"/>
        <v>TEXAS COUNTY &amp; DISTRICT RET</v>
      </c>
    </row>
    <row r="2960" spans="1:7" x14ac:dyDescent="0.25">
      <c r="E2960" t="str">
        <f>""</f>
        <v/>
      </c>
      <c r="G2960" t="str">
        <f t="shared" si="51"/>
        <v>TEXAS COUNTY &amp; DISTRICT RET</v>
      </c>
    </row>
    <row r="2961" spans="5:7" x14ac:dyDescent="0.25">
      <c r="E2961" t="str">
        <f>""</f>
        <v/>
      </c>
      <c r="G2961" t="str">
        <f t="shared" si="51"/>
        <v>TEXAS COUNTY &amp; DISTRICT RET</v>
      </c>
    </row>
    <row r="2962" spans="5:7" x14ac:dyDescent="0.25">
      <c r="E2962" t="str">
        <f>""</f>
        <v/>
      </c>
      <c r="G2962" t="str">
        <f t="shared" si="51"/>
        <v>TEXAS COUNTY &amp; DISTRICT RET</v>
      </c>
    </row>
    <row r="2963" spans="5:7" x14ac:dyDescent="0.25">
      <c r="E2963" t="str">
        <f>""</f>
        <v/>
      </c>
      <c r="G2963" t="str">
        <f t="shared" si="51"/>
        <v>TEXAS COUNTY &amp; DISTRICT RET</v>
      </c>
    </row>
    <row r="2964" spans="5:7" x14ac:dyDescent="0.25">
      <c r="E2964" t="str">
        <f>""</f>
        <v/>
      </c>
      <c r="G2964" t="str">
        <f t="shared" si="51"/>
        <v>TEXAS COUNTY &amp; DISTRICT RET</v>
      </c>
    </row>
    <row r="2965" spans="5:7" x14ac:dyDescent="0.25">
      <c r="E2965" t="str">
        <f>""</f>
        <v/>
      </c>
      <c r="G2965" t="str">
        <f t="shared" si="51"/>
        <v>TEXAS COUNTY &amp; DISTRICT RET</v>
      </c>
    </row>
    <row r="2966" spans="5:7" x14ac:dyDescent="0.25">
      <c r="E2966" t="str">
        <f>""</f>
        <v/>
      </c>
      <c r="G2966" t="str">
        <f t="shared" si="51"/>
        <v>TEXAS COUNTY &amp; DISTRICT RET</v>
      </c>
    </row>
    <row r="2967" spans="5:7" x14ac:dyDescent="0.25">
      <c r="E2967" t="str">
        <f>""</f>
        <v/>
      </c>
      <c r="G2967" t="str">
        <f t="shared" si="51"/>
        <v>TEXAS COUNTY &amp; DISTRICT RET</v>
      </c>
    </row>
    <row r="2968" spans="5:7" x14ac:dyDescent="0.25">
      <c r="E2968" t="str">
        <f>""</f>
        <v/>
      </c>
      <c r="G2968" t="str">
        <f t="shared" si="51"/>
        <v>TEXAS COUNTY &amp; DISTRICT RET</v>
      </c>
    </row>
    <row r="2969" spans="5:7" x14ac:dyDescent="0.25">
      <c r="E2969" t="str">
        <f>""</f>
        <v/>
      </c>
      <c r="G2969" t="str">
        <f t="shared" si="51"/>
        <v>TEXAS COUNTY &amp; DISTRICT RET</v>
      </c>
    </row>
    <row r="2970" spans="5:7" x14ac:dyDescent="0.25">
      <c r="E2970" t="str">
        <f>""</f>
        <v/>
      </c>
      <c r="G2970" t="str">
        <f t="shared" si="51"/>
        <v>TEXAS COUNTY &amp; DISTRICT RET</v>
      </c>
    </row>
    <row r="2971" spans="5:7" x14ac:dyDescent="0.25">
      <c r="E2971" t="str">
        <f>""</f>
        <v/>
      </c>
      <c r="G2971" t="str">
        <f t="shared" si="51"/>
        <v>TEXAS COUNTY &amp; DISTRICT RET</v>
      </c>
    </row>
    <row r="2972" spans="5:7" x14ac:dyDescent="0.25">
      <c r="E2972" t="str">
        <f>""</f>
        <v/>
      </c>
      <c r="G2972" t="str">
        <f t="shared" si="51"/>
        <v>TEXAS COUNTY &amp; DISTRICT RET</v>
      </c>
    </row>
    <row r="2973" spans="5:7" x14ac:dyDescent="0.25">
      <c r="E2973" t="str">
        <f>""</f>
        <v/>
      </c>
      <c r="G2973" t="str">
        <f t="shared" si="51"/>
        <v>TEXAS COUNTY &amp; DISTRICT RET</v>
      </c>
    </row>
    <row r="2974" spans="5:7" x14ac:dyDescent="0.25">
      <c r="E2974" t="str">
        <f>""</f>
        <v/>
      </c>
      <c r="G2974" t="str">
        <f t="shared" si="51"/>
        <v>TEXAS COUNTY &amp; DISTRICT RET</v>
      </c>
    </row>
    <row r="2975" spans="5:7" x14ac:dyDescent="0.25">
      <c r="E2975" t="str">
        <f>""</f>
        <v/>
      </c>
      <c r="G2975" t="str">
        <f t="shared" si="51"/>
        <v>TEXAS COUNTY &amp; DISTRICT RET</v>
      </c>
    </row>
    <row r="2976" spans="5:7" x14ac:dyDescent="0.25">
      <c r="E2976" t="str">
        <f>""</f>
        <v/>
      </c>
      <c r="G2976" t="str">
        <f t="shared" si="51"/>
        <v>TEXAS COUNTY &amp; DISTRICT RET</v>
      </c>
    </row>
    <row r="2977" spans="5:7" x14ac:dyDescent="0.25">
      <c r="E2977" t="str">
        <f>""</f>
        <v/>
      </c>
      <c r="G2977" t="str">
        <f t="shared" si="51"/>
        <v>TEXAS COUNTY &amp; DISTRICT RET</v>
      </c>
    </row>
    <row r="2978" spans="5:7" x14ac:dyDescent="0.25">
      <c r="E2978" t="str">
        <f>""</f>
        <v/>
      </c>
      <c r="G2978" t="str">
        <f t="shared" si="51"/>
        <v>TEXAS COUNTY &amp; DISTRICT RET</v>
      </c>
    </row>
    <row r="2979" spans="5:7" x14ac:dyDescent="0.25">
      <c r="E2979" t="str">
        <f>""</f>
        <v/>
      </c>
      <c r="G2979" t="str">
        <f t="shared" si="51"/>
        <v>TEXAS COUNTY &amp; DISTRICT RET</v>
      </c>
    </row>
    <row r="2980" spans="5:7" x14ac:dyDescent="0.25">
      <c r="E2980" t="str">
        <f>""</f>
        <v/>
      </c>
      <c r="G2980" t="str">
        <f t="shared" si="51"/>
        <v>TEXAS COUNTY &amp; DISTRICT RET</v>
      </c>
    </row>
    <row r="2981" spans="5:7" x14ac:dyDescent="0.25">
      <c r="E2981" t="str">
        <f>""</f>
        <v/>
      </c>
      <c r="G2981" t="str">
        <f t="shared" si="51"/>
        <v>TEXAS COUNTY &amp; DISTRICT RET</v>
      </c>
    </row>
    <row r="2982" spans="5:7" x14ac:dyDescent="0.25">
      <c r="E2982" t="str">
        <f>""</f>
        <v/>
      </c>
      <c r="G2982" t="str">
        <f t="shared" si="51"/>
        <v>TEXAS COUNTY &amp; DISTRICT RET</v>
      </c>
    </row>
    <row r="2983" spans="5:7" x14ac:dyDescent="0.25">
      <c r="E2983" t="str">
        <f>""</f>
        <v/>
      </c>
      <c r="G2983" t="str">
        <f t="shared" si="51"/>
        <v>TEXAS COUNTY &amp; DISTRICT RET</v>
      </c>
    </row>
    <row r="2984" spans="5:7" x14ac:dyDescent="0.25">
      <c r="E2984" t="str">
        <f>""</f>
        <v/>
      </c>
      <c r="G2984" t="str">
        <f t="shared" si="51"/>
        <v>TEXAS COUNTY &amp; DISTRICT RET</v>
      </c>
    </row>
    <row r="2985" spans="5:7" x14ac:dyDescent="0.25">
      <c r="E2985" t="str">
        <f>""</f>
        <v/>
      </c>
      <c r="G2985" t="str">
        <f t="shared" si="51"/>
        <v>TEXAS COUNTY &amp; DISTRICT RET</v>
      </c>
    </row>
    <row r="2986" spans="5:7" x14ac:dyDescent="0.25">
      <c r="E2986" t="str">
        <f>""</f>
        <v/>
      </c>
      <c r="G2986" t="str">
        <f t="shared" si="51"/>
        <v>TEXAS COUNTY &amp; DISTRICT RET</v>
      </c>
    </row>
    <row r="2987" spans="5:7" x14ac:dyDescent="0.25">
      <c r="E2987" t="str">
        <f>""</f>
        <v/>
      </c>
      <c r="G2987" t="str">
        <f t="shared" si="51"/>
        <v>TEXAS COUNTY &amp; DISTRICT RET</v>
      </c>
    </row>
    <row r="2988" spans="5:7" x14ac:dyDescent="0.25">
      <c r="E2988" t="str">
        <f>""</f>
        <v/>
      </c>
      <c r="G2988" t="str">
        <f t="shared" si="51"/>
        <v>TEXAS COUNTY &amp; DISTRICT RET</v>
      </c>
    </row>
    <row r="2989" spans="5:7" x14ac:dyDescent="0.25">
      <c r="E2989" t="str">
        <f>""</f>
        <v/>
      </c>
      <c r="G2989" t="str">
        <f t="shared" si="51"/>
        <v>TEXAS COUNTY &amp; DISTRICT RET</v>
      </c>
    </row>
    <row r="2990" spans="5:7" x14ac:dyDescent="0.25">
      <c r="E2990" t="str">
        <f>""</f>
        <v/>
      </c>
      <c r="G2990" t="str">
        <f t="shared" ref="G2990:G3008" si="52">"TEXAS COUNTY &amp; DISTRICT RET"</f>
        <v>TEXAS COUNTY &amp; DISTRICT RET</v>
      </c>
    </row>
    <row r="2991" spans="5:7" x14ac:dyDescent="0.25">
      <c r="E2991" t="str">
        <f>""</f>
        <v/>
      </c>
      <c r="G2991" t="str">
        <f t="shared" si="52"/>
        <v>TEXAS COUNTY &amp; DISTRICT RET</v>
      </c>
    </row>
    <row r="2992" spans="5:7" x14ac:dyDescent="0.25">
      <c r="E2992" t="str">
        <f>""</f>
        <v/>
      </c>
      <c r="G2992" t="str">
        <f t="shared" si="52"/>
        <v>TEXAS COUNTY &amp; DISTRICT RET</v>
      </c>
    </row>
    <row r="2993" spans="5:7" x14ac:dyDescent="0.25">
      <c r="E2993" t="str">
        <f>""</f>
        <v/>
      </c>
      <c r="G2993" t="str">
        <f t="shared" si="52"/>
        <v>TEXAS COUNTY &amp; DISTRICT RET</v>
      </c>
    </row>
    <row r="2994" spans="5:7" x14ac:dyDescent="0.25">
      <c r="E2994" t="str">
        <f>""</f>
        <v/>
      </c>
      <c r="G2994" t="str">
        <f t="shared" si="52"/>
        <v>TEXAS COUNTY &amp; DISTRICT RET</v>
      </c>
    </row>
    <row r="2995" spans="5:7" x14ac:dyDescent="0.25">
      <c r="E2995" t="str">
        <f>""</f>
        <v/>
      </c>
      <c r="G2995" t="str">
        <f t="shared" si="52"/>
        <v>TEXAS COUNTY &amp; DISTRICT RET</v>
      </c>
    </row>
    <row r="2996" spans="5:7" x14ac:dyDescent="0.25">
      <c r="E2996" t="str">
        <f>""</f>
        <v/>
      </c>
      <c r="G2996" t="str">
        <f t="shared" si="52"/>
        <v>TEXAS COUNTY &amp; DISTRICT RET</v>
      </c>
    </row>
    <row r="2997" spans="5:7" x14ac:dyDescent="0.25">
      <c r="E2997" t="str">
        <f>""</f>
        <v/>
      </c>
      <c r="G2997" t="str">
        <f t="shared" si="52"/>
        <v>TEXAS COUNTY &amp; DISTRICT RET</v>
      </c>
    </row>
    <row r="2998" spans="5:7" x14ac:dyDescent="0.25">
      <c r="E2998" t="str">
        <f>""</f>
        <v/>
      </c>
      <c r="G2998" t="str">
        <f t="shared" si="52"/>
        <v>TEXAS COUNTY &amp; DISTRICT RET</v>
      </c>
    </row>
    <row r="2999" spans="5:7" x14ac:dyDescent="0.25">
      <c r="E2999" t="str">
        <f>""</f>
        <v/>
      </c>
      <c r="G2999" t="str">
        <f t="shared" si="52"/>
        <v>TEXAS COUNTY &amp; DISTRICT RET</v>
      </c>
    </row>
    <row r="3000" spans="5:7" x14ac:dyDescent="0.25">
      <c r="E3000" t="str">
        <f>""</f>
        <v/>
      </c>
      <c r="G3000" t="str">
        <f t="shared" si="52"/>
        <v>TEXAS COUNTY &amp; DISTRICT RET</v>
      </c>
    </row>
    <row r="3001" spans="5:7" x14ac:dyDescent="0.25">
      <c r="E3001" t="str">
        <f>""</f>
        <v/>
      </c>
      <c r="G3001" t="str">
        <f t="shared" si="52"/>
        <v>TEXAS COUNTY &amp; DISTRICT RET</v>
      </c>
    </row>
    <row r="3002" spans="5:7" x14ac:dyDescent="0.25">
      <c r="E3002" t="str">
        <f>""</f>
        <v/>
      </c>
      <c r="G3002" t="str">
        <f t="shared" si="52"/>
        <v>TEXAS COUNTY &amp; DISTRICT RET</v>
      </c>
    </row>
    <row r="3003" spans="5:7" x14ac:dyDescent="0.25">
      <c r="E3003" t="str">
        <f>""</f>
        <v/>
      </c>
      <c r="G3003" t="str">
        <f t="shared" si="52"/>
        <v>TEXAS COUNTY &amp; DISTRICT RET</v>
      </c>
    </row>
    <row r="3004" spans="5:7" x14ac:dyDescent="0.25">
      <c r="E3004" t="str">
        <f>""</f>
        <v/>
      </c>
      <c r="G3004" t="str">
        <f t="shared" si="52"/>
        <v>TEXAS COUNTY &amp; DISTRICT RET</v>
      </c>
    </row>
    <row r="3005" spans="5:7" x14ac:dyDescent="0.25">
      <c r="E3005" t="str">
        <f>""</f>
        <v/>
      </c>
      <c r="G3005" t="str">
        <f t="shared" si="52"/>
        <v>TEXAS COUNTY &amp; DISTRICT RET</v>
      </c>
    </row>
    <row r="3006" spans="5:7" x14ac:dyDescent="0.25">
      <c r="E3006" t="str">
        <f>""</f>
        <v/>
      </c>
      <c r="G3006" t="str">
        <f t="shared" si="52"/>
        <v>TEXAS COUNTY &amp; DISTRICT RET</v>
      </c>
    </row>
    <row r="3007" spans="5:7" x14ac:dyDescent="0.25">
      <c r="E3007" t="str">
        <f>""</f>
        <v/>
      </c>
      <c r="G3007" t="str">
        <f t="shared" si="52"/>
        <v>TEXAS COUNTY &amp; DISTRICT RET</v>
      </c>
    </row>
    <row r="3008" spans="5:7" x14ac:dyDescent="0.25">
      <c r="E3008" t="str">
        <f>""</f>
        <v/>
      </c>
      <c r="G3008" t="str">
        <f t="shared" si="52"/>
        <v>TEXAS COUNTY &amp; DISTRICT RET</v>
      </c>
    </row>
    <row r="3009" spans="5:7" x14ac:dyDescent="0.25">
      <c r="E3009" t="str">
        <f>"TEXAS COUNTY  DISTRICT RET"</f>
        <v>TEXAS COUNTY  DISTRICT RET</v>
      </c>
      <c r="F3009" s="2">
        <v>6194.12</v>
      </c>
      <c r="G3009" t="str">
        <f>"TEXAS COUNTY  DISTRICT RET"</f>
        <v>TEXAS COUNTY  DISTRICT RET</v>
      </c>
    </row>
    <row r="3010" spans="5:7" x14ac:dyDescent="0.25">
      <c r="E3010" t="str">
        <f>""</f>
        <v/>
      </c>
      <c r="G3010" t="str">
        <f>"TEXAS COUNTY  DISTRICT RET"</f>
        <v>TEXAS COUNTY  DISTRICT RET</v>
      </c>
    </row>
    <row r="3011" spans="5:7" x14ac:dyDescent="0.25">
      <c r="E3011" t="str">
        <f>"TEXAS COUNTY &amp; DISTRICT RET"</f>
        <v>TEXAS COUNTY &amp; DISTRICT RET</v>
      </c>
      <c r="F3011" s="2">
        <v>7392.28</v>
      </c>
      <c r="G3011" t="str">
        <f t="shared" ref="G3011:G3042" si="53">"TEXAS COUNTY &amp; DISTRICT RET"</f>
        <v>TEXAS COUNTY &amp; DISTRICT RET</v>
      </c>
    </row>
    <row r="3012" spans="5:7" x14ac:dyDescent="0.25">
      <c r="E3012" t="str">
        <f>""</f>
        <v/>
      </c>
      <c r="G3012" t="str">
        <f t="shared" si="53"/>
        <v>TEXAS COUNTY &amp; DISTRICT RET</v>
      </c>
    </row>
    <row r="3013" spans="5:7" x14ac:dyDescent="0.25">
      <c r="E3013" t="str">
        <f>"TEXAS COUNTY &amp; DISTRICT RET"</f>
        <v>TEXAS COUNTY &amp; DISTRICT RET</v>
      </c>
      <c r="F3013" s="2">
        <v>165897.1</v>
      </c>
      <c r="G3013" t="str">
        <f t="shared" si="53"/>
        <v>TEXAS COUNTY &amp; DISTRICT RET</v>
      </c>
    </row>
    <row r="3014" spans="5:7" x14ac:dyDescent="0.25">
      <c r="E3014" t="str">
        <f>""</f>
        <v/>
      </c>
      <c r="G3014" t="str">
        <f t="shared" si="53"/>
        <v>TEXAS COUNTY &amp; DISTRICT RET</v>
      </c>
    </row>
    <row r="3015" spans="5:7" x14ac:dyDescent="0.25">
      <c r="E3015" t="str">
        <f>""</f>
        <v/>
      </c>
      <c r="G3015" t="str">
        <f t="shared" si="53"/>
        <v>TEXAS COUNTY &amp; DISTRICT RET</v>
      </c>
    </row>
    <row r="3016" spans="5:7" x14ac:dyDescent="0.25">
      <c r="E3016" t="str">
        <f>""</f>
        <v/>
      </c>
      <c r="G3016" t="str">
        <f t="shared" si="53"/>
        <v>TEXAS COUNTY &amp; DISTRICT RET</v>
      </c>
    </row>
    <row r="3017" spans="5:7" x14ac:dyDescent="0.25">
      <c r="E3017" t="str">
        <f>""</f>
        <v/>
      </c>
      <c r="G3017" t="str">
        <f t="shared" si="53"/>
        <v>TEXAS COUNTY &amp; DISTRICT RET</v>
      </c>
    </row>
    <row r="3018" spans="5:7" x14ac:dyDescent="0.25">
      <c r="E3018" t="str">
        <f>""</f>
        <v/>
      </c>
      <c r="G3018" t="str">
        <f t="shared" si="53"/>
        <v>TEXAS COUNTY &amp; DISTRICT RET</v>
      </c>
    </row>
    <row r="3019" spans="5:7" x14ac:dyDescent="0.25">
      <c r="E3019" t="str">
        <f>""</f>
        <v/>
      </c>
      <c r="G3019" t="str">
        <f t="shared" si="53"/>
        <v>TEXAS COUNTY &amp; DISTRICT RET</v>
      </c>
    </row>
    <row r="3020" spans="5:7" x14ac:dyDescent="0.25">
      <c r="E3020" t="str">
        <f>""</f>
        <v/>
      </c>
      <c r="G3020" t="str">
        <f t="shared" si="53"/>
        <v>TEXAS COUNTY &amp; DISTRICT RET</v>
      </c>
    </row>
    <row r="3021" spans="5:7" x14ac:dyDescent="0.25">
      <c r="E3021" t="str">
        <f>""</f>
        <v/>
      </c>
      <c r="G3021" t="str">
        <f t="shared" si="53"/>
        <v>TEXAS COUNTY &amp; DISTRICT RET</v>
      </c>
    </row>
    <row r="3022" spans="5:7" x14ac:dyDescent="0.25">
      <c r="E3022" t="str">
        <f>""</f>
        <v/>
      </c>
      <c r="G3022" t="str">
        <f t="shared" si="53"/>
        <v>TEXAS COUNTY &amp; DISTRICT RET</v>
      </c>
    </row>
    <row r="3023" spans="5:7" x14ac:dyDescent="0.25">
      <c r="E3023" t="str">
        <f>""</f>
        <v/>
      </c>
      <c r="G3023" t="str">
        <f t="shared" si="53"/>
        <v>TEXAS COUNTY &amp; DISTRICT RET</v>
      </c>
    </row>
    <row r="3024" spans="5:7" x14ac:dyDescent="0.25">
      <c r="E3024" t="str">
        <f>""</f>
        <v/>
      </c>
      <c r="G3024" t="str">
        <f t="shared" si="53"/>
        <v>TEXAS COUNTY &amp; DISTRICT RET</v>
      </c>
    </row>
    <row r="3025" spans="5:7" x14ac:dyDescent="0.25">
      <c r="E3025" t="str">
        <f>""</f>
        <v/>
      </c>
      <c r="G3025" t="str">
        <f t="shared" si="53"/>
        <v>TEXAS COUNTY &amp; DISTRICT RET</v>
      </c>
    </row>
    <row r="3026" spans="5:7" x14ac:dyDescent="0.25">
      <c r="E3026" t="str">
        <f>""</f>
        <v/>
      </c>
      <c r="G3026" t="str">
        <f t="shared" si="53"/>
        <v>TEXAS COUNTY &amp; DISTRICT RET</v>
      </c>
    </row>
    <row r="3027" spans="5:7" x14ac:dyDescent="0.25">
      <c r="E3027" t="str">
        <f>""</f>
        <v/>
      </c>
      <c r="G3027" t="str">
        <f t="shared" si="53"/>
        <v>TEXAS COUNTY &amp; DISTRICT RET</v>
      </c>
    </row>
    <row r="3028" spans="5:7" x14ac:dyDescent="0.25">
      <c r="E3028" t="str">
        <f>""</f>
        <v/>
      </c>
      <c r="G3028" t="str">
        <f t="shared" si="53"/>
        <v>TEXAS COUNTY &amp; DISTRICT RET</v>
      </c>
    </row>
    <row r="3029" spans="5:7" x14ac:dyDescent="0.25">
      <c r="E3029" t="str">
        <f>""</f>
        <v/>
      </c>
      <c r="G3029" t="str">
        <f t="shared" si="53"/>
        <v>TEXAS COUNTY &amp; DISTRICT RET</v>
      </c>
    </row>
    <row r="3030" spans="5:7" x14ac:dyDescent="0.25">
      <c r="E3030" t="str">
        <f>""</f>
        <v/>
      </c>
      <c r="G3030" t="str">
        <f t="shared" si="53"/>
        <v>TEXAS COUNTY &amp; DISTRICT RET</v>
      </c>
    </row>
    <row r="3031" spans="5:7" x14ac:dyDescent="0.25">
      <c r="E3031" t="str">
        <f>""</f>
        <v/>
      </c>
      <c r="G3031" t="str">
        <f t="shared" si="53"/>
        <v>TEXAS COUNTY &amp; DISTRICT RET</v>
      </c>
    </row>
    <row r="3032" spans="5:7" x14ac:dyDescent="0.25">
      <c r="E3032" t="str">
        <f>""</f>
        <v/>
      </c>
      <c r="G3032" t="str">
        <f t="shared" si="53"/>
        <v>TEXAS COUNTY &amp; DISTRICT RET</v>
      </c>
    </row>
    <row r="3033" spans="5:7" x14ac:dyDescent="0.25">
      <c r="E3033" t="str">
        <f>""</f>
        <v/>
      </c>
      <c r="G3033" t="str">
        <f t="shared" si="53"/>
        <v>TEXAS COUNTY &amp; DISTRICT RET</v>
      </c>
    </row>
    <row r="3034" spans="5:7" x14ac:dyDescent="0.25">
      <c r="E3034" t="str">
        <f>""</f>
        <v/>
      </c>
      <c r="G3034" t="str">
        <f t="shared" si="53"/>
        <v>TEXAS COUNTY &amp; DISTRICT RET</v>
      </c>
    </row>
    <row r="3035" spans="5:7" x14ac:dyDescent="0.25">
      <c r="E3035" t="str">
        <f>""</f>
        <v/>
      </c>
      <c r="G3035" t="str">
        <f t="shared" si="53"/>
        <v>TEXAS COUNTY &amp; DISTRICT RET</v>
      </c>
    </row>
    <row r="3036" spans="5:7" x14ac:dyDescent="0.25">
      <c r="E3036" t="str">
        <f>""</f>
        <v/>
      </c>
      <c r="G3036" t="str">
        <f t="shared" si="53"/>
        <v>TEXAS COUNTY &amp; DISTRICT RET</v>
      </c>
    </row>
    <row r="3037" spans="5:7" x14ac:dyDescent="0.25">
      <c r="E3037" t="str">
        <f>""</f>
        <v/>
      </c>
      <c r="G3037" t="str">
        <f t="shared" si="53"/>
        <v>TEXAS COUNTY &amp; DISTRICT RET</v>
      </c>
    </row>
    <row r="3038" spans="5:7" x14ac:dyDescent="0.25">
      <c r="E3038" t="str">
        <f>""</f>
        <v/>
      </c>
      <c r="G3038" t="str">
        <f t="shared" si="53"/>
        <v>TEXAS COUNTY &amp; DISTRICT RET</v>
      </c>
    </row>
    <row r="3039" spans="5:7" x14ac:dyDescent="0.25">
      <c r="E3039" t="str">
        <f>""</f>
        <v/>
      </c>
      <c r="G3039" t="str">
        <f t="shared" si="53"/>
        <v>TEXAS COUNTY &amp; DISTRICT RET</v>
      </c>
    </row>
    <row r="3040" spans="5:7" x14ac:dyDescent="0.25">
      <c r="E3040" t="str">
        <f>""</f>
        <v/>
      </c>
      <c r="G3040" t="str">
        <f t="shared" si="53"/>
        <v>TEXAS COUNTY &amp; DISTRICT RET</v>
      </c>
    </row>
    <row r="3041" spans="5:7" x14ac:dyDescent="0.25">
      <c r="E3041" t="str">
        <f>""</f>
        <v/>
      </c>
      <c r="G3041" t="str">
        <f t="shared" si="53"/>
        <v>TEXAS COUNTY &amp; DISTRICT RET</v>
      </c>
    </row>
    <row r="3042" spans="5:7" x14ac:dyDescent="0.25">
      <c r="E3042" t="str">
        <f>""</f>
        <v/>
      </c>
      <c r="G3042" t="str">
        <f t="shared" si="53"/>
        <v>TEXAS COUNTY &amp; DISTRICT RET</v>
      </c>
    </row>
    <row r="3043" spans="5:7" x14ac:dyDescent="0.25">
      <c r="E3043" t="str">
        <f>""</f>
        <v/>
      </c>
      <c r="G3043" t="str">
        <f t="shared" ref="G3043:G3064" si="54">"TEXAS COUNTY &amp; DISTRICT RET"</f>
        <v>TEXAS COUNTY &amp; DISTRICT RET</v>
      </c>
    </row>
    <row r="3044" spans="5:7" x14ac:dyDescent="0.25">
      <c r="E3044" t="str">
        <f>""</f>
        <v/>
      </c>
      <c r="G3044" t="str">
        <f t="shared" si="54"/>
        <v>TEXAS COUNTY &amp; DISTRICT RET</v>
      </c>
    </row>
    <row r="3045" spans="5:7" x14ac:dyDescent="0.25">
      <c r="E3045" t="str">
        <f>""</f>
        <v/>
      </c>
      <c r="G3045" t="str">
        <f t="shared" si="54"/>
        <v>TEXAS COUNTY &amp; DISTRICT RET</v>
      </c>
    </row>
    <row r="3046" spans="5:7" x14ac:dyDescent="0.25">
      <c r="E3046" t="str">
        <f>""</f>
        <v/>
      </c>
      <c r="G3046" t="str">
        <f t="shared" si="54"/>
        <v>TEXAS COUNTY &amp; DISTRICT RET</v>
      </c>
    </row>
    <row r="3047" spans="5:7" x14ac:dyDescent="0.25">
      <c r="E3047" t="str">
        <f>""</f>
        <v/>
      </c>
      <c r="G3047" t="str">
        <f t="shared" si="54"/>
        <v>TEXAS COUNTY &amp; DISTRICT RET</v>
      </c>
    </row>
    <row r="3048" spans="5:7" x14ac:dyDescent="0.25">
      <c r="E3048" t="str">
        <f>""</f>
        <v/>
      </c>
      <c r="G3048" t="str">
        <f t="shared" si="54"/>
        <v>TEXAS COUNTY &amp; DISTRICT RET</v>
      </c>
    </row>
    <row r="3049" spans="5:7" x14ac:dyDescent="0.25">
      <c r="E3049" t="str">
        <f>""</f>
        <v/>
      </c>
      <c r="G3049" t="str">
        <f t="shared" si="54"/>
        <v>TEXAS COUNTY &amp; DISTRICT RET</v>
      </c>
    </row>
    <row r="3050" spans="5:7" x14ac:dyDescent="0.25">
      <c r="E3050" t="str">
        <f>""</f>
        <v/>
      </c>
      <c r="G3050" t="str">
        <f t="shared" si="54"/>
        <v>TEXAS COUNTY &amp; DISTRICT RET</v>
      </c>
    </row>
    <row r="3051" spans="5:7" x14ac:dyDescent="0.25">
      <c r="E3051" t="str">
        <f>""</f>
        <v/>
      </c>
      <c r="G3051" t="str">
        <f t="shared" si="54"/>
        <v>TEXAS COUNTY &amp; DISTRICT RET</v>
      </c>
    </row>
    <row r="3052" spans="5:7" x14ac:dyDescent="0.25">
      <c r="E3052" t="str">
        <f>""</f>
        <v/>
      </c>
      <c r="G3052" t="str">
        <f t="shared" si="54"/>
        <v>TEXAS COUNTY &amp; DISTRICT RET</v>
      </c>
    </row>
    <row r="3053" spans="5:7" x14ac:dyDescent="0.25">
      <c r="E3053" t="str">
        <f>""</f>
        <v/>
      </c>
      <c r="G3053" t="str">
        <f t="shared" si="54"/>
        <v>TEXAS COUNTY &amp; DISTRICT RET</v>
      </c>
    </row>
    <row r="3054" spans="5:7" x14ac:dyDescent="0.25">
      <c r="E3054" t="str">
        <f>""</f>
        <v/>
      </c>
      <c r="G3054" t="str">
        <f t="shared" si="54"/>
        <v>TEXAS COUNTY &amp; DISTRICT RET</v>
      </c>
    </row>
    <row r="3055" spans="5:7" x14ac:dyDescent="0.25">
      <c r="E3055" t="str">
        <f>""</f>
        <v/>
      </c>
      <c r="G3055" t="str">
        <f t="shared" si="54"/>
        <v>TEXAS COUNTY &amp; DISTRICT RET</v>
      </c>
    </row>
    <row r="3056" spans="5:7" x14ac:dyDescent="0.25">
      <c r="E3056" t="str">
        <f>""</f>
        <v/>
      </c>
      <c r="G3056" t="str">
        <f t="shared" si="54"/>
        <v>TEXAS COUNTY &amp; DISTRICT RET</v>
      </c>
    </row>
    <row r="3057" spans="1:7" x14ac:dyDescent="0.25">
      <c r="E3057" t="str">
        <f>""</f>
        <v/>
      </c>
      <c r="G3057" t="str">
        <f t="shared" si="54"/>
        <v>TEXAS COUNTY &amp; DISTRICT RET</v>
      </c>
    </row>
    <row r="3058" spans="1:7" x14ac:dyDescent="0.25">
      <c r="E3058" t="str">
        <f>""</f>
        <v/>
      </c>
      <c r="G3058" t="str">
        <f t="shared" si="54"/>
        <v>TEXAS COUNTY &amp; DISTRICT RET</v>
      </c>
    </row>
    <row r="3059" spans="1:7" x14ac:dyDescent="0.25">
      <c r="E3059" t="str">
        <f>""</f>
        <v/>
      </c>
      <c r="G3059" t="str">
        <f t="shared" si="54"/>
        <v>TEXAS COUNTY &amp; DISTRICT RET</v>
      </c>
    </row>
    <row r="3060" spans="1:7" x14ac:dyDescent="0.25">
      <c r="E3060" t="str">
        <f>""</f>
        <v/>
      </c>
      <c r="G3060" t="str">
        <f t="shared" si="54"/>
        <v>TEXAS COUNTY &amp; DISTRICT RET</v>
      </c>
    </row>
    <row r="3061" spans="1:7" x14ac:dyDescent="0.25">
      <c r="E3061" t="str">
        <f>""</f>
        <v/>
      </c>
      <c r="G3061" t="str">
        <f t="shared" si="54"/>
        <v>TEXAS COUNTY &amp; DISTRICT RET</v>
      </c>
    </row>
    <row r="3062" spans="1:7" x14ac:dyDescent="0.25">
      <c r="E3062" t="str">
        <f>""</f>
        <v/>
      </c>
      <c r="G3062" t="str">
        <f t="shared" si="54"/>
        <v>TEXAS COUNTY &amp; DISTRICT RET</v>
      </c>
    </row>
    <row r="3063" spans="1:7" x14ac:dyDescent="0.25">
      <c r="E3063" t="str">
        <f>""</f>
        <v/>
      </c>
      <c r="G3063" t="str">
        <f t="shared" si="54"/>
        <v>TEXAS COUNTY &amp; DISTRICT RET</v>
      </c>
    </row>
    <row r="3064" spans="1:7" x14ac:dyDescent="0.25">
      <c r="E3064" t="str">
        <f>""</f>
        <v/>
      </c>
      <c r="G3064" t="str">
        <f t="shared" si="54"/>
        <v>TEXAS COUNTY &amp; DISTRICT RET</v>
      </c>
    </row>
    <row r="3065" spans="1:7" x14ac:dyDescent="0.25">
      <c r="E3065" t="str">
        <f>"TEXAS COUNTY  DISTRICT RET"</f>
        <v>TEXAS COUNTY  DISTRICT RET</v>
      </c>
      <c r="F3065" s="2">
        <v>6053.16</v>
      </c>
      <c r="G3065" t="str">
        <f>"TEXAS COUNTY  DISTRICT RET"</f>
        <v>TEXAS COUNTY  DISTRICT RET</v>
      </c>
    </row>
    <row r="3066" spans="1:7" x14ac:dyDescent="0.25">
      <c r="E3066" t="str">
        <f>""</f>
        <v/>
      </c>
      <c r="G3066" t="str">
        <f>"TEXAS COUNTY  DISTRICT RET"</f>
        <v>TEXAS COUNTY  DISTRICT RET</v>
      </c>
    </row>
    <row r="3067" spans="1:7" x14ac:dyDescent="0.25">
      <c r="E3067" t="str">
        <f>"TEXAS COUNTY &amp; DISTRICT RET"</f>
        <v>TEXAS COUNTY &amp; DISTRICT RET</v>
      </c>
      <c r="F3067" s="2">
        <v>7655.83</v>
      </c>
      <c r="G3067" t="str">
        <f>"TEXAS COUNTY &amp; DISTRICT RET"</f>
        <v>TEXAS COUNTY &amp; DISTRICT RET</v>
      </c>
    </row>
    <row r="3068" spans="1:7" x14ac:dyDescent="0.25">
      <c r="E3068" t="str">
        <f>""</f>
        <v/>
      </c>
      <c r="G3068" t="str">
        <f>"TEXAS COUNTY &amp; DISTRICT RET"</f>
        <v>TEXAS COUNTY &amp; DISTRICT RET</v>
      </c>
    </row>
    <row r="3069" spans="1:7" x14ac:dyDescent="0.25">
      <c r="A3069" t="s">
        <v>571</v>
      </c>
      <c r="B3069">
        <v>47663</v>
      </c>
      <c r="C3069" s="2">
        <v>1468</v>
      </c>
      <c r="D3069" s="1">
        <v>43762</v>
      </c>
      <c r="E3069" t="str">
        <f>"TEXAS LEGAL PROTECTION PLAN"</f>
        <v>TEXAS LEGAL PROTECTION PLAN</v>
      </c>
      <c r="F3069" s="2">
        <v>270</v>
      </c>
      <c r="G3069" t="str">
        <f>"TEXAS LEGAL PROTECTION PLAN"</f>
        <v>TEXAS LEGAL PROTECTION PLAN</v>
      </c>
    </row>
    <row r="3070" spans="1:7" x14ac:dyDescent="0.25">
      <c r="E3070" t="str">
        <f>"TEXAS LEGAL PROTECTION PLAN"</f>
        <v>TEXAS LEGAL PROTECTION PLAN</v>
      </c>
      <c r="F3070" s="2">
        <v>270</v>
      </c>
      <c r="G3070" t="str">
        <f>"TEXAS LEGAL PROTECTION PLAN"</f>
        <v>TEXAS LEGAL PROTECTION PLAN</v>
      </c>
    </row>
    <row r="3071" spans="1:7" x14ac:dyDescent="0.25">
      <c r="E3071" t="str">
        <f>"TEXAS LEGAL PROTECTION PLAN"</f>
        <v>TEXAS LEGAL PROTECTION PLAN</v>
      </c>
      <c r="F3071" s="2">
        <v>464</v>
      </c>
      <c r="G3071" t="str">
        <f>"TEXAS LEGAL PROTECTION PLAN"</f>
        <v>TEXAS LEGAL PROTECTION PLAN</v>
      </c>
    </row>
    <row r="3072" spans="1:7" x14ac:dyDescent="0.25">
      <c r="E3072" t="str">
        <f>"TEXAS LEGAL PROTECTION PLAN"</f>
        <v>TEXAS LEGAL PROTECTION PLAN</v>
      </c>
      <c r="F3072" s="2">
        <v>464</v>
      </c>
      <c r="G3072" t="str">
        <f>"TEXAS LEGAL PROTECTION PLAN"</f>
        <v>TEXAS LEGAL PROTECTION PLAN</v>
      </c>
    </row>
    <row r="3073" spans="1:7" x14ac:dyDescent="0.25">
      <c r="A3073" t="s">
        <v>572</v>
      </c>
      <c r="B3073">
        <v>47648</v>
      </c>
      <c r="C3073" s="2">
        <v>212.65</v>
      </c>
      <c r="D3073" s="1">
        <v>43742</v>
      </c>
      <c r="E3073" t="str">
        <f>"STUDENT LOAN"</f>
        <v>STUDENT LOAN</v>
      </c>
      <c r="F3073" s="2">
        <v>212.65</v>
      </c>
      <c r="G3073" t="str">
        <f>"STUDENT LOAN"</f>
        <v>STUDENT LOAN</v>
      </c>
    </row>
    <row r="3074" spans="1:7" x14ac:dyDescent="0.25">
      <c r="A3074" t="s">
        <v>572</v>
      </c>
      <c r="B3074">
        <v>47662</v>
      </c>
      <c r="C3074" s="2">
        <v>212.65</v>
      </c>
      <c r="D3074" s="1">
        <v>43756</v>
      </c>
      <c r="E3074" t="str">
        <f>"STUDENT LOAN"</f>
        <v>STUDENT LOAN</v>
      </c>
      <c r="F3074" s="2">
        <v>212.65</v>
      </c>
      <c r="G3074" t="str">
        <f>"STUDENT LOAN"</f>
        <v>STUDENT LOAN</v>
      </c>
    </row>
    <row r="3075" spans="1:7" x14ac:dyDescent="0.25">
      <c r="B3075" s="3" t="s">
        <v>573</v>
      </c>
      <c r="C3075" s="2">
        <f>SUM(C2:C3074)</f>
        <v>3553507.1900000004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AP-CHK-RPT-20191210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Laurie Ingram</cp:lastModifiedBy>
  <dcterms:created xsi:type="dcterms:W3CDTF">2019-12-10T22:10:51Z</dcterms:created>
  <dcterms:modified xsi:type="dcterms:W3CDTF">2019-12-17T16:26:47Z</dcterms:modified>
</cp:coreProperties>
</file>