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200508" sheetId="1" r:id="rId1"/>
  </sheets>
  <calcPr calcId="0"/>
</workbook>
</file>

<file path=xl/calcChain.xml><?xml version="1.0" encoding="utf-8"?>
<calcChain xmlns="http://schemas.openxmlformats.org/spreadsheetml/2006/main">
  <c r="C2712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E182" i="1"/>
  <c r="F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G230" i="1"/>
  <c r="H230" i="1"/>
  <c r="I230" i="1"/>
  <c r="G231" i="1"/>
  <c r="H231" i="1"/>
  <c r="I231" i="1"/>
  <c r="G232" i="1"/>
  <c r="H232" i="1"/>
  <c r="I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G574" i="1"/>
  <c r="H574" i="1"/>
  <c r="I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E625" i="1"/>
  <c r="F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G637" i="1"/>
  <c r="H637" i="1"/>
  <c r="I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G709" i="1"/>
  <c r="H709" i="1"/>
  <c r="I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G726" i="1"/>
  <c r="H726" i="1"/>
  <c r="I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G753" i="1"/>
  <c r="H753" i="1"/>
  <c r="I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G917" i="1"/>
  <c r="H917" i="1"/>
  <c r="I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G1100" i="1"/>
  <c r="H1100" i="1"/>
  <c r="I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G1387" i="1"/>
  <c r="H1387" i="1"/>
  <c r="I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</calcChain>
</file>

<file path=xl/sharedStrings.xml><?xml version="1.0" encoding="utf-8"?>
<sst xmlns="http://schemas.openxmlformats.org/spreadsheetml/2006/main" count="555" uniqueCount="425">
  <si>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</si>
  <si>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</si>
  <si>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</si>
  <si>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</si>
  <si>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</si>
  <si>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</si>
  <si>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</si>
  <si>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</si>
  <si>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</si>
  <si>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304 CONSTRUCTION LLC</t>
  </si>
  <si>
    <t>WILLIAM E. SUMNER</t>
  </si>
  <si>
    <t>973 MATERIALS  LLC</t>
  </si>
  <si>
    <t>A PLUS BAIL BONDS</t>
  </si>
  <si>
    <t>ARNOLD OIL COMPANY OF AUSTIN LP</t>
  </si>
  <si>
    <t>AAA FIRE &amp; SAFETY EQUIP CO.  INC.</t>
  </si>
  <si>
    <t>AARON CAWTHON</t>
  </si>
  <si>
    <t>ACE MART RESTAURANT SUPPLY</t>
  </si>
  <si>
    <t>ADAM DAKOTA ROWINS</t>
  </si>
  <si>
    <t>ADENA LEWIS</t>
  </si>
  <si>
    <t>AHERN RENTALS  INC.</t>
  </si>
  <si>
    <t>ALAMO AREA COUNCIL OF GOVERNMENT</t>
  </si>
  <si>
    <t>ALAMO  GROUP (TX)  INC</t>
  </si>
  <si>
    <t>ALBERT NEAL PFEIFFER</t>
  </si>
  <si>
    <t>ALEJANDRO RODRIGUEZ</t>
  </si>
  <si>
    <t>TIMOTHY HALL</t>
  </si>
  <si>
    <t>AMAZON CAPITAL SERVICES INC</t>
  </si>
  <si>
    <t>AMERICAN TIRE DISTRIBUTORS INC</t>
  </si>
  <si>
    <t>AMERISOURCEBERGEN</t>
  </si>
  <si>
    <t>AMG PRINTING &amp; MAILING  LLC</t>
  </si>
  <si>
    <t>ANDERSON &amp; ANDERSON LAW FIRM PC</t>
  </si>
  <si>
    <t>ANDERSON MACHINERY AUSTIN INC</t>
  </si>
  <si>
    <t>C APPLEMAN ENT INC</t>
  </si>
  <si>
    <t>AQUA BEVERAGE COMPANY/OZARKA</t>
  </si>
  <si>
    <t>AQUA WATER SUPPLY CORPORATION</t>
  </si>
  <si>
    <t>ASSOCIATED SUPPLY COMPANY  INC.</t>
  </si>
  <si>
    <t>ASHLEY HERMANS</t>
  </si>
  <si>
    <t>ASSOC OF FILM COMMISSIONERS INTL</t>
  </si>
  <si>
    <t>AT&amp;T</t>
  </si>
  <si>
    <t>AT&amp;T MOBILITY</t>
  </si>
  <si>
    <t>AT&amp;T MOBILITY-W&amp;M</t>
  </si>
  <si>
    <t>GATEHOUSE MEDIA TEXAS HOLDINGS II  INC.</t>
  </si>
  <si>
    <t>BUTLER &amp; BURNS EAR NOSE &amp; THROAT ASSO</t>
  </si>
  <si>
    <t>AUSTIN RETINA ASSSOCIATES</t>
  </si>
  <si>
    <t>MICHAEL OLDHAM TIRE INC</t>
  </si>
  <si>
    <t>EDUARDO BARRIENTOS</t>
  </si>
  <si>
    <t>BASTROP BAIL BONDS</t>
  </si>
  <si>
    <t>BASTROP COUNTY SHERIFF'S DEPT</t>
  </si>
  <si>
    <t>="11</t>
  </si>
  <si>
    <t>896"</t>
  </si>
  <si>
    <t>328"</t>
  </si>
  <si>
    <t>896  01/03/20"</t>
  </si>
  <si>
    <t>DANIEL L HEPKER</t>
  </si>
  <si>
    <t>BASTROP COUNTY CARES</t>
  </si>
  <si>
    <t>BASTROP COUNTY EMERGENCY FOOD PANTRY</t>
  </si>
  <si>
    <t>BASTROP COUNTY FIRST RESPONDERS  INC.</t>
  </si>
  <si>
    <t>BASTROP POLICE DEPT</t>
  </si>
  <si>
    <t>BASTROP PROVIDENCE  LLC</t>
  </si>
  <si>
    <t>BAYER CORPORATION</t>
  </si>
  <si>
    <t>DAVID H OUTON</t>
  </si>
  <si>
    <t>BELL COUNTY SHERIFF</t>
  </si>
  <si>
    <t>BEN E KEITH CO.</t>
  </si>
  <si>
    <t>B C FOOD GROUP  LLC</t>
  </si>
  <si>
    <t>MAURINE MC LEAN</t>
  </si>
  <si>
    <t>BIMBO FOODS INC</t>
  </si>
  <si>
    <t>BLAS J. COY  JR.</t>
  </si>
  <si>
    <t>BLUE 360 MEDIA  LLC</t>
  </si>
  <si>
    <t>BLUEBONNET AREA CRIME STOPPERS PROGRAM</t>
  </si>
  <si>
    <t>BLUEBONNET ELECTRIC COOPERATIVE  INC.</t>
  </si>
  <si>
    <t>BLUEBONNET ELECTRIC</t>
  </si>
  <si>
    <t>BLUEBONNET TRAILS MHMR</t>
  </si>
  <si>
    <t>BOTACH INC.</t>
  </si>
  <si>
    <t>BRAUNTEX MATERIALS INC</t>
  </si>
  <si>
    <t>LAW OFFICE OF BRYAN W. MCDANIEL  P.C.</t>
  </si>
  <si>
    <t>BUREAU OF VITAL STATISTICS</t>
  </si>
  <si>
    <t>BURNET COUNTY SHERIFF</t>
  </si>
  <si>
    <t>CAPITAL AREA METROPOLITAN PLANNING ORGANIZATION</t>
  </si>
  <si>
    <t>CAPITAL AREA COUNCIL OF GOVERNMENTS</t>
  </si>
  <si>
    <t>CAPITOL BEARING SERVICE OF AUSTIN  INC.</t>
  </si>
  <si>
    <t>TIB-THE INDEPENDENT BANKERS BANK</t>
  </si>
  <si>
    <t>CDW GOVERNMENT INC</t>
  </si>
  <si>
    <t>CENTERLINE SUPPLY  INC.</t>
  </si>
  <si>
    <t>CENTERPOINT ENERGY</t>
  </si>
  <si>
    <t>CENTEX IMAGE DESIGNS  LLC</t>
  </si>
  <si>
    <t>CHARLES W CARVER</t>
  </si>
  <si>
    <t>CHARM-TEX</t>
  </si>
  <si>
    <t>CHRIS MATT DILLON</t>
  </si>
  <si>
    <t>CINTAS</t>
  </si>
  <si>
    <t>CINTAS CORPORATION</t>
  </si>
  <si>
    <t>CINTAS CORPORATION #86</t>
  </si>
  <si>
    <t>CITIBANK</t>
  </si>
  <si>
    <t>CITY OF AUSTIN</t>
  </si>
  <si>
    <t>CITY OF BASTROP</t>
  </si>
  <si>
    <t>CLARKE KENT PLUMBING INC</t>
  </si>
  <si>
    <t>CLIFFORD POWER SYSTEMS INC</t>
  </si>
  <si>
    <t>CLINICAL PATHOLOGY LABORATORIES INC</t>
  </si>
  <si>
    <t>CLINICAL PATHOLOGY ASSOC. OF AUSTIN</t>
  </si>
  <si>
    <t>CNA SURETY</t>
  </si>
  <si>
    <t>COKE COUNTY CONSTABLE  PCT #1</t>
  </si>
  <si>
    <t>COLORADO MATERIALS CO.</t>
  </si>
  <si>
    <t>COLUMBUS EYE ASSOCIATES</t>
  </si>
  <si>
    <t>COMMUNITY COFFEE COMPANY LLC</t>
  </si>
  <si>
    <t>COMMUNITY HEALTH CENTERS</t>
  </si>
  <si>
    <t>CONTECH ENGINEERED SOLUTIONS INC</t>
  </si>
  <si>
    <t>CONVERGENCE CABLING  INC.</t>
  </si>
  <si>
    <t>COVERT CHEVROLET-OLDS</t>
  </si>
  <si>
    <t>BUTLER ANIMAL HEALTH HOLDING COMPANY  LLC</t>
  </si>
  <si>
    <t>FARBER INC</t>
  </si>
  <si>
    <t>CUMMINS-ALLISON CORP</t>
  </si>
  <si>
    <t>CUSTOM PRODUCTS CORPORATION</t>
  </si>
  <si>
    <t>DALLAS COUNTY CONSTABLE PCT 1</t>
  </si>
  <si>
    <t>DARLON J. SOJAK</t>
  </si>
  <si>
    <t>DAVID B BROOKS</t>
  </si>
  <si>
    <t>DAVID CONTI</t>
  </si>
  <si>
    <t>DAVID M COLLINS</t>
  </si>
  <si>
    <t>DEBRA A DENNY</t>
  </si>
  <si>
    <t>DELL</t>
  </si>
  <si>
    <t>DICKENS LOCKSMITH INC</t>
  </si>
  <si>
    <t>DEPARTMENT OF INFORMATION RESOURCES</t>
  </si>
  <si>
    <t>DISCOUNT DOOR &amp; METAL  LLC</t>
  </si>
  <si>
    <t>THE REINALT - THOMAS CORPORATION</t>
  </si>
  <si>
    <t>DONNIE STARK</t>
  </si>
  <si>
    <t>DOUBLE D INTERNATIONAL FOOD CO.  INC.</t>
  </si>
  <si>
    <t>DOUBLE TUFF TRUCK TARPS INC</t>
  </si>
  <si>
    <t>KRISTI ARRINGTON KALLINA</t>
  </si>
  <si>
    <t>DUNNE &amp; JUAREZ L.L.C.</t>
  </si>
  <si>
    <t>DAVID MCMULLEN</t>
  </si>
  <si>
    <t>ECOLAB INC</t>
  </si>
  <si>
    <t>BLACKLANDS PUBLICATIONS INC</t>
  </si>
  <si>
    <t>ELGIN POLICE DEPARTMENT</t>
  </si>
  <si>
    <t>CITY OF ELGIN UTILITIES</t>
  </si>
  <si>
    <t>ELISA SAVOIE</t>
  </si>
  <si>
    <t>ELISEO SANCHEZ</t>
  </si>
  <si>
    <t>ELYZABETH WHITED</t>
  </si>
  <si>
    <t>EXCELL ENVIRONMENTAL INC</t>
  </si>
  <si>
    <t>UNIVERSITY LODGING PARTNERS LP</t>
  </si>
  <si>
    <t>BASTROP COUNTY WOMEN'S SHELTER</t>
  </si>
  <si>
    <t>FENIEX INDUSTRIES  INC.</t>
  </si>
  <si>
    <t>FERGUSON ENTERPRISES  INC.</t>
  </si>
  <si>
    <t>FLEETPRIDE</t>
  </si>
  <si>
    <t>FOREMOST COUNTY MUTUAL INS CO</t>
  </si>
  <si>
    <t>="15</t>
  </si>
  <si>
    <t>347  01/31/20"</t>
  </si>
  <si>
    <t>FORENSIC ANALYTICAL SCIENCES INC.</t>
  </si>
  <si>
    <t>FORREST L. SANDERSON</t>
  </si>
  <si>
    <t>FRANCES HUNTER</t>
  </si>
  <si>
    <t>AUSTIN TRUCK AND EQUIPMENT  LTD</t>
  </si>
  <si>
    <t>EUGENE W BRIGGS JR</t>
  </si>
  <si>
    <t>GALLS PARENT HOLDINGS LLC</t>
  </si>
  <si>
    <t>GARMENTS TO GO  INC</t>
  </si>
  <si>
    <t>GERALD L. BYINGTON</t>
  </si>
  <si>
    <t>GOODWILL INDUSTRIES OF CENTRAL TX</t>
  </si>
  <si>
    <t>GOVERNMENT FORMS AND SUPPLIES LLC</t>
  </si>
  <si>
    <t>GRAINGER INC</t>
  </si>
  <si>
    <t>GT DISTRIBUTORS  INC.</t>
  </si>
  <si>
    <t>GUADALUPE COUNTY SHERIFF</t>
  </si>
  <si>
    <t>GULF COAST PAPER CO. INC.</t>
  </si>
  <si>
    <t>H.A. GRAY &amp; ASSOCIATES</t>
  </si>
  <si>
    <t>HORACE D. BLACK  JR.</t>
  </si>
  <si>
    <t>HALFF ASSOCIATES</t>
  </si>
  <si>
    <t>KIMBERLY SUE HARRISON</t>
  </si>
  <si>
    <t>HAYLEY STITELER</t>
  </si>
  <si>
    <t>HCI</t>
  </si>
  <si>
    <t>HENGST PRINTING &amp; SUPPLIES</t>
  </si>
  <si>
    <t>HERITAGE FOOD SERVICES GROUP</t>
  </si>
  <si>
    <t>HERSHCAP BACKHOE &amp; DITCHING  INC.</t>
  </si>
  <si>
    <t>="10</t>
  </si>
  <si>
    <t>658  01/08/20"</t>
  </si>
  <si>
    <t>HERTZ CORPORATION</t>
  </si>
  <si>
    <t>HI-LINE</t>
  </si>
  <si>
    <t>HIGHWAY INTERDICTION TRAINING SPECIALISTS INC</t>
  </si>
  <si>
    <t>BASCOM L HODGES JR</t>
  </si>
  <si>
    <t>HODGSON G ECKEL</t>
  </si>
  <si>
    <t>BD HOLT CO</t>
  </si>
  <si>
    <t>CITIBANK (SOUTH DAKOTA)N.A./THE HOME DEPOT</t>
  </si>
  <si>
    <t>NORTHWEST CASCADE INC</t>
  </si>
  <si>
    <t>AMERICAS EQUINE WAREHOUSE  INC.</t>
  </si>
  <si>
    <t>GREGORY LUCAS</t>
  </si>
  <si>
    <t>HVAC</t>
  </si>
  <si>
    <t>HYDRAULIC HOUSE INC</t>
  </si>
  <si>
    <t>ICS</t>
  </si>
  <si>
    <t>IDW LLC</t>
  </si>
  <si>
    <t>INDIGENT HEALTHCARE SOLUTIONS</t>
  </si>
  <si>
    <t>INTERSTATE BILLING SERVICE INC</t>
  </si>
  <si>
    <t>IRON MOUNTAIN RECORDS MGMT INC</t>
  </si>
  <si>
    <t>JENKINS &amp; JENKINS LLP</t>
  </si>
  <si>
    <t>383  01/09/20"</t>
  </si>
  <si>
    <t>JAMES MORGAN</t>
  </si>
  <si>
    <t>JOHN DEERE FINANCIAL f.s.b.</t>
  </si>
  <si>
    <t>JOHN DELANEY</t>
  </si>
  <si>
    <t>JOHN KLEMM</t>
  </si>
  <si>
    <t>JOHN S. PHILLIPS</t>
  </si>
  <si>
    <t>JOHNNA GRIFFITH</t>
  </si>
  <si>
    <t>JONATHAN CRUZ-ORTIZ</t>
  </si>
  <si>
    <t>="16</t>
  </si>
  <si>
    <t>720"</t>
  </si>
  <si>
    <t>JORDAN BATTERSBY  MCDONALD</t>
  </si>
  <si>
    <t>JBI  LTD</t>
  </si>
  <si>
    <t>JUSTIN LOSOYA</t>
  </si>
  <si>
    <t>JUSTIN MATTHEW FOHN</t>
  </si>
  <si>
    <t>KAREN STARKS</t>
  </si>
  <si>
    <t>="8</t>
  </si>
  <si>
    <t>898  01/06/20"</t>
  </si>
  <si>
    <t>KATIE STONER</t>
  </si>
  <si>
    <t>KELLIE BAILEY</t>
  </si>
  <si>
    <t>KEN'S BODY SHOP  LLC</t>
  </si>
  <si>
    <t>KENNETH E. LIMUEL JR</t>
  </si>
  <si>
    <t>KENNETH LIMUEL</t>
  </si>
  <si>
    <t>KENT BROUSSARD TOWER RENTAL INC</t>
  </si>
  <si>
    <t>KING'S PORTABLE THRONES</t>
  </si>
  <si>
    <t>KOETTER FIRE PROTECTION OF AUSTIN  LLC</t>
  </si>
  <si>
    <t>LONGHORN INTERNATIONAL TRUCKS LTD</t>
  </si>
  <si>
    <t>THE LA GRANGE PARTS HOUSE INC</t>
  </si>
  <si>
    <t>LABATT INSTITUTIONAL SUPPLY CO</t>
  </si>
  <si>
    <t>LARRY WUNSCH &amp; ASSOCIATES</t>
  </si>
  <si>
    <t>LAURA ROBERTSON</t>
  </si>
  <si>
    <t>LAURENCE DUNNE  II</t>
  </si>
  <si>
    <t>LUCIO LEAL</t>
  </si>
  <si>
    <t>LENNOX INDUSTRIES INC</t>
  </si>
  <si>
    <t>LEXISNEXIS RISK DATA MGMT INC</t>
  </si>
  <si>
    <t>LIBERTY TIRE RECYCLING</t>
  </si>
  <si>
    <t>LINDA HARMON - TAX-ASSESSOR</t>
  </si>
  <si>
    <t>LINDA HARMON-TAX ASSESSOR</t>
  </si>
  <si>
    <t>LISA M. MIMS</t>
  </si>
  <si>
    <t>LONE STAR CIRCLE OF CARE</t>
  </si>
  <si>
    <t>LONGHORN EMERGENCY MEDICAL ASSOC PA</t>
  </si>
  <si>
    <t>LONNIE LAWRENCE DAVIS JR</t>
  </si>
  <si>
    <t>TRUBAR  LLC</t>
  </si>
  <si>
    <t>LOWE'S</t>
  </si>
  <si>
    <t>MAGIC TOUCH CLEANING SYSTEMS LLC</t>
  </si>
  <si>
    <t>MARIA ANFOSSO</t>
  </si>
  <si>
    <t>MARK T. MALONE  M.D. P.A</t>
  </si>
  <si>
    <t>JOHN W GASPARINI INC</t>
  </si>
  <si>
    <t>MARY ANGELA FREEMAN</t>
  </si>
  <si>
    <t>MARY BETH SCOTT</t>
  </si>
  <si>
    <t>MATHESON TRI-GAS INC</t>
  </si>
  <si>
    <t>ROGER C MATHIS</t>
  </si>
  <si>
    <t>MAUREEN S BURROWS MD MPH</t>
  </si>
  <si>
    <t>McCOURT EQUIPMENT  INC.</t>
  </si>
  <si>
    <t>McCOY'S BUILDING SUPPLY CENTER</t>
  </si>
  <si>
    <t>McCREARY  VESELKA  BRAGG &amp; ALLEN P</t>
  </si>
  <si>
    <t>McKESSON MEDICAL-SURGIVAL GOVERNMENT SOLUTIONS LLC</t>
  </si>
  <si>
    <t>MEDIMPACT HEALTHCARE SYSTEMS INC</t>
  </si>
  <si>
    <t>MEGAN FAITH ANDERSON</t>
  </si>
  <si>
    <t>MELLANIE MICKELSON</t>
  </si>
  <si>
    <t>MICHELE FRITSCHE C.S.R.</t>
  </si>
  <si>
    <t>MIDTEX MATERIALS</t>
  </si>
  <si>
    <t>MIRIAM CORONADO</t>
  </si>
  <si>
    <t>TUCKER WITHINGTON BRISCOE</t>
  </si>
  <si>
    <t>SANDRA JEAN GOERTZ</t>
  </si>
  <si>
    <t>BLAKE ROBERT CLAMPFFER</t>
  </si>
  <si>
    <t>JONATHAN XAVIER CHAVEZ SANCHEZ</t>
  </si>
  <si>
    <t>JACKIE VAN EVANS</t>
  </si>
  <si>
    <t>MARISA JANIRA GARCIA</t>
  </si>
  <si>
    <t>CRAIG EDWARD COSGROVE</t>
  </si>
  <si>
    <t>VICTORIA MAXWELL ALLEN</t>
  </si>
  <si>
    <t>MIGUEL ANGEL DELACRUZ</t>
  </si>
  <si>
    <t>JO LYNN COHEN</t>
  </si>
  <si>
    <t>SALLIE SKELLEY BLALOCK</t>
  </si>
  <si>
    <t>MONTGOMERY TECHNOLOGY SYSTEMS LLC</t>
  </si>
  <si>
    <t>MOTOROLA SOLUTIONS  IN.C</t>
  </si>
  <si>
    <t>MOUNTAIN WEST DERM-AUSTIN PLLC</t>
  </si>
  <si>
    <t>EK&amp;R ENTERPRISES  INC</t>
  </si>
  <si>
    <t>NALLEY HVAC MECHANICAL LLC</t>
  </si>
  <si>
    <t>NANCY A LOZANO  CSR</t>
  </si>
  <si>
    <t>NATIONAL COMMERCIAL SERVICES</t>
  </si>
  <si>
    <t>835"</t>
  </si>
  <si>
    <t>NATIONAL FOOD GROUP INC</t>
  </si>
  <si>
    <t>WILLIAM HAROLD NELSON</t>
  </si>
  <si>
    <t>JOHN NIXON</t>
  </si>
  <si>
    <t>O'REILLY AUTOMOTIVE  INC.</t>
  </si>
  <si>
    <t>DEAN FOODS COMPANY</t>
  </si>
  <si>
    <t>OFFICE DEPOT</t>
  </si>
  <si>
    <t>ON SITE SERVICES</t>
  </si>
  <si>
    <t>ROGER C. OSBORN</t>
  </si>
  <si>
    <t>OSBURN ASSOCIATES INC.</t>
  </si>
  <si>
    <t>P SQUARED EMULSION PLANTS  LLC</t>
  </si>
  <si>
    <t>PAIGE TRACTORS INC</t>
  </si>
  <si>
    <t>PAPER RETRIEVER OF TEXAS</t>
  </si>
  <si>
    <t>SL PARKER PARTNERSHIP LLC</t>
  </si>
  <si>
    <t>PATRICK ELECTRIC SERVICE</t>
  </si>
  <si>
    <t>PATTERSON  VETERINARY SUPPLY INC</t>
  </si>
  <si>
    <t>PATTILLO  BROWN &amp; HILL   LLP</t>
  </si>
  <si>
    <t>PHILIP R DUCLOUX</t>
  </si>
  <si>
    <t>CLYDE HAYWOOD SR</t>
  </si>
  <si>
    <t>AMERICAN PIZZA PARTNERS LP</t>
  </si>
  <si>
    <t>POST OAK HARDWARE  INC.</t>
  </si>
  <si>
    <t>POSTMASTER</t>
  </si>
  <si>
    <t>ELGIN PROVIDENCE LLC</t>
  </si>
  <si>
    <t>R.R. BRINK LOCKING SYSTEMS INC</t>
  </si>
  <si>
    <t>NESTLE WATERS N AMERICA INC</t>
  </si>
  <si>
    <t>RED WING BUSINESS ADVANTAGE ACCOUNT</t>
  </si>
  <si>
    <t>T7 ENTERPRISES  LLC</t>
  </si>
  <si>
    <t>NRG ENERGY INC</t>
  </si>
  <si>
    <t>REPUBLIC TRUCK SALES   PARTS  &amp; REPAIRS LLC</t>
  </si>
  <si>
    <t>RESERVE ACCOUNT</t>
  </si>
  <si>
    <t>REYNOLDS &amp; KEINARTH</t>
  </si>
  <si>
    <t>RIATA FORD</t>
  </si>
  <si>
    <t>RICOH USA INC</t>
  </si>
  <si>
    <t>ROADRUNNER RADIOLOGY EQUIP LLC</t>
  </si>
  <si>
    <t>ROBERT MADDEN INDUSTRIES LTD</t>
  </si>
  <si>
    <t>ROCKLER COMPANIES  INC.</t>
  </si>
  <si>
    <t>ROSE PIETSCH</t>
  </si>
  <si>
    <t>ROSE PIETSCH COUNTY CLERK</t>
  </si>
  <si>
    <t>ROUND ROCK SURGERY CENTER LLC</t>
  </si>
  <si>
    <t>RUTH A. CARROLL</t>
  </si>
  <si>
    <t>SAM HOUSTON STATE UNIVERSITY</t>
  </si>
  <si>
    <t>SAMMY LERMA III MD</t>
  </si>
  <si>
    <t>SCHLEICHER COUNTY SHERIFF</t>
  </si>
  <si>
    <t>SECURUS TECHNOLOGIES INC</t>
  </si>
  <si>
    <t>SETON FAMILY OF HOSPITALS</t>
  </si>
  <si>
    <t>SETON HEALTHCARE SPONSORED PROJECTS</t>
  </si>
  <si>
    <t>SHARON HANCOCK</t>
  </si>
  <si>
    <t>="14</t>
  </si>
  <si>
    <t>962  01/10/20"</t>
  </si>
  <si>
    <t>FERRELLGAS  LP</t>
  </si>
  <si>
    <t>HEIDI MICHELLE BRAND</t>
  </si>
  <si>
    <t>SHI GOVERNMENT SOLUTIONS INC.</t>
  </si>
  <si>
    <t>SHRED-IT US HOLDCO  INC</t>
  </si>
  <si>
    <t>SINGLETON ASSOCIATES  PA</t>
  </si>
  <si>
    <t>SIRCHIE FINGER PRINT LABORATORIES</t>
  </si>
  <si>
    <t>SMITH STORES  INC.</t>
  </si>
  <si>
    <t>SMITHVILLE AUTO PARTS  INC</t>
  </si>
  <si>
    <t>SMITHVILLE POLICE DEPT.</t>
  </si>
  <si>
    <t>SOUTHERN TIRE MART LLC</t>
  </si>
  <si>
    <t>DS WATERS OF AMERICA INC</t>
  </si>
  <si>
    <t>SPECIALTY VETERINARY PHARMACY INC</t>
  </si>
  <si>
    <t>ST. DAVIDS HEART &amp; VASCULAR  PLLC</t>
  </si>
  <si>
    <t>ST. MARK'S MEDICAL CENTER</t>
  </si>
  <si>
    <t>STAPLES  INC.</t>
  </si>
  <si>
    <t>STATE OF TEXAS</t>
  </si>
  <si>
    <t>STEPHEN KUHN</t>
  </si>
  <si>
    <t>STEVE GRANADO</t>
  </si>
  <si>
    <t>MATTHEW LEE SULLINS</t>
  </si>
  <si>
    <t>SUN COAST RESOURCES</t>
  </si>
  <si>
    <t>SURGICAL ASSOCIATES OF AUSTIN</t>
  </si>
  <si>
    <t>TALLEY INC</t>
  </si>
  <si>
    <t>TOTAL ADMINISTRATIVE SERVICES CORPORATION</t>
  </si>
  <si>
    <t>TAVCO SERVICES INC</t>
  </si>
  <si>
    <t>TAYLOR AUTO ELECTRIC INC.</t>
  </si>
  <si>
    <t>TAYLOR SECURITY SYSTEMS  LLC</t>
  </si>
  <si>
    <t>TEXAS COMMISSION ON LAW ENFORCEMENT</t>
  </si>
  <si>
    <t>TEJAS ELEVATOR COMPANY</t>
  </si>
  <si>
    <t>AIR RELIEF TECHNOLOGIES  INC</t>
  </si>
  <si>
    <t>JOHN J FIETSAM INC</t>
  </si>
  <si>
    <t>TEX-CON OIL CO</t>
  </si>
  <si>
    <t>TEXAN EYE  P.A.</t>
  </si>
  <si>
    <t>TEXAS AGGREGATES  LLC</t>
  </si>
  <si>
    <t>TEXAS ASSOCIATES INSURORS AGENCY</t>
  </si>
  <si>
    <t>TEXAS ASSOCIATION OF COUNTIES</t>
  </si>
  <si>
    <t>CONSELMAN RETAIL ENTERPRISES LLC</t>
  </si>
  <si>
    <t>TEXAS COLLEGE OF PROBATE JUDGES</t>
  </si>
  <si>
    <t>TEXAS CONFERENCE OF URBAN COUNTIES</t>
  </si>
  <si>
    <t>TEXAS CORRUGATORS INC</t>
  </si>
  <si>
    <t>TEXAS CRUSHED STONE CO.</t>
  </si>
  <si>
    <t>TEXAS DEPARTMENT OF AGRICULTURE</t>
  </si>
  <si>
    <t>TEXAS DEPARTMENT OF MOTOR VEHICLES</t>
  </si>
  <si>
    <t>TEXAS DEPT OF PUBLIC SAFETY</t>
  </si>
  <si>
    <t>TEXAS DISPOSAL SYSTEMS  INC.</t>
  </si>
  <si>
    <t>TEXAS EQUINE MEDICAL ASSOCIATES</t>
  </si>
  <si>
    <t>TEXAS MATERIALS GROUP  INC.</t>
  </si>
  <si>
    <t>TEXAS PARKS &amp; WILDLIFE DEPARTMENT</t>
  </si>
  <si>
    <t>TEXAS POLICE CHIEFS ASSOCIATION FOUNDATION</t>
  </si>
  <si>
    <t>TEXAS RETINA INSTITUTE</t>
  </si>
  <si>
    <t>TEXAS STATE UNIVERSITY</t>
  </si>
  <si>
    <t>TEXAS VISION CLINIC  PLLC</t>
  </si>
  <si>
    <t>TEXAS WORKFORCE COMMISSION</t>
  </si>
  <si>
    <t>BUG MASTER EXTERMINATING SERVICES  LTD</t>
  </si>
  <si>
    <t>RICHARD NELSON MOORE</t>
  </si>
  <si>
    <t>WEST PUBLISHING CORPORATION</t>
  </si>
  <si>
    <t>TIM MAHONEY  ATTORNEY AT LAW  PC</t>
  </si>
  <si>
    <t>TWE-ADVANCE/NEWHOUSE PARTNERSHIP</t>
  </si>
  <si>
    <t>TOM GREEN COUNTY SHERIFF</t>
  </si>
  <si>
    <t>TOWER TECH SERVICES  INC.</t>
  </si>
  <si>
    <t>TRACTOR SUPPLY CREDIT PLAN</t>
  </si>
  <si>
    <t>TRAVIS COUNTY CLERK</t>
  </si>
  <si>
    <t>TRAVIS COUNTY CONSTABLE PCT 5</t>
  </si>
  <si>
    <t>TRAVIS COUNTY EMERGENCY PHYSICIANS PA</t>
  </si>
  <si>
    <t>TRAVIS COUNTY MEDICAL EXAMINER</t>
  </si>
  <si>
    <t>KAUFFMAN TIRE</t>
  </si>
  <si>
    <t>SETON FAMILY OF DOCTORS</t>
  </si>
  <si>
    <t>TRP CONSTRUTION GROUP  LLC</t>
  </si>
  <si>
    <t>TTIA</t>
  </si>
  <si>
    <t>TULL FARLEY</t>
  </si>
  <si>
    <t>TVMDL</t>
  </si>
  <si>
    <t>TYLER TECHNOLOGIES INC</t>
  </si>
  <si>
    <t>COUFAL-PRATER EQUIPMENT  LLC</t>
  </si>
  <si>
    <t>UNITED REFRIGERATION INC</t>
  </si>
  <si>
    <t>UNIVERSITY OF TEXAS</t>
  </si>
  <si>
    <t>U S ANESTHESIA PARTNERS OF TEXAS PA</t>
  </si>
  <si>
    <t>VIKING FENCE CO INC</t>
  </si>
  <si>
    <t>TEXAS DEPARTMENT OF STATE HEALTH SERVICES</t>
  </si>
  <si>
    <t>US BANK NA</t>
  </si>
  <si>
    <t>WAGEWORKS INC  FSA/HSA</t>
  </si>
  <si>
    <t>WALLER COUNTY ASPHALT INC</t>
  </si>
  <si>
    <t>WASTE CONNECTIONS LONE STAR. INC.</t>
  </si>
  <si>
    <t>WASTE MANAGEMENT OF TEXAS  INC</t>
  </si>
  <si>
    <t>WATCH GUARD VIDEO</t>
  </si>
  <si>
    <t>MAO PHARMACY INC</t>
  </si>
  <si>
    <t>WJC CONSTRUCTORS SERVICES  LLC</t>
  </si>
  <si>
    <t>ZOETIS US LLC</t>
  </si>
  <si>
    <t>ZURICH DIRECT UNDERWRITERS</t>
  </si>
  <si>
    <t>="13</t>
  </si>
  <si>
    <t>753"</t>
  </si>
  <si>
    <t>BASTROP COUNTY</t>
  </si>
  <si>
    <t>CONNIE CAMERON RABEL</t>
  </si>
  <si>
    <t>GRAPEVINE DODGE CHRYSLER JEEP  LLC</t>
  </si>
  <si>
    <t>KNIGHT SECURITY SYSTEMS LLC</t>
  </si>
  <si>
    <t>CAT5 COMMERCE  LLC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</si>
  <si>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</si>
  <si>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</si>
  <si>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</si>
  <si>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</si>
  <si>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</si>
  <si>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</si>
  <si>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</si>
  <si>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</si>
  <si>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GERALD FLORES OLIVO</t>
  </si>
  <si>
    <t>PHI AIR MEDICAL  LLC</t>
  </si>
  <si>
    <t>TAC HEALTH BENEFITS POOL</t>
  </si>
  <si>
    <t>TEXAS ATTY.GENERAL'S OFFICE</t>
  </si>
  <si>
    <t>TEXAS CNTY &amp; DIST RETIREMENT SYS</t>
  </si>
  <si>
    <t>TEXAS LEGAL PROTECTION PLAN INC</t>
  </si>
  <si>
    <t>U.S. DEPT OF EDUCATION AWG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</si>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</sst>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1"/>
  <sheetViews>
    <sheetView tabSelected="1" workbookViewId="0"/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21" bestFit="1" customWidth="1"/>
    <col min="6" max="6" width="35" bestFit="1" customWidth="1"/>
    <col min="7" max="7" width="30.140625" style="2" bestFit="1" customWidth="1"/>
    <col min="8" max="8" width="3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130897</v>
      </c>
      <c r="C2" s="2">
        <v>120</v>
      </c>
      <c r="D2" s="1">
        <v>43885</v>
      </c>
      <c r="E2" t="str">
        <f>"202002125296"</f>
        <v>202002125296</v>
      </c>
      <c r="F2" t="str">
        <f>"REFUND BAIL BOND COUPONS"</f>
        <v>REFUND BAIL BOND COUPONS</v>
      </c>
      <c r="G2" s="2">
        <v>120</v>
      </c>
      <c r="H2" t="str">
        <f>"REFUND BAIL BOND COUPONS"</f>
        <v>REFUND BAIL BOND COUPONS</v>
      </c>
    </row>
    <row r="3" spans="1:8" x14ac:dyDescent="0.25">
      <c r="A3" t="s">
        <v>9</v>
      </c>
      <c r="B3">
        <v>2119</v>
      </c>
      <c r="C3" s="2">
        <v>148263.18</v>
      </c>
      <c r="D3" s="1">
        <v>43872</v>
      </c>
      <c r="E3" t="str">
        <f>"202002055155"</f>
        <v>202002055155</v>
      </c>
      <c r="F3" t="str">
        <f>"Pay App #2 - Green Valley"</f>
        <v>Pay App #2 - Green Valley</v>
      </c>
      <c r="G3" s="2">
        <v>148263.18</v>
      </c>
      <c r="H3" t="str">
        <f>"Pay App #2 - Green Valley"</f>
        <v>Pay App #2 - Green Valley</v>
      </c>
    </row>
    <row r="4" spans="1:8" x14ac:dyDescent="0.25">
      <c r="A4" t="s">
        <v>10</v>
      </c>
      <c r="B4">
        <v>2140</v>
      </c>
      <c r="C4" s="2">
        <v>24090.79</v>
      </c>
      <c r="D4" s="1">
        <v>43872</v>
      </c>
      <c r="E4" t="str">
        <f>"202001294903"</f>
        <v>202001294903</v>
      </c>
      <c r="F4" t="str">
        <f>"HAULING FEES 01/16-01/24/PCT#2"</f>
        <v>HAULING FEES 01/16-01/24/PCT#2</v>
      </c>
      <c r="G4" s="2">
        <v>24090.79</v>
      </c>
      <c r="H4" t="str">
        <f>"HAULING FEES 01/16-01/24/PCT#2"</f>
        <v>HAULING FEES 01/16-01/24/PCT#2</v>
      </c>
    </row>
    <row r="5" spans="1:8" x14ac:dyDescent="0.25">
      <c r="A5" t="s">
        <v>10</v>
      </c>
      <c r="B5">
        <v>2213</v>
      </c>
      <c r="C5" s="2">
        <v>30670.17</v>
      </c>
      <c r="D5" s="1">
        <v>43886</v>
      </c>
      <c r="E5" t="str">
        <f>"1220"</f>
        <v>1220</v>
      </c>
      <c r="F5" t="str">
        <f>"HAULING 01/27-02/06 / PCT#2"</f>
        <v>HAULING 01/27-02/06 / PCT#2</v>
      </c>
      <c r="G5" s="2">
        <v>20074.82</v>
      </c>
      <c r="H5" t="str">
        <f>"HAULING 01/27-02/06 / PCT#2"</f>
        <v>HAULING 01/27-02/06 / PCT#2</v>
      </c>
    </row>
    <row r="6" spans="1:8" x14ac:dyDescent="0.25">
      <c r="E6" t="str">
        <f>"202002185364"</f>
        <v>202002185364</v>
      </c>
      <c r="F6" t="str">
        <f>"HAULING EXPS 01/31-02/14/PCT#2"</f>
        <v>HAULING EXPS 01/31-02/14/PCT#2</v>
      </c>
      <c r="G6" s="2">
        <v>10595.35</v>
      </c>
      <c r="H6" t="str">
        <f>"HAULING EXPS 01/31-02/14/PCT#2"</f>
        <v>HAULING EXPS 01/31-02/14/PCT#2</v>
      </c>
    </row>
    <row r="7" spans="1:8" x14ac:dyDescent="0.25">
      <c r="A7" t="s">
        <v>11</v>
      </c>
      <c r="B7">
        <v>2115</v>
      </c>
      <c r="C7" s="2">
        <v>55290.83</v>
      </c>
      <c r="D7" s="1">
        <v>43872</v>
      </c>
      <c r="E7" t="str">
        <f>"9725-001-113351"</f>
        <v>9725-001-113351</v>
      </c>
      <c r="F7" t="str">
        <f>"ACCT#9725-001/REC BASE/PCT#2"</f>
        <v>ACCT#9725-001/REC BASE/PCT#2</v>
      </c>
      <c r="G7" s="2">
        <v>889.79</v>
      </c>
      <c r="H7" t="str">
        <f>"ACCT#9725-001/REC BASE/PCT#2"</f>
        <v>ACCT#9725-001/REC BASE/PCT#2</v>
      </c>
    </row>
    <row r="8" spans="1:8" x14ac:dyDescent="0.25">
      <c r="E8" t="str">
        <f>"9725-001-113736"</f>
        <v>9725-001-113736</v>
      </c>
      <c r="F8" t="str">
        <f>"ACCT#9725-001/REC BASE/PCT#2"</f>
        <v>ACCT#9725-001/REC BASE/PCT#2</v>
      </c>
      <c r="G8" s="2">
        <v>5015.63</v>
      </c>
      <c r="H8" t="str">
        <f>"ACCT#9725-001/REC BASE/PCT#2"</f>
        <v>ACCT#9725-001/REC BASE/PCT#2</v>
      </c>
    </row>
    <row r="9" spans="1:8" x14ac:dyDescent="0.25">
      <c r="E9" t="str">
        <f>"9725-001-113775"</f>
        <v>9725-001-113775</v>
      </c>
      <c r="F9" t="str">
        <f>"ACCT#9725-001/PCT#2"</f>
        <v>ACCT#9725-001/PCT#2</v>
      </c>
      <c r="G9" s="2">
        <v>221.03</v>
      </c>
      <c r="H9" t="str">
        <f>"ACCT#9725-001/PCT#2"</f>
        <v>ACCT#9725-001/PCT#2</v>
      </c>
    </row>
    <row r="10" spans="1:8" x14ac:dyDescent="0.25">
      <c r="E10" t="str">
        <f>"9725-001-113777"</f>
        <v>9725-001-113777</v>
      </c>
      <c r="F10" t="str">
        <f>"ACCT#9725-001/REC BASE/PCT#2"</f>
        <v>ACCT#9725-001/REC BASE/PCT#2</v>
      </c>
      <c r="G10" s="2">
        <v>6502.43</v>
      </c>
      <c r="H10" t="str">
        <f>"ACCT#9725-001/REC BASE/PCT#2"</f>
        <v>ACCT#9725-001/REC BASE/PCT#2</v>
      </c>
    </row>
    <row r="11" spans="1:8" x14ac:dyDescent="0.25">
      <c r="E11" t="str">
        <f>"9725-001-113797"</f>
        <v>9725-001-113797</v>
      </c>
      <c r="F11" t="str">
        <f>"ACCT#9725-001/REC BASE/PCT#2"</f>
        <v>ACCT#9725-001/REC BASE/PCT#2</v>
      </c>
      <c r="G11" s="2">
        <v>8703.5</v>
      </c>
      <c r="H11" t="str">
        <f>"ACCT#9725-001/REC BASE/PCT#2"</f>
        <v>ACCT#9725-001/REC BASE/PCT#2</v>
      </c>
    </row>
    <row r="12" spans="1:8" x14ac:dyDescent="0.25">
      <c r="E12" t="str">
        <f>"9725-001-113820"</f>
        <v>9725-001-113820</v>
      </c>
      <c r="F12" t="str">
        <f>"ACCT#9725-001/PCT#2"</f>
        <v>ACCT#9725-001/PCT#2</v>
      </c>
      <c r="G12" s="2">
        <v>5782.56</v>
      </c>
      <c r="H12" t="str">
        <f>"ACCT#9725-001/PCT#2"</f>
        <v>ACCT#9725-001/PCT#2</v>
      </c>
    </row>
    <row r="13" spans="1:8" x14ac:dyDescent="0.25">
      <c r="E13" t="str">
        <f>"9725-001-113867"</f>
        <v>9725-001-113867</v>
      </c>
      <c r="F13" t="str">
        <f>"ACCT#9725-001/REC BASE/PCT#2"</f>
        <v>ACCT#9725-001/REC BASE/PCT#2</v>
      </c>
      <c r="G13" s="2">
        <v>4418.7</v>
      </c>
      <c r="H13" t="str">
        <f>"ACCT#9725-001/REC BASE/PCT#2"</f>
        <v>ACCT#9725-001/REC BASE/PCT#2</v>
      </c>
    </row>
    <row r="14" spans="1:8" x14ac:dyDescent="0.25">
      <c r="E14" t="str">
        <f>"9725-001-113904"</f>
        <v>9725-001-113904</v>
      </c>
      <c r="F14" t="str">
        <f>"ACCT#9725-001/REC BASE/PCT#2"</f>
        <v>ACCT#9725-001/REC BASE/PCT#2</v>
      </c>
      <c r="G14" s="2">
        <v>8791.64</v>
      </c>
      <c r="H14" t="str">
        <f>"ACCT#9725-001/REC BASE/PCT#2"</f>
        <v>ACCT#9725-001/REC BASE/PCT#2</v>
      </c>
    </row>
    <row r="15" spans="1:8" x14ac:dyDescent="0.25">
      <c r="E15" t="str">
        <f>"9725-001-113925"</f>
        <v>9725-001-113925</v>
      </c>
      <c r="F15" t="str">
        <f>"ACCT#9725-001/REC BASE/PCT#2"</f>
        <v>ACCT#9725-001/REC BASE/PCT#2</v>
      </c>
      <c r="G15" s="2">
        <v>4128.88</v>
      </c>
      <c r="H15" t="str">
        <f>"ACCT#9725-001/REC BASE/PCT#2"</f>
        <v>ACCT#9725-001/REC BASE/PCT#2</v>
      </c>
    </row>
    <row r="16" spans="1:8" x14ac:dyDescent="0.25">
      <c r="E16" t="str">
        <f>"9725-007-113752"</f>
        <v>9725-007-113752</v>
      </c>
      <c r="F16" t="str">
        <f t="shared" ref="F16:F24" si="0">"ACCT#9725-007/REC BASE/PCT#4"</f>
        <v>ACCT#9725-007/REC BASE/PCT#4</v>
      </c>
      <c r="G16" s="2">
        <v>827.41</v>
      </c>
      <c r="H16" t="str">
        <f t="shared" ref="H16:H24" si="1">"ACCT#9725-007/REC BASE/PCT#4"</f>
        <v>ACCT#9725-007/REC BASE/PCT#4</v>
      </c>
    </row>
    <row r="17" spans="1:8" x14ac:dyDescent="0.25">
      <c r="E17" t="str">
        <f>"9725-007-113786"</f>
        <v>9725-007-113786</v>
      </c>
      <c r="F17" t="str">
        <f t="shared" si="0"/>
        <v>ACCT#9725-007/REC BASE/PCT#4</v>
      </c>
      <c r="G17" s="2">
        <v>2253.7600000000002</v>
      </c>
      <c r="H17" t="str">
        <f t="shared" si="1"/>
        <v>ACCT#9725-007/REC BASE/PCT#4</v>
      </c>
    </row>
    <row r="18" spans="1:8" x14ac:dyDescent="0.25">
      <c r="E18" t="str">
        <f>"9725-007-113809"</f>
        <v>9725-007-113809</v>
      </c>
      <c r="F18" t="str">
        <f t="shared" si="0"/>
        <v>ACCT#9725-007/REC BASE/PCT#4</v>
      </c>
      <c r="G18" s="2">
        <v>2440.9899999999998</v>
      </c>
      <c r="H18" t="str">
        <f t="shared" si="1"/>
        <v>ACCT#9725-007/REC BASE/PCT#4</v>
      </c>
    </row>
    <row r="19" spans="1:8" x14ac:dyDescent="0.25">
      <c r="E19" t="str">
        <f>"9725-007-113831"</f>
        <v>9725-007-113831</v>
      </c>
      <c r="F19" t="str">
        <f t="shared" si="0"/>
        <v>ACCT#9725-007/REC BASE/PCT#4</v>
      </c>
      <c r="G19" s="2">
        <v>411.69</v>
      </c>
      <c r="H19" t="str">
        <f t="shared" si="1"/>
        <v>ACCT#9725-007/REC BASE/PCT#4</v>
      </c>
    </row>
    <row r="20" spans="1:8" x14ac:dyDescent="0.25">
      <c r="E20" t="str">
        <f>"9725-007-113882"</f>
        <v>9725-007-113882</v>
      </c>
      <c r="F20" t="str">
        <f t="shared" si="0"/>
        <v>ACCT#9725-007/REC BASE/PCT#4</v>
      </c>
      <c r="G20" s="2">
        <v>830.28</v>
      </c>
      <c r="H20" t="str">
        <f t="shared" si="1"/>
        <v>ACCT#9725-007/REC BASE/PCT#4</v>
      </c>
    </row>
    <row r="21" spans="1:8" x14ac:dyDescent="0.25">
      <c r="E21" t="str">
        <f>"9725-007-113914"</f>
        <v>9725-007-113914</v>
      </c>
      <c r="F21" t="str">
        <f t="shared" si="0"/>
        <v>ACCT#9725-007/REC BASE/PCT#4</v>
      </c>
      <c r="G21" s="2">
        <v>2031.32</v>
      </c>
      <c r="H21" t="str">
        <f t="shared" si="1"/>
        <v>ACCT#9725-007/REC BASE/PCT#4</v>
      </c>
    </row>
    <row r="22" spans="1:8" x14ac:dyDescent="0.25">
      <c r="E22" t="str">
        <f>"9725-007-113940"</f>
        <v>9725-007-113940</v>
      </c>
      <c r="F22" t="str">
        <f t="shared" si="0"/>
        <v>ACCT#9725-007/REC BASE/PCT#4</v>
      </c>
      <c r="G22" s="2">
        <v>816.21</v>
      </c>
      <c r="H22" t="str">
        <f t="shared" si="1"/>
        <v>ACCT#9725-007/REC BASE/PCT#4</v>
      </c>
    </row>
    <row r="23" spans="1:8" x14ac:dyDescent="0.25">
      <c r="E23" t="str">
        <f>"9725-007-113967"</f>
        <v>9725-007-113967</v>
      </c>
      <c r="F23" t="str">
        <f t="shared" si="0"/>
        <v>ACCT#9725-007/REC BASE/PCT#4</v>
      </c>
      <c r="G23" s="2">
        <v>819.35</v>
      </c>
      <c r="H23" t="str">
        <f t="shared" si="1"/>
        <v>ACCT#9725-007/REC BASE/PCT#4</v>
      </c>
    </row>
    <row r="24" spans="1:8" x14ac:dyDescent="0.25">
      <c r="E24" t="str">
        <f>"9725-007-113994"</f>
        <v>9725-007-113994</v>
      </c>
      <c r="F24" t="str">
        <f t="shared" si="0"/>
        <v>ACCT#9725-007/REC BASE/PCT#4</v>
      </c>
      <c r="G24" s="2">
        <v>405.66</v>
      </c>
      <c r="H24" t="str">
        <f t="shared" si="1"/>
        <v>ACCT#9725-007/REC BASE/PCT#4</v>
      </c>
    </row>
    <row r="25" spans="1:8" x14ac:dyDescent="0.25">
      <c r="A25" t="s">
        <v>11</v>
      </c>
      <c r="B25">
        <v>2189</v>
      </c>
      <c r="C25" s="2">
        <v>46593.55</v>
      </c>
      <c r="D25" s="1">
        <v>43886</v>
      </c>
      <c r="E25" t="str">
        <f>"9725-001-113161"</f>
        <v>9725-001-113161</v>
      </c>
      <c r="F25" t="str">
        <f t="shared" ref="F25:F34" si="2">"ACCT#9725-001/REC BASE/PCT#2"</f>
        <v>ACCT#9725-001/REC BASE/PCT#2</v>
      </c>
      <c r="G25" s="2">
        <v>415.81</v>
      </c>
      <c r="H25" t="str">
        <f t="shared" ref="H25:H34" si="3">"ACCT#9725-001/REC BASE/PCT#2"</f>
        <v>ACCT#9725-001/REC BASE/PCT#2</v>
      </c>
    </row>
    <row r="26" spans="1:8" x14ac:dyDescent="0.25">
      <c r="E26" t="str">
        <f>"9725-001-113956"</f>
        <v>9725-001-113956</v>
      </c>
      <c r="F26" t="str">
        <f t="shared" si="2"/>
        <v>ACCT#9725-001/REC BASE/PCT#2</v>
      </c>
      <c r="G26" s="2">
        <v>4057.04</v>
      </c>
      <c r="H26" t="str">
        <f t="shared" si="3"/>
        <v>ACCT#9725-001/REC BASE/PCT#2</v>
      </c>
    </row>
    <row r="27" spans="1:8" x14ac:dyDescent="0.25">
      <c r="E27" t="str">
        <f>"9725-001-113984"</f>
        <v>9725-001-113984</v>
      </c>
      <c r="F27" t="str">
        <f t="shared" si="2"/>
        <v>ACCT#9725-001/REC BASE/PCT#2</v>
      </c>
      <c r="G27" s="2">
        <v>4715.5</v>
      </c>
      <c r="H27" t="str">
        <f t="shared" si="3"/>
        <v>ACCT#9725-001/REC BASE/PCT#2</v>
      </c>
    </row>
    <row r="28" spans="1:8" x14ac:dyDescent="0.25">
      <c r="E28" t="str">
        <f>"9725-001-114032"</f>
        <v>9725-001-114032</v>
      </c>
      <c r="F28" t="str">
        <f t="shared" si="2"/>
        <v>ACCT#9725-001/REC BASE/PCT#2</v>
      </c>
      <c r="G28" s="2">
        <v>3775.92</v>
      </c>
      <c r="H28" t="str">
        <f t="shared" si="3"/>
        <v>ACCT#9725-001/REC BASE/PCT#2</v>
      </c>
    </row>
    <row r="29" spans="1:8" x14ac:dyDescent="0.25">
      <c r="E29" t="str">
        <f>"9725-001-114059"</f>
        <v>9725-001-114059</v>
      </c>
      <c r="F29" t="str">
        <f t="shared" si="2"/>
        <v>ACCT#9725-001/REC BASE/PCT#2</v>
      </c>
      <c r="G29" s="2">
        <v>3524.09</v>
      </c>
      <c r="H29" t="str">
        <f t="shared" si="3"/>
        <v>ACCT#9725-001/REC BASE/PCT#2</v>
      </c>
    </row>
    <row r="30" spans="1:8" x14ac:dyDescent="0.25">
      <c r="E30" t="str">
        <f>"9725-001-114100"</f>
        <v>9725-001-114100</v>
      </c>
      <c r="F30" t="str">
        <f t="shared" si="2"/>
        <v>ACCT#9725-001/REC BASE/PCT#2</v>
      </c>
      <c r="G30" s="2">
        <v>6942.91</v>
      </c>
      <c r="H30" t="str">
        <f t="shared" si="3"/>
        <v>ACCT#9725-001/REC BASE/PCT#2</v>
      </c>
    </row>
    <row r="31" spans="1:8" x14ac:dyDescent="0.25">
      <c r="E31" t="str">
        <f>"9725-001-114124"</f>
        <v>9725-001-114124</v>
      </c>
      <c r="F31" t="str">
        <f t="shared" si="2"/>
        <v>ACCT#9725-001/REC BASE/PCT#2</v>
      </c>
      <c r="G31" s="2">
        <v>3392.24</v>
      </c>
      <c r="H31" t="str">
        <f t="shared" si="3"/>
        <v>ACCT#9725-001/REC BASE/PCT#2</v>
      </c>
    </row>
    <row r="32" spans="1:8" x14ac:dyDescent="0.25">
      <c r="E32" t="str">
        <f>"9725-001-114146"</f>
        <v>9725-001-114146</v>
      </c>
      <c r="F32" t="str">
        <f t="shared" si="2"/>
        <v>ACCT#9725-001/REC BASE/PCT#2</v>
      </c>
      <c r="G32" s="2">
        <v>811.92</v>
      </c>
      <c r="H32" t="str">
        <f t="shared" si="3"/>
        <v>ACCT#9725-001/REC BASE/PCT#2</v>
      </c>
    </row>
    <row r="33" spans="1:8" x14ac:dyDescent="0.25">
      <c r="E33" t="str">
        <f>"9725-001-114178"</f>
        <v>9725-001-114178</v>
      </c>
      <c r="F33" t="str">
        <f t="shared" si="2"/>
        <v>ACCT#9725-001/REC BASE/PCT#2</v>
      </c>
      <c r="G33" s="2">
        <v>2633.06</v>
      </c>
      <c r="H33" t="str">
        <f t="shared" si="3"/>
        <v>ACCT#9725-001/REC BASE/PCT#2</v>
      </c>
    </row>
    <row r="34" spans="1:8" x14ac:dyDescent="0.25">
      <c r="E34" t="str">
        <f>"9725-001-114199"</f>
        <v>9725-001-114199</v>
      </c>
      <c r="F34" t="str">
        <f t="shared" si="2"/>
        <v>ACCT#9725-001/REC BASE/PCT#2</v>
      </c>
      <c r="G34" s="2">
        <v>1690.86</v>
      </c>
      <c r="H34" t="str">
        <f t="shared" si="3"/>
        <v>ACCT#9725-001/REC BASE/PCT#2</v>
      </c>
    </row>
    <row r="35" spans="1:8" x14ac:dyDescent="0.25">
      <c r="E35" t="str">
        <f>"9725-007-114045"</f>
        <v>9725-007-114045</v>
      </c>
      <c r="F35" t="str">
        <f t="shared" ref="F35:F45" si="4">"ACCT#9725-007/REC BASE/PCT#4"</f>
        <v>ACCT#9725-007/REC BASE/PCT#4</v>
      </c>
      <c r="G35" s="2">
        <v>809.03</v>
      </c>
      <c r="H35" t="str">
        <f t="shared" ref="H35:H45" si="5">"ACCT#9725-007/REC BASE/PCT#4"</f>
        <v>ACCT#9725-007/REC BASE/PCT#4</v>
      </c>
    </row>
    <row r="36" spans="1:8" x14ac:dyDescent="0.25">
      <c r="E36" t="str">
        <f>"9725-007-114108"</f>
        <v>9725-007-114108</v>
      </c>
      <c r="F36" t="str">
        <f t="shared" si="4"/>
        <v>ACCT#9725-007/REC BASE/PCT#4</v>
      </c>
      <c r="G36" s="2">
        <v>1210.48</v>
      </c>
      <c r="H36" t="str">
        <f t="shared" si="5"/>
        <v>ACCT#9725-007/REC BASE/PCT#4</v>
      </c>
    </row>
    <row r="37" spans="1:8" x14ac:dyDescent="0.25">
      <c r="E37" t="str">
        <f>"9725-007-114133"</f>
        <v>9725-007-114133</v>
      </c>
      <c r="F37" t="str">
        <f t="shared" si="4"/>
        <v>ACCT#9725-007/REC BASE/PCT#4</v>
      </c>
      <c r="G37" s="2">
        <v>824.52</v>
      </c>
      <c r="H37" t="str">
        <f t="shared" si="5"/>
        <v>ACCT#9725-007/REC BASE/PCT#4</v>
      </c>
    </row>
    <row r="38" spans="1:8" x14ac:dyDescent="0.25">
      <c r="E38" t="str">
        <f>"9725-007-114156"</f>
        <v>9725-007-114156</v>
      </c>
      <c r="F38" t="str">
        <f t="shared" si="4"/>
        <v>ACCT#9725-007/REC BASE/PCT#4</v>
      </c>
      <c r="G38" s="2">
        <v>200.29</v>
      </c>
      <c r="H38" t="str">
        <f t="shared" si="5"/>
        <v>ACCT#9725-007/REC BASE/PCT#4</v>
      </c>
    </row>
    <row r="39" spans="1:8" x14ac:dyDescent="0.25">
      <c r="E39" t="str">
        <f>"9725-007-114189"</f>
        <v>9725-007-114189</v>
      </c>
      <c r="F39" t="str">
        <f t="shared" si="4"/>
        <v>ACCT#9725-007/REC BASE/PCT#4</v>
      </c>
      <c r="G39" s="2">
        <v>2407.13</v>
      </c>
      <c r="H39" t="str">
        <f t="shared" si="5"/>
        <v>ACCT#9725-007/REC BASE/PCT#4</v>
      </c>
    </row>
    <row r="40" spans="1:8" x14ac:dyDescent="0.25">
      <c r="E40" t="str">
        <f>"9725-007-114212"</f>
        <v>9725-007-114212</v>
      </c>
      <c r="F40" t="str">
        <f t="shared" si="4"/>
        <v>ACCT#9725-007/REC BASE/PCT#4</v>
      </c>
      <c r="G40" s="2">
        <v>812.71</v>
      </c>
      <c r="H40" t="str">
        <f t="shared" si="5"/>
        <v>ACCT#9725-007/REC BASE/PCT#4</v>
      </c>
    </row>
    <row r="41" spans="1:8" x14ac:dyDescent="0.25">
      <c r="E41" t="str">
        <f>"9725-007-114267"</f>
        <v>9725-007-114267</v>
      </c>
      <c r="F41" t="str">
        <f t="shared" si="4"/>
        <v>ACCT#9725-007/REC BASE/PCT#4</v>
      </c>
      <c r="G41" s="2">
        <v>582.23</v>
      </c>
      <c r="H41" t="str">
        <f t="shared" si="5"/>
        <v>ACCT#9725-007/REC BASE/PCT#4</v>
      </c>
    </row>
    <row r="42" spans="1:8" x14ac:dyDescent="0.25">
      <c r="E42" t="str">
        <f>"9725-007-114284"</f>
        <v>9725-007-114284</v>
      </c>
      <c r="F42" t="str">
        <f t="shared" si="4"/>
        <v>ACCT#9725-007/REC BASE/PCT#4</v>
      </c>
      <c r="G42" s="2">
        <v>2476.35</v>
      </c>
      <c r="H42" t="str">
        <f t="shared" si="5"/>
        <v>ACCT#9725-007/REC BASE/PCT#4</v>
      </c>
    </row>
    <row r="43" spans="1:8" x14ac:dyDescent="0.25">
      <c r="E43" t="str">
        <f>"9725-007-114308"</f>
        <v>9725-007-114308</v>
      </c>
      <c r="F43" t="str">
        <f t="shared" si="4"/>
        <v>ACCT#9725-007/REC BASE/PCT#4</v>
      </c>
      <c r="G43" s="2">
        <v>1863.59</v>
      </c>
      <c r="H43" t="str">
        <f t="shared" si="5"/>
        <v>ACCT#9725-007/REC BASE/PCT#4</v>
      </c>
    </row>
    <row r="44" spans="1:8" x14ac:dyDescent="0.25">
      <c r="E44" t="str">
        <f>"9725-007-114339"</f>
        <v>9725-007-114339</v>
      </c>
      <c r="F44" t="str">
        <f t="shared" si="4"/>
        <v>ACCT#9725-007/REC BASE/PCT#4</v>
      </c>
      <c r="G44" s="2">
        <v>1004.5</v>
      </c>
      <c r="H44" t="str">
        <f t="shared" si="5"/>
        <v>ACCT#9725-007/REC BASE/PCT#4</v>
      </c>
    </row>
    <row r="45" spans="1:8" x14ac:dyDescent="0.25">
      <c r="E45" t="str">
        <f>"9725-007-114368"</f>
        <v>9725-007-114368</v>
      </c>
      <c r="F45" t="str">
        <f t="shared" si="4"/>
        <v>ACCT#9725-007/REC BASE/PCT#4</v>
      </c>
      <c r="G45" s="2">
        <v>2443.37</v>
      </c>
      <c r="H45" t="str">
        <f t="shared" si="5"/>
        <v>ACCT#9725-007/REC BASE/PCT#4</v>
      </c>
    </row>
    <row r="46" spans="1:8" x14ac:dyDescent="0.25">
      <c r="A46" t="s">
        <v>12</v>
      </c>
      <c r="B46">
        <v>130898</v>
      </c>
      <c r="C46" s="2">
        <v>240</v>
      </c>
      <c r="D46" s="1">
        <v>43885</v>
      </c>
      <c r="E46" t="str">
        <f>"202002125297"</f>
        <v>202002125297</v>
      </c>
      <c r="F46" t="str">
        <f>"REIMBURSE BAIL BOND COUPONS"</f>
        <v>REIMBURSE BAIL BOND COUPONS</v>
      </c>
      <c r="G46" s="2">
        <v>240</v>
      </c>
      <c r="H46" t="str">
        <f>"REIMBURSE BAIL BOND COUPONS"</f>
        <v>REIMBURSE BAIL BOND COUPONS</v>
      </c>
    </row>
    <row r="47" spans="1:8" x14ac:dyDescent="0.25">
      <c r="A47" t="s">
        <v>13</v>
      </c>
      <c r="B47">
        <v>130734</v>
      </c>
      <c r="C47" s="2">
        <v>642.22</v>
      </c>
      <c r="D47" s="1">
        <v>43871</v>
      </c>
      <c r="E47" t="str">
        <f>"202002045012"</f>
        <v>202002045012</v>
      </c>
      <c r="F47" t="str">
        <f>"CUST#16500/STATEMENT#377227"</f>
        <v>CUST#16500/STATEMENT#377227</v>
      </c>
      <c r="G47" s="2">
        <v>642.22</v>
      </c>
      <c r="H47" t="str">
        <f>"CUST#16500/STATEMENT#377227"</f>
        <v>CUST#16500/STATEMENT#377227</v>
      </c>
    </row>
    <row r="48" spans="1:8" x14ac:dyDescent="0.25">
      <c r="A48" t="s">
        <v>14</v>
      </c>
      <c r="B48">
        <v>130899</v>
      </c>
      <c r="C48" s="2">
        <v>467</v>
      </c>
      <c r="D48" s="1">
        <v>43885</v>
      </c>
      <c r="E48" t="str">
        <f>"322558"</f>
        <v>322558</v>
      </c>
      <c r="F48" t="str">
        <f>"ANN FIRE EXT MAINTAINENCE"</f>
        <v>ANN FIRE EXT MAINTAINENCE</v>
      </c>
      <c r="G48" s="2">
        <v>467</v>
      </c>
      <c r="H48" t="str">
        <f>"ANN FIRE EXT MAINTAINENCE"</f>
        <v>ANN FIRE EXT MAINTAINENCE</v>
      </c>
    </row>
    <row r="49" spans="1:8" x14ac:dyDescent="0.25">
      <c r="A49" t="s">
        <v>15</v>
      </c>
      <c r="B49">
        <v>130900</v>
      </c>
      <c r="C49" s="2">
        <v>41.04</v>
      </c>
      <c r="D49" s="1">
        <v>43885</v>
      </c>
      <c r="E49" t="str">
        <f>"202002195443"</f>
        <v>202002195443</v>
      </c>
      <c r="F49" t="str">
        <f>"REIMBURSEMENT FOR FUEL"</f>
        <v>REIMBURSEMENT FOR FUEL</v>
      </c>
      <c r="G49" s="2">
        <v>41.04</v>
      </c>
      <c r="H49" t="str">
        <f>"REIMBURSEMENT FOR FUEL"</f>
        <v>REIMBURSEMENT FOR FUEL</v>
      </c>
    </row>
    <row r="50" spans="1:8" x14ac:dyDescent="0.25">
      <c r="A50" t="s">
        <v>16</v>
      </c>
      <c r="B50">
        <v>2187</v>
      </c>
      <c r="C50" s="2">
        <v>127.6</v>
      </c>
      <c r="D50" s="1">
        <v>43886</v>
      </c>
      <c r="E50" t="str">
        <f>"215-100034"</f>
        <v>215-100034</v>
      </c>
      <c r="F50" t="str">
        <f>"INV 215-100034"</f>
        <v>INV 215-100034</v>
      </c>
      <c r="G50" s="2">
        <v>127.6</v>
      </c>
      <c r="H50" t="str">
        <f>"INV 215-100034"</f>
        <v>INV 215-100034</v>
      </c>
    </row>
    <row r="51" spans="1:8" x14ac:dyDescent="0.25">
      <c r="A51" t="s">
        <v>17</v>
      </c>
      <c r="B51">
        <v>130901</v>
      </c>
      <c r="C51" s="2">
        <v>1377.5</v>
      </c>
      <c r="D51" s="1">
        <v>43885</v>
      </c>
      <c r="E51" t="str">
        <f>"202002115260"</f>
        <v>202002115260</v>
      </c>
      <c r="F51" t="str">
        <f>"19-20002"</f>
        <v>19-20002</v>
      </c>
      <c r="G51" s="2">
        <v>430</v>
      </c>
      <c r="H51" t="str">
        <f>"19-20002"</f>
        <v>19-20002</v>
      </c>
    </row>
    <row r="52" spans="1:8" x14ac:dyDescent="0.25">
      <c r="E52" t="str">
        <f>"202002115261"</f>
        <v>202002115261</v>
      </c>
      <c r="F52" t="str">
        <f>"19-19963"</f>
        <v>19-19963</v>
      </c>
      <c r="G52" s="2">
        <v>387.5</v>
      </c>
      <c r="H52" t="str">
        <f>"19-19963"</f>
        <v>19-19963</v>
      </c>
    </row>
    <row r="53" spans="1:8" x14ac:dyDescent="0.25">
      <c r="E53" t="str">
        <f>"202002115262"</f>
        <v>202002115262</v>
      </c>
      <c r="F53" t="str">
        <f>"19-19768"</f>
        <v>19-19768</v>
      </c>
      <c r="G53" s="2">
        <v>302.5</v>
      </c>
      <c r="H53" t="str">
        <f>"19-19768"</f>
        <v>19-19768</v>
      </c>
    </row>
    <row r="54" spans="1:8" x14ac:dyDescent="0.25">
      <c r="E54" t="str">
        <f>"202002115263"</f>
        <v>202002115263</v>
      </c>
      <c r="F54" t="str">
        <f>"19-19811"</f>
        <v>19-19811</v>
      </c>
      <c r="G54" s="2">
        <v>122.5</v>
      </c>
      <c r="H54" t="str">
        <f>"19-19811"</f>
        <v>19-19811</v>
      </c>
    </row>
    <row r="55" spans="1:8" x14ac:dyDescent="0.25">
      <c r="E55" t="str">
        <f>"202002115264"</f>
        <v>202002115264</v>
      </c>
      <c r="F55" t="str">
        <f>"19-19423"</f>
        <v>19-19423</v>
      </c>
      <c r="G55" s="2">
        <v>22.5</v>
      </c>
      <c r="H55" t="str">
        <f>"19-19423"</f>
        <v>19-19423</v>
      </c>
    </row>
    <row r="56" spans="1:8" x14ac:dyDescent="0.25">
      <c r="E56" t="str">
        <f>"202002115265"</f>
        <v>202002115265</v>
      </c>
      <c r="F56" t="str">
        <f>"19-19857"</f>
        <v>19-19857</v>
      </c>
      <c r="G56" s="2">
        <v>37.5</v>
      </c>
      <c r="H56" t="str">
        <f>"19-19857"</f>
        <v>19-19857</v>
      </c>
    </row>
    <row r="57" spans="1:8" x14ac:dyDescent="0.25">
      <c r="E57" t="str">
        <f>"202002115266"</f>
        <v>202002115266</v>
      </c>
      <c r="F57" t="str">
        <f>"20-20077"</f>
        <v>20-20077</v>
      </c>
      <c r="G57" s="2">
        <v>75</v>
      </c>
      <c r="H57" t="str">
        <f>"20-20077"</f>
        <v>20-20077</v>
      </c>
    </row>
    <row r="58" spans="1:8" x14ac:dyDescent="0.25">
      <c r="A58" t="s">
        <v>18</v>
      </c>
      <c r="B58">
        <v>2127</v>
      </c>
      <c r="C58" s="2">
        <v>65</v>
      </c>
      <c r="D58" s="1">
        <v>43872</v>
      </c>
      <c r="E58" t="str">
        <f>"202002045001"</f>
        <v>202002045001</v>
      </c>
      <c r="F58" t="str">
        <f>"TRAVEL ADVANCE - PER DIEM"</f>
        <v>TRAVEL ADVANCE - PER DIEM</v>
      </c>
      <c r="G58" s="2">
        <v>65</v>
      </c>
      <c r="H58" t="str">
        <f>"TRAVEL ADVANCE - PER DIEM"</f>
        <v>TRAVEL ADVANCE - PER DIEM</v>
      </c>
    </row>
    <row r="59" spans="1:8" x14ac:dyDescent="0.25">
      <c r="A59" t="s">
        <v>18</v>
      </c>
      <c r="B59">
        <v>2198</v>
      </c>
      <c r="C59" s="2">
        <v>194</v>
      </c>
      <c r="D59" s="1">
        <v>43886</v>
      </c>
      <c r="E59" t="str">
        <f>"202002185359"</f>
        <v>202002185359</v>
      </c>
      <c r="F59" t="str">
        <f>"REIMBURSEMENT-TOURISM SUMMIT"</f>
        <v>REIMBURSEMENT-TOURISM SUMMIT</v>
      </c>
      <c r="G59" s="2">
        <v>150</v>
      </c>
      <c r="H59" t="str">
        <f>"REIMBURSEMENT-TOURISM SUMMIT"</f>
        <v>REIMBURSEMENT-TOURISM SUMMIT</v>
      </c>
    </row>
    <row r="60" spans="1:8" x14ac:dyDescent="0.25">
      <c r="E60" t="str">
        <f>"202002185360"</f>
        <v>202002185360</v>
      </c>
      <c r="F60" t="str">
        <f>"CORNELL LAB MEMBERSHIP"</f>
        <v>CORNELL LAB MEMBERSHIP</v>
      </c>
      <c r="G60" s="2">
        <v>44</v>
      </c>
      <c r="H60" t="str">
        <f>"CORNELL LAB MEMBERSHIP"</f>
        <v>CORNELL LAB MEMBERSHIP</v>
      </c>
    </row>
    <row r="61" spans="1:8" x14ac:dyDescent="0.25">
      <c r="A61" t="s">
        <v>19</v>
      </c>
      <c r="B61">
        <v>130735</v>
      </c>
      <c r="C61" s="2">
        <v>370.36</v>
      </c>
      <c r="D61" s="1">
        <v>43871</v>
      </c>
      <c r="E61" t="str">
        <f>"202002045126"</f>
        <v>202002045126</v>
      </c>
      <c r="F61" t="str">
        <f>"CUST#322316"</f>
        <v>CUST#322316</v>
      </c>
      <c r="G61" s="2">
        <v>370.36</v>
      </c>
      <c r="H61" t="str">
        <f>"CUST#322316"</f>
        <v>CUST#322316</v>
      </c>
    </row>
    <row r="62" spans="1:8" x14ac:dyDescent="0.25">
      <c r="A62" t="s">
        <v>20</v>
      </c>
      <c r="B62">
        <v>130736</v>
      </c>
      <c r="C62" s="2">
        <v>200</v>
      </c>
      <c r="D62" s="1">
        <v>43871</v>
      </c>
      <c r="E62" t="str">
        <f>"202002055144"</f>
        <v>202002055144</v>
      </c>
      <c r="F62" t="str">
        <f>"TRAINING"</f>
        <v>TRAINING</v>
      </c>
      <c r="G62" s="2">
        <v>200</v>
      </c>
      <c r="H62" t="str">
        <f>"KEITH MONTGOMERY"</f>
        <v>KEITH MONTGOMERY</v>
      </c>
    </row>
    <row r="63" spans="1:8" x14ac:dyDescent="0.25">
      <c r="E63" t="str">
        <f>""</f>
        <v/>
      </c>
      <c r="F63" t="str">
        <f>""</f>
        <v/>
      </c>
      <c r="H63" t="str">
        <f>"STERLING BAADE"</f>
        <v>STERLING BAADE</v>
      </c>
    </row>
    <row r="64" spans="1:8" x14ac:dyDescent="0.25">
      <c r="A64" t="s">
        <v>21</v>
      </c>
      <c r="B64">
        <v>130737</v>
      </c>
      <c r="C64" s="2">
        <v>2623.09</v>
      </c>
      <c r="D64" s="1">
        <v>43871</v>
      </c>
      <c r="E64" t="str">
        <f>"6919910"</f>
        <v>6919910</v>
      </c>
      <c r="F64" t="str">
        <f>"CUST#17295/PCT#3"</f>
        <v>CUST#17295/PCT#3</v>
      </c>
      <c r="G64" s="2">
        <v>2623.09</v>
      </c>
      <c r="H64" t="str">
        <f>"CUST#17295/PCT#3"</f>
        <v>CUST#17295/PCT#3</v>
      </c>
    </row>
    <row r="65" spans="1:8" x14ac:dyDescent="0.25">
      <c r="A65" t="s">
        <v>22</v>
      </c>
      <c r="B65">
        <v>2160</v>
      </c>
      <c r="C65" s="2">
        <v>1100</v>
      </c>
      <c r="D65" s="1">
        <v>43872</v>
      </c>
      <c r="E65" t="str">
        <f>"202001304910"</f>
        <v>202001304910</v>
      </c>
      <c r="F65" t="str">
        <f>"1415-21"</f>
        <v>1415-21</v>
      </c>
      <c r="G65" s="2">
        <v>100</v>
      </c>
      <c r="H65" t="str">
        <f>"1415-21"</f>
        <v>1415-21</v>
      </c>
    </row>
    <row r="66" spans="1:8" x14ac:dyDescent="0.25">
      <c r="E66" t="str">
        <f>"202001304911"</f>
        <v>202001304911</v>
      </c>
      <c r="F66" t="str">
        <f>"16433"</f>
        <v>16433</v>
      </c>
      <c r="G66" s="2">
        <v>400</v>
      </c>
      <c r="H66" t="str">
        <f>"16433"</f>
        <v>16433</v>
      </c>
    </row>
    <row r="67" spans="1:8" x14ac:dyDescent="0.25">
      <c r="E67" t="str">
        <f>"202001304912"</f>
        <v>202001304912</v>
      </c>
      <c r="F67" t="str">
        <f>"1391-21"</f>
        <v>1391-21</v>
      </c>
      <c r="G67" s="2">
        <v>100</v>
      </c>
      <c r="H67" t="str">
        <f>"1391-21"</f>
        <v>1391-21</v>
      </c>
    </row>
    <row r="68" spans="1:8" x14ac:dyDescent="0.25">
      <c r="E68" t="str">
        <f>"202001304913"</f>
        <v>202001304913</v>
      </c>
      <c r="F68" t="str">
        <f>"1376-335"</f>
        <v>1376-335</v>
      </c>
      <c r="G68" s="2">
        <v>100</v>
      </c>
      <c r="H68" t="str">
        <f>"1376-335"</f>
        <v>1376-335</v>
      </c>
    </row>
    <row r="69" spans="1:8" x14ac:dyDescent="0.25">
      <c r="E69" t="str">
        <f>"202001304914"</f>
        <v>202001304914</v>
      </c>
      <c r="F69" t="str">
        <f>"1388-21"</f>
        <v>1388-21</v>
      </c>
      <c r="G69" s="2">
        <v>100</v>
      </c>
      <c r="H69" t="str">
        <f>"1388-21"</f>
        <v>1388-21</v>
      </c>
    </row>
    <row r="70" spans="1:8" x14ac:dyDescent="0.25">
      <c r="E70" t="str">
        <f>"202002034987"</f>
        <v>202002034987</v>
      </c>
      <c r="F70" t="str">
        <f>"1426-21"</f>
        <v>1426-21</v>
      </c>
      <c r="G70" s="2">
        <v>100</v>
      </c>
      <c r="H70" t="str">
        <f>"1426-21"</f>
        <v>1426-21</v>
      </c>
    </row>
    <row r="71" spans="1:8" x14ac:dyDescent="0.25">
      <c r="E71" t="str">
        <f>"202002034988"</f>
        <v>202002034988</v>
      </c>
      <c r="F71" t="str">
        <f>"423-7080"</f>
        <v>423-7080</v>
      </c>
      <c r="G71" s="2">
        <v>100</v>
      </c>
      <c r="H71" t="str">
        <f>"423-7080"</f>
        <v>423-7080</v>
      </c>
    </row>
    <row r="72" spans="1:8" x14ac:dyDescent="0.25">
      <c r="E72" t="str">
        <f>"202002034989"</f>
        <v>202002034989</v>
      </c>
      <c r="F72" t="str">
        <f>"1430-335"</f>
        <v>1430-335</v>
      </c>
      <c r="G72" s="2">
        <v>100</v>
      </c>
      <c r="H72" t="str">
        <f>"1430-335"</f>
        <v>1430-335</v>
      </c>
    </row>
    <row r="73" spans="1:8" x14ac:dyDescent="0.25">
      <c r="A73" t="s">
        <v>22</v>
      </c>
      <c r="B73">
        <v>2233</v>
      </c>
      <c r="C73" s="2">
        <v>400</v>
      </c>
      <c r="D73" s="1">
        <v>43886</v>
      </c>
      <c r="E73" t="str">
        <f>"202002145339"</f>
        <v>202002145339</v>
      </c>
      <c r="F73" t="str">
        <f>"DWI W/CHILD UNDER 15"</f>
        <v>DWI W/CHILD UNDER 15</v>
      </c>
      <c r="G73" s="2">
        <v>400</v>
      </c>
      <c r="H73" t="str">
        <f>"DWI W/CHILD UNDER 15"</f>
        <v>DWI W/CHILD UNDER 15</v>
      </c>
    </row>
    <row r="74" spans="1:8" x14ac:dyDescent="0.25">
      <c r="A74" t="s">
        <v>23</v>
      </c>
      <c r="B74">
        <v>2204</v>
      </c>
      <c r="C74" s="2">
        <v>3433.64</v>
      </c>
      <c r="D74" s="1">
        <v>43886</v>
      </c>
      <c r="E74" t="str">
        <f>"20019"</f>
        <v>20019</v>
      </c>
      <c r="F74" t="str">
        <f>"TRANSLATOR SVCS"</f>
        <v>TRANSLATOR SVCS</v>
      </c>
      <c r="G74" s="2">
        <v>1442.24</v>
      </c>
      <c r="H74" t="str">
        <f>"TRANSLATOR SVCS"</f>
        <v>TRANSLATOR SVCS</v>
      </c>
    </row>
    <row r="75" spans="1:8" x14ac:dyDescent="0.25">
      <c r="E75" t="str">
        <f>"202002145348"</f>
        <v>202002145348</v>
      </c>
      <c r="F75" t="str">
        <f>"02/13/20 JAIL VISIT"</f>
        <v>02/13/20 JAIL VISIT</v>
      </c>
      <c r="G75" s="2">
        <v>338.28</v>
      </c>
      <c r="H75" t="str">
        <f>"02/13/20 JAIL VISIT"</f>
        <v>02/13/20 JAIL VISIT</v>
      </c>
    </row>
    <row r="76" spans="1:8" x14ac:dyDescent="0.25">
      <c r="E76" t="str">
        <f>"202002145349"</f>
        <v>202002145349</v>
      </c>
      <c r="F76" t="str">
        <f>"423-5817"</f>
        <v>423-5817</v>
      </c>
      <c r="G76" s="2">
        <v>319.14</v>
      </c>
      <c r="H76" t="str">
        <f>"423-5817"</f>
        <v>423-5817</v>
      </c>
    </row>
    <row r="77" spans="1:8" x14ac:dyDescent="0.25">
      <c r="E77" t="str">
        <f>"202002145350"</f>
        <v>202002145350</v>
      </c>
      <c r="F77" t="str">
        <f>"423-6777"</f>
        <v>423-6777</v>
      </c>
      <c r="G77" s="2">
        <v>159.57</v>
      </c>
      <c r="H77" t="str">
        <f>"423-6777"</f>
        <v>423-6777</v>
      </c>
    </row>
    <row r="78" spans="1:8" x14ac:dyDescent="0.25">
      <c r="E78" t="str">
        <f>"202002195394"</f>
        <v>202002195394</v>
      </c>
      <c r="F78" t="str">
        <f>"57 211  55 790  56 847"</f>
        <v>57 211  55 790  56 847</v>
      </c>
      <c r="G78" s="2">
        <v>338.28</v>
      </c>
      <c r="H78" t="str">
        <f>"57 211  55 790  56 847"</f>
        <v>57 211  55 790  56 847</v>
      </c>
    </row>
    <row r="79" spans="1:8" x14ac:dyDescent="0.25">
      <c r="E79" t="str">
        <f>"202002195395"</f>
        <v>202002195395</v>
      </c>
      <c r="F79" t="str">
        <f>"07-11842"</f>
        <v>07-11842</v>
      </c>
      <c r="G79" s="2">
        <v>159.57</v>
      </c>
      <c r="H79" t="str">
        <f>"07-11842"</f>
        <v>07-11842</v>
      </c>
    </row>
    <row r="80" spans="1:8" x14ac:dyDescent="0.25">
      <c r="E80" t="str">
        <f>"202002195396"</f>
        <v>202002195396</v>
      </c>
      <c r="F80" t="str">
        <f>"57 112  57 203"</f>
        <v>57 112  57 203</v>
      </c>
      <c r="G80" s="2">
        <v>338.28</v>
      </c>
      <c r="H80" t="str">
        <f>"57 112  57 203"</f>
        <v>57 112  57 203</v>
      </c>
    </row>
    <row r="81" spans="1:8" x14ac:dyDescent="0.25">
      <c r="E81" t="str">
        <f>"202002195397"</f>
        <v>202002195397</v>
      </c>
      <c r="F81" t="str">
        <f>"57 332  57 035"</f>
        <v>57 332  57 035</v>
      </c>
      <c r="G81" s="2">
        <v>338.28</v>
      </c>
      <c r="H81" t="str">
        <f>"57 332  57 035"</f>
        <v>57 332  57 035</v>
      </c>
    </row>
    <row r="82" spans="1:8" x14ac:dyDescent="0.25">
      <c r="A82" t="s">
        <v>24</v>
      </c>
      <c r="B82">
        <v>2120</v>
      </c>
      <c r="C82" s="2">
        <v>14219</v>
      </c>
      <c r="D82" s="1">
        <v>43872</v>
      </c>
      <c r="E82" t="str">
        <f>"202002045013"</f>
        <v>202002045013</v>
      </c>
      <c r="F82" t="str">
        <f>"HAULING EXPS 01/21-01/31/PCT#4"</f>
        <v>HAULING EXPS 01/21-01/31/PCT#4</v>
      </c>
      <c r="G82" s="2">
        <v>7802.36</v>
      </c>
      <c r="H82" t="str">
        <f>"HAULING EXPS 01/21-01/31/PCT#4"</f>
        <v>HAULING EXPS 01/21-01/31/PCT#4</v>
      </c>
    </row>
    <row r="83" spans="1:8" x14ac:dyDescent="0.25">
      <c r="E83" t="str">
        <f>"202002045014"</f>
        <v>202002045014</v>
      </c>
      <c r="F83" t="str">
        <f>"HAULING EXPS 01/21-01/30/PCT#4"</f>
        <v>HAULING EXPS 01/21-01/30/PCT#4</v>
      </c>
      <c r="G83" s="2">
        <v>6416.64</v>
      </c>
      <c r="H83" t="str">
        <f>"HAULING EXPS 01/21-01/30/PCT#4"</f>
        <v>HAULING EXPS 01/21-01/30/PCT#4</v>
      </c>
    </row>
    <row r="84" spans="1:8" x14ac:dyDescent="0.25">
      <c r="A84" t="s">
        <v>24</v>
      </c>
      <c r="B84">
        <v>2194</v>
      </c>
      <c r="C84" s="2">
        <v>14082.82</v>
      </c>
      <c r="D84" s="1">
        <v>43886</v>
      </c>
      <c r="E84" t="str">
        <f>"202002145345"</f>
        <v>202002145345</v>
      </c>
      <c r="F84" t="str">
        <f>"HAULING EXPS 02/03-02/13/PCT#4"</f>
        <v>HAULING EXPS 02/03-02/13/PCT#4</v>
      </c>
      <c r="G84" s="2">
        <v>6553.71</v>
      </c>
      <c r="H84" t="str">
        <f>"HAULING EXPS 02/03-02/13/PCT#4"</f>
        <v>HAULING EXPS 02/03-02/13/PCT#4</v>
      </c>
    </row>
    <row r="85" spans="1:8" x14ac:dyDescent="0.25">
      <c r="E85" t="str">
        <f>"202002145347"</f>
        <v>202002145347</v>
      </c>
      <c r="F85" t="str">
        <f>"HAULING EXPS 02/03-02/13/PCT#4"</f>
        <v>HAULING EXPS 02/03-02/13/PCT#4</v>
      </c>
      <c r="G85" s="2">
        <v>7529.11</v>
      </c>
      <c r="H85" t="str">
        <f>"HAULING EXPS 02/03-02/13/PCT#4"</f>
        <v>HAULING EXPS 02/03-02/13/PCT#4</v>
      </c>
    </row>
    <row r="86" spans="1:8" x14ac:dyDescent="0.25">
      <c r="A86" t="s">
        <v>25</v>
      </c>
      <c r="B86">
        <v>2141</v>
      </c>
      <c r="C86" s="2">
        <v>2886.59</v>
      </c>
      <c r="D86" s="1">
        <v>43872</v>
      </c>
      <c r="E86" t="str">
        <f>"111C-94N3-1GFW"</f>
        <v>111C-94N3-1GFW</v>
      </c>
      <c r="F86" t="str">
        <f>"Mower Blades"</f>
        <v>Mower Blades</v>
      </c>
      <c r="G86" s="2">
        <v>123.42</v>
      </c>
      <c r="H86" t="str">
        <f>"TCU15881"</f>
        <v>TCU15881</v>
      </c>
    </row>
    <row r="87" spans="1:8" x14ac:dyDescent="0.25">
      <c r="E87" t="str">
        <f>"113T-W9FK-DN1R"</f>
        <v>113T-W9FK-DN1R</v>
      </c>
      <c r="F87" t="str">
        <f>"Projector &amp; Audio System"</f>
        <v>Projector &amp; Audio System</v>
      </c>
      <c r="G87" s="2">
        <v>1042.44</v>
      </c>
      <c r="H87" t="str">
        <f>"(RPG2X10)"</f>
        <v>(RPG2X10)</v>
      </c>
    </row>
    <row r="88" spans="1:8" x14ac:dyDescent="0.25">
      <c r="E88" t="str">
        <f>""</f>
        <v/>
      </c>
      <c r="F88" t="str">
        <f>""</f>
        <v/>
      </c>
      <c r="H88" t="str">
        <f>"projector"</f>
        <v>projector</v>
      </c>
    </row>
    <row r="89" spans="1:8" x14ac:dyDescent="0.25">
      <c r="E89" t="str">
        <f>"19FG-LHX3-7C4L"</f>
        <v>19FG-LHX3-7C4L</v>
      </c>
      <c r="F89" t="str">
        <f>"Misc Items"</f>
        <v>Misc Items</v>
      </c>
      <c r="G89" s="2">
        <v>657.04</v>
      </c>
      <c r="H89" t="str">
        <f>"Pendaflex 4158 X-Ray"</f>
        <v>Pendaflex 4158 X-Ray</v>
      </c>
    </row>
    <row r="90" spans="1:8" x14ac:dyDescent="0.25">
      <c r="E90" t="str">
        <f>""</f>
        <v/>
      </c>
      <c r="F90" t="str">
        <f>""</f>
        <v/>
      </c>
      <c r="H90" t="str">
        <f>"Oceanstar Metal Roll"</f>
        <v>Oceanstar Metal Roll</v>
      </c>
    </row>
    <row r="91" spans="1:8" x14ac:dyDescent="0.25">
      <c r="E91" t="str">
        <f>"1P7L-Y9GY-QGHX"</f>
        <v>1P7L-Y9GY-QGHX</v>
      </c>
      <c r="F91" t="str">
        <f>"Certification Frames"</f>
        <v>Certification Frames</v>
      </c>
      <c r="G91" s="2">
        <v>83.25</v>
      </c>
      <c r="H91" t="str">
        <f>"Certification Frames"</f>
        <v>Certification Frames</v>
      </c>
    </row>
    <row r="92" spans="1:8" x14ac:dyDescent="0.25">
      <c r="E92" t="str">
        <f>""</f>
        <v/>
      </c>
      <c r="F92" t="str">
        <f>""</f>
        <v/>
      </c>
      <c r="H92" t="str">
        <f>"Strips"</f>
        <v>Strips</v>
      </c>
    </row>
    <row r="93" spans="1:8" x14ac:dyDescent="0.25">
      <c r="E93" t="str">
        <f>"1RNY-MYWP-YPF4"</f>
        <v>1RNY-MYWP-YPF4</v>
      </c>
      <c r="F93" t="str">
        <f>"MULTIPLE TICKETS"</f>
        <v>MULTIPLE TICKETS</v>
      </c>
      <c r="G93" s="2">
        <v>594.24</v>
      </c>
      <c r="H93" t="str">
        <f>"NAME PLATE"</f>
        <v>NAME PLATE</v>
      </c>
    </row>
    <row r="94" spans="1:8" x14ac:dyDescent="0.25">
      <c r="E94" t="str">
        <f>""</f>
        <v/>
      </c>
      <c r="F94" t="str">
        <f>""</f>
        <v/>
      </c>
      <c r="H94" t="str">
        <f>"NAME PLATE SHIPPING"</f>
        <v>NAME PLATE SHIPPING</v>
      </c>
    </row>
    <row r="95" spans="1:8" x14ac:dyDescent="0.25">
      <c r="E95" t="str">
        <f>""</f>
        <v/>
      </c>
      <c r="F95" t="str">
        <f>""</f>
        <v/>
      </c>
      <c r="H95" t="str">
        <f>"FILE FOLDERS"</f>
        <v>FILE FOLDERS</v>
      </c>
    </row>
    <row r="96" spans="1:8" x14ac:dyDescent="0.25">
      <c r="E96" t="str">
        <f>""</f>
        <v/>
      </c>
      <c r="F96" t="str">
        <f>""</f>
        <v/>
      </c>
      <c r="H96" t="str">
        <f>"FILE FOLDERS"</f>
        <v>FILE FOLDERS</v>
      </c>
    </row>
    <row r="97" spans="1:8" x14ac:dyDescent="0.25">
      <c r="E97" t="str">
        <f>""</f>
        <v/>
      </c>
      <c r="F97" t="str">
        <f>""</f>
        <v/>
      </c>
      <c r="H97" t="str">
        <f>"FILE FOLDER CREDIT"</f>
        <v>FILE FOLDER CREDIT</v>
      </c>
    </row>
    <row r="98" spans="1:8" x14ac:dyDescent="0.25">
      <c r="E98" t="str">
        <f>""</f>
        <v/>
      </c>
      <c r="F98" t="str">
        <f>""</f>
        <v/>
      </c>
      <c r="H98" t="str">
        <f>"FILE FOLDER CREDIT"</f>
        <v>FILE FOLDER CREDIT</v>
      </c>
    </row>
    <row r="99" spans="1:8" x14ac:dyDescent="0.25">
      <c r="E99" t="str">
        <f>""</f>
        <v/>
      </c>
      <c r="F99" t="str">
        <f>""</f>
        <v/>
      </c>
      <c r="H99" t="str">
        <f>"HANGING FILE FOLDERS"</f>
        <v>HANGING FILE FOLDERS</v>
      </c>
    </row>
    <row r="100" spans="1:8" x14ac:dyDescent="0.25">
      <c r="E100" t="str">
        <f>""</f>
        <v/>
      </c>
      <c r="F100" t="str">
        <f>""</f>
        <v/>
      </c>
      <c r="H100" t="str">
        <f>"TRAFFIC CONES"</f>
        <v>TRAFFIC CONES</v>
      </c>
    </row>
    <row r="101" spans="1:8" x14ac:dyDescent="0.25">
      <c r="E101" t="str">
        <f>""</f>
        <v/>
      </c>
      <c r="F101" t="str">
        <f>""</f>
        <v/>
      </c>
      <c r="H101" t="str">
        <f>"ROLL UP SIGNS"</f>
        <v>ROLL UP SIGNS</v>
      </c>
    </row>
    <row r="102" spans="1:8" x14ac:dyDescent="0.25">
      <c r="E102" t="str">
        <f>""</f>
        <v/>
      </c>
      <c r="F102" t="str">
        <f>""</f>
        <v/>
      </c>
      <c r="H102" t="str">
        <f>"SIGN SHIPPING"</f>
        <v>SIGN SHIPPING</v>
      </c>
    </row>
    <row r="103" spans="1:8" x14ac:dyDescent="0.25">
      <c r="E103" t="str">
        <f>"1YYQ-VDKT-9PGQ"</f>
        <v>1YYQ-VDKT-9PGQ</v>
      </c>
      <c r="F103" t="str">
        <f>"Amazon Order"</f>
        <v>Amazon Order</v>
      </c>
      <c r="G103" s="2">
        <v>386.2</v>
      </c>
      <c r="H103" t="str">
        <f>"Sharps Wall Mount"</f>
        <v>Sharps Wall Mount</v>
      </c>
    </row>
    <row r="104" spans="1:8" x14ac:dyDescent="0.25">
      <c r="E104" t="str">
        <f>""</f>
        <v/>
      </c>
      <c r="F104" t="str">
        <f>""</f>
        <v/>
      </c>
      <c r="H104" t="str">
        <f>"Bodily Spill Kit"</f>
        <v>Bodily Spill Kit</v>
      </c>
    </row>
    <row r="105" spans="1:8" x14ac:dyDescent="0.25">
      <c r="E105" t="str">
        <f>""</f>
        <v/>
      </c>
      <c r="F105" t="str">
        <f>""</f>
        <v/>
      </c>
      <c r="H105" t="str">
        <f>"Sharps Container 2pk"</f>
        <v>Sharps Container 2pk</v>
      </c>
    </row>
    <row r="106" spans="1:8" x14ac:dyDescent="0.25">
      <c r="A106" t="s">
        <v>25</v>
      </c>
      <c r="B106">
        <v>2214</v>
      </c>
      <c r="C106" s="2">
        <v>483.03</v>
      </c>
      <c r="D106" s="1">
        <v>43886</v>
      </c>
      <c r="E106" t="str">
        <f>"19TV-K4CD-1RWW"</f>
        <v>19TV-K4CD-1RWW</v>
      </c>
      <c r="F106" t="str">
        <f>"Janitorial Supplies"</f>
        <v>Janitorial Supplies</v>
      </c>
      <c r="G106" s="2">
        <v>273.17</v>
      </c>
      <c r="H106" t="str">
        <f>"Paper towels10x800"</f>
        <v>Paper towels10x800</v>
      </c>
    </row>
    <row r="107" spans="1:8" x14ac:dyDescent="0.25">
      <c r="E107" t="str">
        <f>""</f>
        <v/>
      </c>
      <c r="F107" t="str">
        <f>""</f>
        <v/>
      </c>
      <c r="H107" t="str">
        <f>"Bleach"</f>
        <v>Bleach</v>
      </c>
    </row>
    <row r="108" spans="1:8" x14ac:dyDescent="0.25">
      <c r="E108" t="str">
        <f>"1FCL-FJ6-LCK3"</f>
        <v>1FCL-FJ6-LCK3</v>
      </c>
      <c r="F108" t="str">
        <f>"Amazon Order"</f>
        <v>Amazon Order</v>
      </c>
      <c r="G108" s="2">
        <v>32.869999999999997</v>
      </c>
      <c r="H108" t="str">
        <f>"Microfiber Cloths"</f>
        <v>Microfiber Cloths</v>
      </c>
    </row>
    <row r="109" spans="1:8" x14ac:dyDescent="0.25">
      <c r="E109" t="str">
        <f>""</f>
        <v/>
      </c>
      <c r="F109" t="str">
        <f>""</f>
        <v/>
      </c>
      <c r="H109" t="str">
        <f>"Green Binder 2"</f>
        <v>Green Binder 2</v>
      </c>
    </row>
    <row r="110" spans="1:8" x14ac:dyDescent="0.25">
      <c r="E110" t="str">
        <f>""</f>
        <v/>
      </c>
      <c r="F110" t="str">
        <f>""</f>
        <v/>
      </c>
      <c r="H110" t="str">
        <f>"Avery Tabs"</f>
        <v>Avery Tabs</v>
      </c>
    </row>
    <row r="111" spans="1:8" x14ac:dyDescent="0.25">
      <c r="E111" t="str">
        <f>""</f>
        <v/>
      </c>
      <c r="F111" t="str">
        <f>""</f>
        <v/>
      </c>
      <c r="H111" t="str">
        <f>"Paper Mate Pens"</f>
        <v>Paper Mate Pens</v>
      </c>
    </row>
    <row r="112" spans="1:8" x14ac:dyDescent="0.25">
      <c r="E112" t="str">
        <f>""</f>
        <v/>
      </c>
      <c r="F112" t="str">
        <f>""</f>
        <v/>
      </c>
      <c r="H112" t="str">
        <f>"Pencil Pouch"</f>
        <v>Pencil Pouch</v>
      </c>
    </row>
    <row r="113" spans="1:8" x14ac:dyDescent="0.25">
      <c r="E113" t="str">
        <f>"1VWY-JPV7-RVFT"</f>
        <v>1VWY-JPV7-RVFT</v>
      </c>
      <c r="F113" t="str">
        <f>"Sani-Cloth Wipes"</f>
        <v>Sani-Cloth Wipes</v>
      </c>
      <c r="G113" s="2">
        <v>84.04</v>
      </c>
      <c r="H113" t="str">
        <f>"Sani-Cloth Wipes"</f>
        <v>Sani-Cloth Wipes</v>
      </c>
    </row>
    <row r="114" spans="1:8" x14ac:dyDescent="0.25">
      <c r="E114" t="str">
        <f>"INVJ-7396-491X"</f>
        <v>INVJ-7396-491X</v>
      </c>
      <c r="F114" t="str">
        <f>"Amazon Order"</f>
        <v>Amazon Order</v>
      </c>
      <c r="G114" s="2">
        <v>92.95</v>
      </c>
      <c r="H114" t="str">
        <f>"Bench"</f>
        <v>Bench</v>
      </c>
    </row>
    <row r="115" spans="1:8" x14ac:dyDescent="0.25">
      <c r="A115" t="s">
        <v>26</v>
      </c>
      <c r="B115">
        <v>2129</v>
      </c>
      <c r="C115" s="2">
        <v>4464.4399999999996</v>
      </c>
      <c r="D115" s="1">
        <v>43872</v>
      </c>
      <c r="E115" t="str">
        <f>"202001304930"</f>
        <v>202001304930</v>
      </c>
      <c r="F115" t="str">
        <f>"ACCT#379865/PCT#2"</f>
        <v>ACCT#379865/PCT#2</v>
      </c>
      <c r="G115" s="2">
        <v>4464.4399999999996</v>
      </c>
      <c r="H115" t="str">
        <f>"ACCT#379865/PCT#2"</f>
        <v>ACCT#379865/PCT#2</v>
      </c>
    </row>
    <row r="116" spans="1:8" x14ac:dyDescent="0.25">
      <c r="A116" t="s">
        <v>27</v>
      </c>
      <c r="B116">
        <v>130902</v>
      </c>
      <c r="C116" s="2">
        <v>442.77</v>
      </c>
      <c r="D116" s="1">
        <v>43885</v>
      </c>
      <c r="E116" t="str">
        <f>"966988993/96698899"</f>
        <v>966988993/96698899</v>
      </c>
      <c r="F116" t="str">
        <f>"INV 966988993"</f>
        <v>INV 966988993</v>
      </c>
      <c r="G116" s="2">
        <v>442.77</v>
      </c>
      <c r="H116" t="str">
        <f>"INV 966988993"</f>
        <v>INV 966988993</v>
      </c>
    </row>
    <row r="117" spans="1:8" x14ac:dyDescent="0.25">
      <c r="E117" t="str">
        <f>""</f>
        <v/>
      </c>
      <c r="F117" t="str">
        <f>""</f>
        <v/>
      </c>
      <c r="H117" t="str">
        <f>"INV 966988994"</f>
        <v>INV 966988994</v>
      </c>
    </row>
    <row r="118" spans="1:8" x14ac:dyDescent="0.25">
      <c r="A118" t="s">
        <v>28</v>
      </c>
      <c r="B118">
        <v>130903</v>
      </c>
      <c r="C118" s="2">
        <v>9029.89</v>
      </c>
      <c r="D118" s="1">
        <v>43885</v>
      </c>
      <c r="E118" t="str">
        <f>"111902"</f>
        <v>111902</v>
      </c>
      <c r="F118" t="str">
        <f>"EARLY VOTING KITS/ELECTIONS"</f>
        <v>EARLY VOTING KITS/ELECTIONS</v>
      </c>
      <c r="G118" s="2">
        <v>1848.75</v>
      </c>
      <c r="H118" t="str">
        <f>"EARLY VOTING KITS/ELECTIONS"</f>
        <v>EARLY VOTING KITS/ELECTIONS</v>
      </c>
    </row>
    <row r="119" spans="1:8" x14ac:dyDescent="0.25">
      <c r="E119" t="str">
        <f>"111946"</f>
        <v>111946</v>
      </c>
      <c r="F119" t="str">
        <f>"COLOR LASER PRINT/PAPER/POSTAG"</f>
        <v>COLOR LASER PRINT/PAPER/POSTAG</v>
      </c>
      <c r="G119" s="2">
        <v>2297.09</v>
      </c>
      <c r="H119" t="str">
        <f>"COLOR LASER PRINT/PAPER/POSTAG"</f>
        <v>COLOR LASER PRINT/PAPER/POSTAG</v>
      </c>
    </row>
    <row r="120" spans="1:8" x14ac:dyDescent="0.25">
      <c r="E120" t="str">
        <f>"111947"</f>
        <v>111947</v>
      </c>
      <c r="F120" t="str">
        <f>"COLOR LASER PRINT/PAPER/POSTAG"</f>
        <v>COLOR LASER PRINT/PAPER/POSTAG</v>
      </c>
      <c r="G120" s="2">
        <v>4884.05</v>
      </c>
      <c r="H120" t="str">
        <f>"COLOR LASER PRINT/PAPER/POSTAG"</f>
        <v>COLOR LASER PRINT/PAPER/POSTAG</v>
      </c>
    </row>
    <row r="121" spans="1:8" x14ac:dyDescent="0.25">
      <c r="A121" t="s">
        <v>29</v>
      </c>
      <c r="B121">
        <v>2175</v>
      </c>
      <c r="C121" s="2">
        <v>5535</v>
      </c>
      <c r="D121" s="1">
        <v>43872</v>
      </c>
      <c r="E121" t="str">
        <f>"202001284824"</f>
        <v>202001284824</v>
      </c>
      <c r="F121" t="str">
        <f>"1395-335  423-7008  1392-21"</f>
        <v>1395-335  423-7008  1392-21</v>
      </c>
      <c r="G121" s="2">
        <v>300</v>
      </c>
      <c r="H121" t="str">
        <f>"1395-335  423-7008  1392-21"</f>
        <v>1395-335  423-7008  1392-21</v>
      </c>
    </row>
    <row r="122" spans="1:8" x14ac:dyDescent="0.25">
      <c r="E122" t="str">
        <f>"202001284826"</f>
        <v>202001284826</v>
      </c>
      <c r="F122" t="str">
        <f>"16 604"</f>
        <v>16 604</v>
      </c>
      <c r="G122" s="2">
        <v>100</v>
      </c>
      <c r="H122" t="str">
        <f>"16 604"</f>
        <v>16 604</v>
      </c>
    </row>
    <row r="123" spans="1:8" x14ac:dyDescent="0.25">
      <c r="E123" t="str">
        <f>"202001284827"</f>
        <v>202001284827</v>
      </c>
      <c r="F123" t="str">
        <f>"423-6804"</f>
        <v>423-6804</v>
      </c>
      <c r="G123" s="2">
        <v>100</v>
      </c>
      <c r="H123" t="str">
        <f>"423-6804"</f>
        <v>423-6804</v>
      </c>
    </row>
    <row r="124" spans="1:8" x14ac:dyDescent="0.25">
      <c r="E124" t="str">
        <f>"202001284828"</f>
        <v>202001284828</v>
      </c>
      <c r="F124" t="str">
        <f>"16 365"</f>
        <v>16 365</v>
      </c>
      <c r="G124" s="2">
        <v>400</v>
      </c>
      <c r="H124" t="str">
        <f>"16 365"</f>
        <v>16 365</v>
      </c>
    </row>
    <row r="125" spans="1:8" x14ac:dyDescent="0.25">
      <c r="E125" t="str">
        <f>"202002034933"</f>
        <v>202002034933</v>
      </c>
      <c r="F125" t="str">
        <f>"19-19711"</f>
        <v>19-19711</v>
      </c>
      <c r="G125" s="2">
        <v>280</v>
      </c>
      <c r="H125" t="str">
        <f>"19-19711"</f>
        <v>19-19711</v>
      </c>
    </row>
    <row r="126" spans="1:8" x14ac:dyDescent="0.25">
      <c r="E126" t="str">
        <f>"202002034935"</f>
        <v>202002034935</v>
      </c>
      <c r="F126" t="str">
        <f>"19-19679"</f>
        <v>19-19679</v>
      </c>
      <c r="G126" s="2">
        <v>175</v>
      </c>
      <c r="H126" t="str">
        <f>"19-19679"</f>
        <v>19-19679</v>
      </c>
    </row>
    <row r="127" spans="1:8" x14ac:dyDescent="0.25">
      <c r="E127" t="str">
        <f>"202002034936"</f>
        <v>202002034936</v>
      </c>
      <c r="F127" t="str">
        <f>"19-19704"</f>
        <v>19-19704</v>
      </c>
      <c r="G127" s="2">
        <v>280</v>
      </c>
      <c r="H127" t="str">
        <f>"19-19704"</f>
        <v>19-19704</v>
      </c>
    </row>
    <row r="128" spans="1:8" x14ac:dyDescent="0.25">
      <c r="E128" t="str">
        <f>"202002034937"</f>
        <v>202002034937</v>
      </c>
      <c r="F128" t="str">
        <f>"17-18392"</f>
        <v>17-18392</v>
      </c>
      <c r="G128" s="2">
        <v>340</v>
      </c>
      <c r="H128" t="str">
        <f>"17-18392"</f>
        <v>17-18392</v>
      </c>
    </row>
    <row r="129" spans="1:8" x14ac:dyDescent="0.25">
      <c r="E129" t="str">
        <f>"202002034938"</f>
        <v>202002034938</v>
      </c>
      <c r="F129" t="str">
        <f>"16-17978"</f>
        <v>16-17978</v>
      </c>
      <c r="G129" s="2">
        <v>467.5</v>
      </c>
      <c r="H129" t="str">
        <f>"16-17978"</f>
        <v>16-17978</v>
      </c>
    </row>
    <row r="130" spans="1:8" x14ac:dyDescent="0.25">
      <c r="E130" t="str">
        <f>"202002034966"</f>
        <v>202002034966</v>
      </c>
      <c r="F130" t="str">
        <f>"410179-6"</f>
        <v>410179-6</v>
      </c>
      <c r="G130" s="2">
        <v>250</v>
      </c>
      <c r="H130" t="str">
        <f>"410179-6"</f>
        <v>410179-6</v>
      </c>
    </row>
    <row r="131" spans="1:8" x14ac:dyDescent="0.25">
      <c r="E131" t="str">
        <f>"202002034967"</f>
        <v>202002034967</v>
      </c>
      <c r="F131" t="str">
        <f>"1JP8918A"</f>
        <v>1JP8918A</v>
      </c>
      <c r="G131" s="2">
        <v>250</v>
      </c>
      <c r="H131" t="str">
        <f>"1JP8918A"</f>
        <v>1JP8918A</v>
      </c>
    </row>
    <row r="132" spans="1:8" x14ac:dyDescent="0.25">
      <c r="E132" t="str">
        <f>"202002034990"</f>
        <v>202002034990</v>
      </c>
      <c r="F132" t="str">
        <f>"1408-335"</f>
        <v>1408-335</v>
      </c>
      <c r="G132" s="2">
        <v>100</v>
      </c>
      <c r="H132" t="str">
        <f>"1408-335"</f>
        <v>1408-335</v>
      </c>
    </row>
    <row r="133" spans="1:8" x14ac:dyDescent="0.25">
      <c r="E133" t="str">
        <f>"202002055157"</f>
        <v>202002055157</v>
      </c>
      <c r="F133" t="str">
        <f>"15-17399"</f>
        <v>15-17399</v>
      </c>
      <c r="G133" s="2">
        <v>775</v>
      </c>
      <c r="H133" t="str">
        <f>"15-17399"</f>
        <v>15-17399</v>
      </c>
    </row>
    <row r="134" spans="1:8" x14ac:dyDescent="0.25">
      <c r="E134" t="str">
        <f>"202002055158"</f>
        <v>202002055158</v>
      </c>
      <c r="F134" t="str">
        <f>"18-19190"</f>
        <v>18-19190</v>
      </c>
      <c r="G134" s="2">
        <v>242.5</v>
      </c>
      <c r="H134" t="str">
        <f>"18-19190"</f>
        <v>18-19190</v>
      </c>
    </row>
    <row r="135" spans="1:8" x14ac:dyDescent="0.25">
      <c r="E135" t="str">
        <f>"202002055159"</f>
        <v>202002055159</v>
      </c>
      <c r="F135" t="str">
        <f>"19-19994"</f>
        <v>19-19994</v>
      </c>
      <c r="G135" s="2">
        <v>355</v>
      </c>
      <c r="H135" t="str">
        <f>"19-19994"</f>
        <v>19-19994</v>
      </c>
    </row>
    <row r="136" spans="1:8" x14ac:dyDescent="0.25">
      <c r="E136" t="str">
        <f>"202002055160"</f>
        <v>202002055160</v>
      </c>
      <c r="F136" t="str">
        <f>"19-19994"</f>
        <v>19-19994</v>
      </c>
      <c r="G136" s="2">
        <v>145</v>
      </c>
      <c r="H136" t="str">
        <f>"19-19994"</f>
        <v>19-19994</v>
      </c>
    </row>
    <row r="137" spans="1:8" x14ac:dyDescent="0.25">
      <c r="E137" t="str">
        <f>"202002055170"</f>
        <v>202002055170</v>
      </c>
      <c r="F137" t="str">
        <f>"20-20673"</f>
        <v>20-20673</v>
      </c>
      <c r="G137" s="2">
        <v>100</v>
      </c>
      <c r="H137" t="str">
        <f>"20-20673"</f>
        <v>20-20673</v>
      </c>
    </row>
    <row r="138" spans="1:8" x14ac:dyDescent="0.25">
      <c r="E138" t="str">
        <f>"202002055171"</f>
        <v>202002055171</v>
      </c>
      <c r="F138" t="str">
        <f>"55 757"</f>
        <v>55 757</v>
      </c>
      <c r="G138" s="2">
        <v>250</v>
      </c>
      <c r="H138" t="str">
        <f>"55 757"</f>
        <v>55 757</v>
      </c>
    </row>
    <row r="139" spans="1:8" x14ac:dyDescent="0.25">
      <c r="E139" t="str">
        <f>"202002055172"</f>
        <v>202002055172</v>
      </c>
      <c r="F139" t="str">
        <f>"C17-0076"</f>
        <v>C17-0076</v>
      </c>
      <c r="G139" s="2">
        <v>250</v>
      </c>
      <c r="H139" t="str">
        <f>"C17-0076"</f>
        <v>C17-0076</v>
      </c>
    </row>
    <row r="140" spans="1:8" x14ac:dyDescent="0.25">
      <c r="E140" t="str">
        <f>"202002055173"</f>
        <v>202002055173</v>
      </c>
      <c r="F140" t="str">
        <f>"20180045  20180045A"</f>
        <v>20180045  20180045A</v>
      </c>
      <c r="G140" s="2">
        <v>375</v>
      </c>
      <c r="H140" t="str">
        <f>"20180045  20180045A"</f>
        <v>20180045  20180045A</v>
      </c>
    </row>
    <row r="141" spans="1:8" x14ac:dyDescent="0.25">
      <c r="A141" t="s">
        <v>29</v>
      </c>
      <c r="B141">
        <v>2245</v>
      </c>
      <c r="C141" s="2">
        <v>2400</v>
      </c>
      <c r="D141" s="1">
        <v>43886</v>
      </c>
      <c r="E141" t="str">
        <f>"202002145338"</f>
        <v>202002145338</v>
      </c>
      <c r="F141" t="str">
        <f>"1443-335  423-7115"</f>
        <v>1443-335  423-7115</v>
      </c>
      <c r="G141" s="2">
        <v>200</v>
      </c>
      <c r="H141" t="str">
        <f>"1443-335  423-7115"</f>
        <v>1443-335  423-7115</v>
      </c>
    </row>
    <row r="142" spans="1:8" x14ac:dyDescent="0.25">
      <c r="E142" t="str">
        <f>"202002145351"</f>
        <v>202002145351</v>
      </c>
      <c r="F142" t="str">
        <f>"16 822"</f>
        <v>16 822</v>
      </c>
      <c r="G142" s="2">
        <v>100</v>
      </c>
      <c r="H142" t="str">
        <f>"16 822"</f>
        <v>16 822</v>
      </c>
    </row>
    <row r="143" spans="1:8" x14ac:dyDescent="0.25">
      <c r="E143" t="str">
        <f>"202002145352"</f>
        <v>202002145352</v>
      </c>
      <c r="F143" t="str">
        <f>"1437-21  1442-335"</f>
        <v>1437-21  1442-335</v>
      </c>
      <c r="G143" s="2">
        <v>200</v>
      </c>
      <c r="H143" t="str">
        <f>"1437-21  1442-335"</f>
        <v>1437-21  1442-335</v>
      </c>
    </row>
    <row r="144" spans="1:8" x14ac:dyDescent="0.25">
      <c r="E144" t="str">
        <f>"202002145353"</f>
        <v>202002145353</v>
      </c>
      <c r="F144" t="str">
        <f>"17 073"</f>
        <v>17 073</v>
      </c>
      <c r="G144" s="2">
        <v>600</v>
      </c>
      <c r="H144" t="str">
        <f>"17 073"</f>
        <v>17 073</v>
      </c>
    </row>
    <row r="145" spans="1:8" x14ac:dyDescent="0.25">
      <c r="E145" t="str">
        <f>"202002145354"</f>
        <v>202002145354</v>
      </c>
      <c r="F145" t="str">
        <f>"16 556  C17-0093"</f>
        <v>16 556  C17-0093</v>
      </c>
      <c r="G145" s="2">
        <v>1000</v>
      </c>
      <c r="H145" t="str">
        <f>"16 556  C17-0093"</f>
        <v>16 556  C17-0093</v>
      </c>
    </row>
    <row r="146" spans="1:8" x14ac:dyDescent="0.25">
      <c r="E146" t="str">
        <f>"202002145355"</f>
        <v>202002145355</v>
      </c>
      <c r="F146" t="str">
        <f>"423-7071"</f>
        <v>423-7071</v>
      </c>
      <c r="G146" s="2">
        <v>100</v>
      </c>
      <c r="H146" t="str">
        <f>"423-7071"</f>
        <v>423-7071</v>
      </c>
    </row>
    <row r="147" spans="1:8" x14ac:dyDescent="0.25">
      <c r="E147" t="str">
        <f>"202002195405"</f>
        <v>202002195405</v>
      </c>
      <c r="F147" t="str">
        <f>"NO CAUSE # LISTED"</f>
        <v>NO CAUSE # LISTED</v>
      </c>
      <c r="G147" s="2">
        <v>200</v>
      </c>
      <c r="H147" t="str">
        <f>"NO CAUSE # LISTED"</f>
        <v>NO CAUSE # LISTED</v>
      </c>
    </row>
    <row r="148" spans="1:8" x14ac:dyDescent="0.25">
      <c r="A148" t="s">
        <v>30</v>
      </c>
      <c r="B148">
        <v>130904</v>
      </c>
      <c r="C148" s="2">
        <v>57000</v>
      </c>
      <c r="D148" s="1">
        <v>43885</v>
      </c>
      <c r="E148" t="str">
        <f>"A2062-1"</f>
        <v>A2062-1</v>
      </c>
      <c r="F148" t="str">
        <f>"ANDERSON MACHINERY AUSTIN INC"</f>
        <v>ANDERSON MACHINERY AUSTIN INC</v>
      </c>
      <c r="G148" s="2">
        <v>57000</v>
      </c>
      <c r="H148" t="str">
        <f>"Bomag Roller"</f>
        <v>Bomag Roller</v>
      </c>
    </row>
    <row r="149" spans="1:8" x14ac:dyDescent="0.25">
      <c r="A149" t="s">
        <v>31</v>
      </c>
      <c r="B149">
        <v>130738</v>
      </c>
      <c r="C149" s="2">
        <v>40.92</v>
      </c>
      <c r="D149" s="1">
        <v>43871</v>
      </c>
      <c r="E149" t="str">
        <f>"2001-477400"</f>
        <v>2001-477400</v>
      </c>
      <c r="F149" t="str">
        <f>"ACCT#3-3053/PCT#2"</f>
        <v>ACCT#3-3053/PCT#2</v>
      </c>
      <c r="G149" s="2">
        <v>40.92</v>
      </c>
      <c r="H149" t="str">
        <f>"ACCT#3-3053/PCT#2"</f>
        <v>ACCT#3-3053/PCT#2</v>
      </c>
    </row>
    <row r="150" spans="1:8" x14ac:dyDescent="0.25">
      <c r="A150" t="s">
        <v>32</v>
      </c>
      <c r="B150">
        <v>130739</v>
      </c>
      <c r="C150" s="2">
        <v>521.42999999999995</v>
      </c>
      <c r="D150" s="1">
        <v>43871</v>
      </c>
      <c r="E150" t="str">
        <f>"202002034991"</f>
        <v>202002034991</v>
      </c>
      <c r="F150" t="str">
        <f>"ACCT#010602/COMMISSIONER'S OFF"</f>
        <v>ACCT#010602/COMMISSIONER'S OFF</v>
      </c>
      <c r="G150" s="2">
        <v>31.5</v>
      </c>
      <c r="H150" t="str">
        <f>"ACCT#010602/COMMISSIONER'S OFF"</f>
        <v>ACCT#010602/COMMISSIONER'S OFF</v>
      </c>
    </row>
    <row r="151" spans="1:8" x14ac:dyDescent="0.25">
      <c r="E151" t="str">
        <f>"202002034992"</f>
        <v>202002034992</v>
      </c>
      <c r="F151" t="str">
        <f>"ACCT#010057/AUDITOR"</f>
        <v>ACCT#010057/AUDITOR</v>
      </c>
      <c r="G151" s="2">
        <v>45</v>
      </c>
      <c r="H151" t="str">
        <f>"ACCT#010057/AUDITOR"</f>
        <v>ACCT#010057/AUDITOR</v>
      </c>
    </row>
    <row r="152" spans="1:8" x14ac:dyDescent="0.25">
      <c r="E152" t="str">
        <f>"202002034993"</f>
        <v>202002034993</v>
      </c>
      <c r="F152" t="str">
        <f>"ACCT#010835/COMMISSIONER PCT1"</f>
        <v>ACCT#010835/COMMISSIONER PCT1</v>
      </c>
      <c r="G152" s="2">
        <v>32.979999999999997</v>
      </c>
      <c r="H152" t="str">
        <f>"ACCT#010835/COMMISSIONER PCT1"</f>
        <v>ACCT#010835/COMMISSIONER PCT1</v>
      </c>
    </row>
    <row r="153" spans="1:8" x14ac:dyDescent="0.25">
      <c r="E153" t="str">
        <f>"202002034994"</f>
        <v>202002034994</v>
      </c>
      <c r="F153" t="str">
        <f>"ACCT#011280/COUNTY CLERK"</f>
        <v>ACCT#011280/COUNTY CLERK</v>
      </c>
      <c r="G153" s="2">
        <v>46.5</v>
      </c>
      <c r="H153" t="str">
        <f>"ACCT#011280/COUNTY CLERK"</f>
        <v>ACCT#011280/COUNTY CLERK</v>
      </c>
    </row>
    <row r="154" spans="1:8" x14ac:dyDescent="0.25">
      <c r="E154" t="str">
        <f>"202002034995"</f>
        <v>202002034995</v>
      </c>
      <c r="F154" t="str">
        <f>"ACCT#012231/DIST JUDGE OFICE"</f>
        <v>ACCT#012231/DIST JUDGE OFICE</v>
      </c>
      <c r="G154" s="2">
        <v>10</v>
      </c>
      <c r="H154" t="str">
        <f>"ACCT#012231/DIST JUDGE OFICE"</f>
        <v>ACCT#012231/DIST JUDGE OFICE</v>
      </c>
    </row>
    <row r="155" spans="1:8" x14ac:dyDescent="0.25">
      <c r="E155" t="str">
        <f>"202002034996"</f>
        <v>202002034996</v>
      </c>
      <c r="F155" t="str">
        <f>"ACCT#011955/DISTRICT JUDGE"</f>
        <v>ACCT#011955/DISTRICT JUDGE</v>
      </c>
      <c r="G155" s="2">
        <v>48</v>
      </c>
      <c r="H155" t="str">
        <f>"ACCT#011955/DISTRICT JUDGE"</f>
        <v>ACCT#011955/DISTRICT JUDGE</v>
      </c>
    </row>
    <row r="156" spans="1:8" x14ac:dyDescent="0.25">
      <c r="E156" t="str">
        <f>"202002034997"</f>
        <v>202002034997</v>
      </c>
      <c r="F156" t="str">
        <f>"ACCT#012803/BASTROP CO JUDGE"</f>
        <v>ACCT#012803/BASTROP CO JUDGE</v>
      </c>
      <c r="G156" s="2">
        <v>18</v>
      </c>
      <c r="H156" t="str">
        <f>"ACCT#012803/BASTROP CO JUDGE"</f>
        <v>ACCT#012803/BASTROP CO JUDGE</v>
      </c>
    </row>
    <row r="157" spans="1:8" x14ac:dyDescent="0.25">
      <c r="E157" t="str">
        <f>"202002034998"</f>
        <v>202002034998</v>
      </c>
      <c r="F157" t="str">
        <f>"ACCT#012571/TREASURER"</f>
        <v>ACCT#012571/TREASURER</v>
      </c>
      <c r="G157" s="2">
        <v>16.5</v>
      </c>
      <c r="H157" t="str">
        <f>"ACCT#012571/TREASURER"</f>
        <v>ACCT#012571/TREASURER</v>
      </c>
    </row>
    <row r="158" spans="1:8" x14ac:dyDescent="0.25">
      <c r="E158" t="str">
        <f>"202002045000"</f>
        <v>202002045000</v>
      </c>
      <c r="F158" t="str">
        <f>"ACCT#014877/INDIGENT HEALTH"</f>
        <v>ACCT#014877/INDIGENT HEALTH</v>
      </c>
      <c r="G158" s="2">
        <v>20.99</v>
      </c>
      <c r="H158" t="str">
        <f>"ACCT#014877/INDIGENT HEALTH"</f>
        <v>ACCT#014877/INDIGENT HEALTH</v>
      </c>
    </row>
    <row r="159" spans="1:8" x14ac:dyDescent="0.25">
      <c r="E159" t="str">
        <f>"202002045002"</f>
        <v>202002045002</v>
      </c>
      <c r="F159" t="str">
        <f>"ACCT#010238/GENERAL SERVICES"</f>
        <v>ACCT#010238/GENERAL SERVICES</v>
      </c>
      <c r="G159" s="2">
        <v>57.99</v>
      </c>
      <c r="H159" t="str">
        <f>"ACCT#010238/GENERAL SERVICES"</f>
        <v>ACCT#010238/GENERAL SERVICES</v>
      </c>
    </row>
    <row r="160" spans="1:8" x14ac:dyDescent="0.25">
      <c r="E160" t="str">
        <f>"202002045003"</f>
        <v>202002045003</v>
      </c>
      <c r="F160" t="str">
        <f>"ACCT#010149/TEXAS AGRI LIFE EX"</f>
        <v>ACCT#010149/TEXAS AGRI LIFE EX</v>
      </c>
      <c r="G160" s="2">
        <v>15</v>
      </c>
      <c r="H160" t="str">
        <f>"ACCT#010149/TEXAS AGRI LIFE EX"</f>
        <v>ACCT#010149/TEXAS AGRI LIFE EX</v>
      </c>
    </row>
    <row r="161" spans="1:8" x14ac:dyDescent="0.25">
      <c r="E161" t="str">
        <f>"202002045004"</f>
        <v>202002045004</v>
      </c>
      <c r="F161" t="str">
        <f>"ACCT#015476/PURCHASING DEPT"</f>
        <v>ACCT#015476/PURCHASING DEPT</v>
      </c>
      <c r="G161" s="2">
        <v>10.49</v>
      </c>
      <c r="H161" t="str">
        <f>"ACCT#015476/PURCHASING DEPT"</f>
        <v>ACCT#015476/PURCHASING DEPT</v>
      </c>
    </row>
    <row r="162" spans="1:8" x14ac:dyDescent="0.25">
      <c r="E162" t="str">
        <f>"202002045005"</f>
        <v>202002045005</v>
      </c>
      <c r="F162" t="str">
        <f>"ACCT#015199/JP#1"</f>
        <v>ACCT#015199/JP#1</v>
      </c>
      <c r="G162" s="2">
        <v>19.489999999999998</v>
      </c>
      <c r="H162" t="str">
        <f>"ACCT#015199/JP#1"</f>
        <v>ACCT#015199/JP#1</v>
      </c>
    </row>
    <row r="163" spans="1:8" x14ac:dyDescent="0.25">
      <c r="E163" t="str">
        <f>"202002045006"</f>
        <v>202002045006</v>
      </c>
      <c r="F163" t="str">
        <f>"ACCT#011033/IT DEPT"</f>
        <v>ACCT#011033/IT DEPT</v>
      </c>
      <c r="G163" s="2">
        <v>76.5</v>
      </c>
      <c r="H163" t="str">
        <f>"ACCT#011033/IT DEPT"</f>
        <v>ACCT#011033/IT DEPT</v>
      </c>
    </row>
    <row r="164" spans="1:8" x14ac:dyDescent="0.25">
      <c r="E164" t="str">
        <f>"202002045017"</f>
        <v>202002045017</v>
      </c>
      <c r="F164" t="str">
        <f>"ACCT#014737/ANIMAL SERVICE"</f>
        <v>ACCT#014737/ANIMAL SERVICE</v>
      </c>
      <c r="G164" s="2">
        <v>54.99</v>
      </c>
      <c r="H164" t="str">
        <f>"ACCT#014737/ANIMAL SERVICE"</f>
        <v>ACCT#014737/ANIMAL SERVICE</v>
      </c>
    </row>
    <row r="165" spans="1:8" x14ac:dyDescent="0.25">
      <c r="E165" t="str">
        <f>"202002055189"</f>
        <v>202002055189</v>
      </c>
      <c r="F165" t="str">
        <f>"ACCT#013393/HUMAN RESOURCES"</f>
        <v>ACCT#013393/HUMAN RESOURCES</v>
      </c>
      <c r="G165" s="2">
        <v>17.5</v>
      </c>
      <c r="H165" t="str">
        <f>"ACCT#013393/HUMAN RESOURCES"</f>
        <v>ACCT#013393/HUMAN RESOURCES</v>
      </c>
    </row>
    <row r="166" spans="1:8" x14ac:dyDescent="0.25">
      <c r="A166" t="s">
        <v>33</v>
      </c>
      <c r="B166">
        <v>130879</v>
      </c>
      <c r="C166" s="2">
        <v>55.2</v>
      </c>
      <c r="D166" s="1">
        <v>43872</v>
      </c>
      <c r="E166" t="str">
        <f>"202002115241"</f>
        <v>202002115241</v>
      </c>
      <c r="F166" t="str">
        <f>"ACCT#0201855301 / 02052020"</f>
        <v>ACCT#0201855301 / 02052020</v>
      </c>
      <c r="G166" s="2">
        <v>29.92</v>
      </c>
      <c r="H166" t="str">
        <f>"ACCT#0201855301 / 02052020"</f>
        <v>ACCT#0201855301 / 02052020</v>
      </c>
    </row>
    <row r="167" spans="1:8" x14ac:dyDescent="0.25">
      <c r="E167" t="str">
        <f>"202002115242"</f>
        <v>202002115242</v>
      </c>
      <c r="F167" t="str">
        <f>"ACCT#0201891401 / 02052020"</f>
        <v>ACCT#0201891401 / 02052020</v>
      </c>
      <c r="G167" s="2">
        <v>25.28</v>
      </c>
      <c r="H167" t="str">
        <f>"ACCT#0201891401 / 02052020"</f>
        <v>ACCT#0201891401 / 02052020</v>
      </c>
    </row>
    <row r="168" spans="1:8" x14ac:dyDescent="0.25">
      <c r="A168" t="s">
        <v>33</v>
      </c>
      <c r="B168">
        <v>130896</v>
      </c>
      <c r="C168" s="2">
        <v>1314.92</v>
      </c>
      <c r="D168" s="1">
        <v>43881</v>
      </c>
      <c r="E168" t="str">
        <f>"202002205463"</f>
        <v>202002205463</v>
      </c>
      <c r="F168" t="str">
        <f>"ACCT#0102120801 / 02202020"</f>
        <v>ACCT#0102120801 / 02202020</v>
      </c>
      <c r="G168" s="2">
        <v>350.36</v>
      </c>
      <c r="H168" t="str">
        <f>"AQUA WATER SUPPLY CORPORATION"</f>
        <v>AQUA WATER SUPPLY CORPORATION</v>
      </c>
    </row>
    <row r="169" spans="1:8" x14ac:dyDescent="0.25">
      <c r="E169" t="str">
        <f>"202002205464"</f>
        <v>202002205464</v>
      </c>
      <c r="F169" t="str">
        <f>"ACCT#0400785803 / 02202020"</f>
        <v>ACCT#0400785803 / 02202020</v>
      </c>
      <c r="G169" s="2">
        <v>250.86</v>
      </c>
      <c r="H169" t="str">
        <f>"ACCT#0400785803 / 02202020"</f>
        <v>ACCT#0400785803 / 02202020</v>
      </c>
    </row>
    <row r="170" spans="1:8" x14ac:dyDescent="0.25">
      <c r="E170" t="str">
        <f>"202002205465"</f>
        <v>202002205465</v>
      </c>
      <c r="F170" t="str">
        <f>"ACCT#0401408501 / 02202020"</f>
        <v>ACCT#0401408501 / 02202020</v>
      </c>
      <c r="G170" s="2">
        <v>649.21</v>
      </c>
      <c r="H170" t="str">
        <f>"ACCT#0401408501 / 02202020"</f>
        <v>ACCT#0401408501 / 02202020</v>
      </c>
    </row>
    <row r="171" spans="1:8" x14ac:dyDescent="0.25">
      <c r="E171" t="str">
        <f>"202002205466"</f>
        <v>202002205466</v>
      </c>
      <c r="F171" t="str">
        <f>"ACCT#0800042801 / 02202020"</f>
        <v>ACCT#0800042801 / 02202020</v>
      </c>
      <c r="G171" s="2">
        <v>38.82</v>
      </c>
      <c r="H171" t="str">
        <f>"ACCT#0800042801 / 02202020"</f>
        <v>ACCT#0800042801 / 02202020</v>
      </c>
    </row>
    <row r="172" spans="1:8" x14ac:dyDescent="0.25">
      <c r="E172" t="str">
        <f>"202002205467"</f>
        <v>202002205467</v>
      </c>
      <c r="F172" t="str">
        <f>"ACCT#0802361501 / 02202020"</f>
        <v>ACCT#0802361501 / 02202020</v>
      </c>
      <c r="G172" s="2">
        <v>25.67</v>
      </c>
      <c r="H172" t="str">
        <f>"ACCT#0802361501 / 02202020"</f>
        <v>ACCT#0802361501 / 02202020</v>
      </c>
    </row>
    <row r="173" spans="1:8" x14ac:dyDescent="0.25">
      <c r="A173" t="s">
        <v>33</v>
      </c>
      <c r="B173">
        <v>130905</v>
      </c>
      <c r="C173" s="2">
        <v>830.25</v>
      </c>
      <c r="D173" s="1">
        <v>43885</v>
      </c>
      <c r="E173" t="str">
        <f>"202002125287"</f>
        <v>202002125287</v>
      </c>
      <c r="F173" t="str">
        <f>"ACCT#7700010024/PCT#1"</f>
        <v>ACCT#7700010024/PCT#1</v>
      </c>
      <c r="G173" s="2">
        <v>30.75</v>
      </c>
      <c r="H173" t="str">
        <f>"ACCT#7700010024/PCT#1"</f>
        <v>ACCT#7700010024/PCT#1</v>
      </c>
    </row>
    <row r="174" spans="1:8" x14ac:dyDescent="0.25">
      <c r="E174" t="str">
        <f>"202002125294"</f>
        <v>202002125294</v>
      </c>
      <c r="F174" t="str">
        <f>"ACCT#7700010025/4 LDS WATER"</f>
        <v>ACCT#7700010025/4 LDS WATER</v>
      </c>
      <c r="G174" s="2">
        <v>41</v>
      </c>
      <c r="H174" t="str">
        <f>"ACCT#7700010025/4 LDS WATER"</f>
        <v>ACCT#7700010025/4 LDS WATER</v>
      </c>
    </row>
    <row r="175" spans="1:8" x14ac:dyDescent="0.25">
      <c r="E175" t="str">
        <f>"202002135313"</f>
        <v>202002135313</v>
      </c>
      <c r="F175" t="str">
        <f>"ACCT#7700010027/30 LDS WTR/P4"</f>
        <v>ACCT#7700010027/30 LDS WTR/P4</v>
      </c>
      <c r="G175" s="2">
        <v>307.5</v>
      </c>
      <c r="H175" t="str">
        <f>"ACCT#7700010027/30 LDS WTR/P4"</f>
        <v>ACCT#7700010027/30 LDS WTR/P4</v>
      </c>
    </row>
    <row r="176" spans="1:8" x14ac:dyDescent="0.25">
      <c r="E176" t="str">
        <f>"202002135318"</f>
        <v>202002135318</v>
      </c>
      <c r="F176" t="str">
        <f>"ACCT#7700010026/44 LDS WTR/P3"</f>
        <v>ACCT#7700010026/44 LDS WTR/P3</v>
      </c>
      <c r="G176" s="2">
        <v>451</v>
      </c>
      <c r="H176" t="str">
        <f>"ACCT#7700010026/44 LDS WTR/P3"</f>
        <v>ACCT#7700010026/44 LDS WTR/P3</v>
      </c>
    </row>
    <row r="177" spans="1:8" x14ac:dyDescent="0.25">
      <c r="A177" t="s">
        <v>34</v>
      </c>
      <c r="B177">
        <v>2117</v>
      </c>
      <c r="C177" s="2">
        <v>151.94999999999999</v>
      </c>
      <c r="D177" s="1">
        <v>43872</v>
      </c>
      <c r="E177" t="str">
        <f>"RSA048655-2"</f>
        <v>RSA048655-2</v>
      </c>
      <c r="F177" t="str">
        <f>"CUST#BP0014528/PCT#4"</f>
        <v>CUST#BP0014528/PCT#4</v>
      </c>
      <c r="G177" s="2">
        <v>-145</v>
      </c>
      <c r="H177" t="str">
        <f>"CUST#BP0014528/PCT#4"</f>
        <v>CUST#BP0014528/PCT#4</v>
      </c>
    </row>
    <row r="178" spans="1:8" x14ac:dyDescent="0.25">
      <c r="E178" t="str">
        <f>"PSO134246-1"</f>
        <v>PSO134246-1</v>
      </c>
      <c r="F178" t="str">
        <f>"CUST#BP0014528/PCT#4"</f>
        <v>CUST#BP0014528/PCT#4</v>
      </c>
      <c r="G178" s="2">
        <v>6.95</v>
      </c>
      <c r="H178" t="str">
        <f>"CUST#BP0014528/PCT#4"</f>
        <v>CUST#BP0014528/PCT#4</v>
      </c>
    </row>
    <row r="179" spans="1:8" x14ac:dyDescent="0.25">
      <c r="E179" t="str">
        <f>"RSA048655-1"</f>
        <v>RSA048655-1</v>
      </c>
      <c r="F179" t="str">
        <f>"CUST#BP0014528/PCT#4"</f>
        <v>CUST#BP0014528/PCT#4</v>
      </c>
      <c r="G179" s="2">
        <v>290</v>
      </c>
      <c r="H179" t="str">
        <f>"CUST#BP0014528/PCT#4"</f>
        <v>CUST#BP0014528/PCT#4</v>
      </c>
    </row>
    <row r="180" spans="1:8" x14ac:dyDescent="0.25">
      <c r="A180" t="s">
        <v>35</v>
      </c>
      <c r="B180">
        <v>130740</v>
      </c>
      <c r="C180" s="2">
        <v>32.94</v>
      </c>
      <c r="D180" s="1">
        <v>43871</v>
      </c>
      <c r="E180" t="str">
        <f>"202002045127"</f>
        <v>202002045127</v>
      </c>
      <c r="F180" t="str">
        <f>"PAIL REFILL"</f>
        <v>PAIL REFILL</v>
      </c>
      <c r="G180" s="2">
        <v>32.94</v>
      </c>
      <c r="H180" t="str">
        <f>"PAIL REFILL"</f>
        <v>PAIL REFILL</v>
      </c>
    </row>
    <row r="181" spans="1:8" x14ac:dyDescent="0.25">
      <c r="A181" t="s">
        <v>36</v>
      </c>
      <c r="B181">
        <v>130906</v>
      </c>
      <c r="C181" s="2">
        <v>1300</v>
      </c>
      <c r="D181" s="1">
        <v>43885</v>
      </c>
      <c r="E181" t="str">
        <f>"202002145344"</f>
        <v>202002145344</v>
      </c>
      <c r="F181" t="str">
        <f>"FILM COMMISSION MEMBERSHIP"</f>
        <v>FILM COMMISSION MEMBERSHIP</v>
      </c>
      <c r="G181" s="2">
        <v>1300</v>
      </c>
    </row>
    <row r="182" spans="1:8" x14ac:dyDescent="0.25">
      <c r="A182" t="s">
        <v>36</v>
      </c>
      <c r="B182">
        <v>130906</v>
      </c>
      <c r="C182" s="2">
        <v>1300</v>
      </c>
      <c r="D182" s="1">
        <v>43885</v>
      </c>
      <c r="E182" t="str">
        <f>"CHECK"</f>
        <v>CHECK</v>
      </c>
      <c r="F182" t="str">
        <f>""</f>
        <v/>
      </c>
      <c r="G182" s="2">
        <v>1300</v>
      </c>
    </row>
    <row r="183" spans="1:8" x14ac:dyDescent="0.25">
      <c r="A183" t="s">
        <v>36</v>
      </c>
      <c r="B183">
        <v>131073</v>
      </c>
      <c r="C183" s="2">
        <v>950</v>
      </c>
      <c r="D183" s="1">
        <v>43885</v>
      </c>
      <c r="E183" t="str">
        <f>"MD20-03470"</f>
        <v>MD20-03470</v>
      </c>
      <c r="F183" t="str">
        <f>"MEMBERSHIP DUES - 2020"</f>
        <v>MEMBERSHIP DUES - 2020</v>
      </c>
      <c r="G183" s="2">
        <v>950</v>
      </c>
      <c r="H183" t="str">
        <f>"MEMBERSHIP DUES - 2020"</f>
        <v>MEMBERSHIP DUES - 2020</v>
      </c>
    </row>
    <row r="184" spans="1:8" x14ac:dyDescent="0.25">
      <c r="A184" t="s">
        <v>37</v>
      </c>
      <c r="B184">
        <v>130741</v>
      </c>
      <c r="C184" s="2">
        <v>5733.61</v>
      </c>
      <c r="D184" s="1">
        <v>43871</v>
      </c>
      <c r="E184" t="str">
        <f>"202002034984"</f>
        <v>202002034984</v>
      </c>
      <c r="F184" t="str">
        <f>"ACCT#512A49-0048 193 3"</f>
        <v>ACCT#512A49-0048 193 3</v>
      </c>
      <c r="G184" s="2">
        <v>5733.61</v>
      </c>
      <c r="H184" t="str">
        <f>"ACCT#512A49-0048 193 3"</f>
        <v>ACCT#512A49-0048 193 3</v>
      </c>
    </row>
    <row r="185" spans="1:8" x14ac:dyDescent="0.25">
      <c r="E185" t="str">
        <f>""</f>
        <v/>
      </c>
      <c r="F185" t="str">
        <f>""</f>
        <v/>
      </c>
      <c r="H185" t="str">
        <f>"ACCT#512A49-0048 193 3"</f>
        <v>ACCT#512A49-0048 193 3</v>
      </c>
    </row>
    <row r="186" spans="1:8" x14ac:dyDescent="0.25">
      <c r="E186" t="str">
        <f>""</f>
        <v/>
      </c>
      <c r="F186" t="str">
        <f>""</f>
        <v/>
      </c>
      <c r="H186" t="str">
        <f>"ACCT#512A49-0048 193 3"</f>
        <v>ACCT#512A49-0048 193 3</v>
      </c>
    </row>
    <row r="187" spans="1:8" x14ac:dyDescent="0.25">
      <c r="E187" t="str">
        <f>""</f>
        <v/>
      </c>
      <c r="F187" t="str">
        <f>""</f>
        <v/>
      </c>
      <c r="H187" t="str">
        <f>"ACCT#512A49-0048 193 3"</f>
        <v>ACCT#512A49-0048 193 3</v>
      </c>
    </row>
    <row r="188" spans="1:8" x14ac:dyDescent="0.25">
      <c r="A188" t="s">
        <v>37</v>
      </c>
      <c r="B188">
        <v>130742</v>
      </c>
      <c r="C188" s="2">
        <v>4559.32</v>
      </c>
      <c r="D188" s="1">
        <v>43871</v>
      </c>
      <c r="E188" t="str">
        <f>"1589572502"</f>
        <v>1589572502</v>
      </c>
      <c r="F188" t="str">
        <f>"ACCT#831-000-7919 623"</f>
        <v>ACCT#831-000-7919 623</v>
      </c>
      <c r="G188" s="2">
        <v>2000.38</v>
      </c>
      <c r="H188" t="str">
        <f>"ACCT#831-000-7919 623"</f>
        <v>ACCT#831-000-7919 623</v>
      </c>
    </row>
    <row r="189" spans="1:8" x14ac:dyDescent="0.25">
      <c r="E189" t="str">
        <f>"5806632502"</f>
        <v>5806632502</v>
      </c>
      <c r="F189" t="str">
        <f>"ACCT#831-000-7218 923"</f>
        <v>ACCT#831-000-7218 923</v>
      </c>
      <c r="G189" s="2">
        <v>874.25</v>
      </c>
      <c r="H189" t="str">
        <f>"ACCT#831-000-7218 923"</f>
        <v>ACCT#831-000-7218 923</v>
      </c>
    </row>
    <row r="190" spans="1:8" x14ac:dyDescent="0.25">
      <c r="E190" t="str">
        <f>"9165582507"</f>
        <v>9165582507</v>
      </c>
      <c r="F190" t="str">
        <f>"ACCT#831-000-6084 095"</f>
        <v>ACCT#831-000-6084 095</v>
      </c>
      <c r="G190" s="2">
        <v>1684.69</v>
      </c>
      <c r="H190" t="str">
        <f>"ACCT#831-000-6084 095"</f>
        <v>ACCT#831-000-6084 095</v>
      </c>
    </row>
    <row r="191" spans="1:8" x14ac:dyDescent="0.25">
      <c r="A191" t="s">
        <v>37</v>
      </c>
      <c r="B191">
        <v>130743</v>
      </c>
      <c r="C191" s="2">
        <v>492.08</v>
      </c>
      <c r="D191" s="1">
        <v>43871</v>
      </c>
      <c r="E191" t="str">
        <f>"202002034985"</f>
        <v>202002034985</v>
      </c>
      <c r="F191" t="str">
        <f>"ACCT#512 308-9870 530 7"</f>
        <v>ACCT#512 308-9870 530 7</v>
      </c>
      <c r="G191" s="2">
        <v>492.08</v>
      </c>
      <c r="H191" t="str">
        <f>"ACCT#512 308-9870 530 7"</f>
        <v>ACCT#512 308-9870 530 7</v>
      </c>
    </row>
    <row r="192" spans="1:8" x14ac:dyDescent="0.25">
      <c r="A192" t="s">
        <v>37</v>
      </c>
      <c r="B192">
        <v>130907</v>
      </c>
      <c r="C192" s="2">
        <v>1807.17</v>
      </c>
      <c r="D192" s="1">
        <v>43885</v>
      </c>
      <c r="E192" t="str">
        <f>"5123031080LE/JA"</f>
        <v>5123031080LE/JA</v>
      </c>
      <c r="F192" t="str">
        <f>"ACCT. 512 303-1080 238 5"</f>
        <v>ACCT. 512 303-1080 238 5</v>
      </c>
      <c r="G192" s="2">
        <v>1807.17</v>
      </c>
      <c r="H192" t="str">
        <f>"ACCT. 5123031080 LE"</f>
        <v>ACCT. 5123031080 LE</v>
      </c>
    </row>
    <row r="193" spans="1:8" x14ac:dyDescent="0.25">
      <c r="E193" t="str">
        <f>""</f>
        <v/>
      </c>
      <c r="F193" t="str">
        <f>""</f>
        <v/>
      </c>
      <c r="H193" t="str">
        <f>"ACCT. 5123031080 JA"</f>
        <v>ACCT. 5123031080 JA</v>
      </c>
    </row>
    <row r="194" spans="1:8" x14ac:dyDescent="0.25">
      <c r="A194" t="s">
        <v>38</v>
      </c>
      <c r="B194">
        <v>130744</v>
      </c>
      <c r="C194" s="2">
        <v>3127.55</v>
      </c>
      <c r="D194" s="1">
        <v>43871</v>
      </c>
      <c r="E194" t="str">
        <f>"287290524359X01272"</f>
        <v>287290524359X01272</v>
      </c>
      <c r="F194" t="str">
        <f>"ACCT#28729054359"</f>
        <v>ACCT#28729054359</v>
      </c>
      <c r="G194" s="2">
        <v>3127.55</v>
      </c>
      <c r="H194" t="str">
        <f t="shared" ref="H194:H200" si="6">"ACCT#28729054359"</f>
        <v>ACCT#28729054359</v>
      </c>
    </row>
    <row r="195" spans="1:8" x14ac:dyDescent="0.25">
      <c r="E195" t="str">
        <f>""</f>
        <v/>
      </c>
      <c r="F195" t="str">
        <f>""</f>
        <v/>
      </c>
      <c r="H195" t="str">
        <f t="shared" si="6"/>
        <v>ACCT#28729054359</v>
      </c>
    </row>
    <row r="196" spans="1:8" x14ac:dyDescent="0.25">
      <c r="E196" t="str">
        <f>""</f>
        <v/>
      </c>
      <c r="F196" t="str">
        <f>""</f>
        <v/>
      </c>
      <c r="H196" t="str">
        <f t="shared" si="6"/>
        <v>ACCT#28729054359</v>
      </c>
    </row>
    <row r="197" spans="1:8" x14ac:dyDescent="0.25">
      <c r="E197" t="str">
        <f>""</f>
        <v/>
      </c>
      <c r="F197" t="str">
        <f>""</f>
        <v/>
      </c>
      <c r="H197" t="str">
        <f t="shared" si="6"/>
        <v>ACCT#28729054359</v>
      </c>
    </row>
    <row r="198" spans="1:8" x14ac:dyDescent="0.25">
      <c r="E198" t="str">
        <f>""</f>
        <v/>
      </c>
      <c r="F198" t="str">
        <f>""</f>
        <v/>
      </c>
      <c r="H198" t="str">
        <f t="shared" si="6"/>
        <v>ACCT#28729054359</v>
      </c>
    </row>
    <row r="199" spans="1:8" x14ac:dyDescent="0.25">
      <c r="E199" t="str">
        <f>""</f>
        <v/>
      </c>
      <c r="F199" t="str">
        <f>""</f>
        <v/>
      </c>
      <c r="H199" t="str">
        <f t="shared" si="6"/>
        <v>ACCT#28729054359</v>
      </c>
    </row>
    <row r="200" spans="1:8" x14ac:dyDescent="0.25">
      <c r="E200" t="str">
        <f>""</f>
        <v/>
      </c>
      <c r="F200" t="str">
        <f>""</f>
        <v/>
      </c>
      <c r="H200" t="str">
        <f t="shared" si="6"/>
        <v>ACCT#28729054359</v>
      </c>
    </row>
    <row r="201" spans="1:8" x14ac:dyDescent="0.25">
      <c r="A201" t="s">
        <v>38</v>
      </c>
      <c r="B201">
        <v>130908</v>
      </c>
      <c r="C201" s="2">
        <v>1520.58</v>
      </c>
      <c r="D201" s="1">
        <v>43885</v>
      </c>
      <c r="E201" t="str">
        <f>"202002195447"</f>
        <v>202002195447</v>
      </c>
      <c r="F201" t="str">
        <f>"INV 287280903541X02202020"</f>
        <v>INV 287280903541X02202020</v>
      </c>
      <c r="G201" s="2">
        <v>217.91</v>
      </c>
      <c r="H201" t="str">
        <f>"ACCT. 287280903541"</f>
        <v>ACCT. 287280903541</v>
      </c>
    </row>
    <row r="202" spans="1:8" x14ac:dyDescent="0.25">
      <c r="E202" t="str">
        <f>"263291654X02202020"</f>
        <v>263291654X02202020</v>
      </c>
      <c r="F202" t="str">
        <f>"ACCT#06062279/IT OFFICE"</f>
        <v>ACCT#06062279/IT OFFICE</v>
      </c>
      <c r="G202" s="2">
        <v>1302.67</v>
      </c>
      <c r="H202" t="str">
        <f t="shared" ref="H202:H216" si="7">"ACCT#06062279/IT OFFICE"</f>
        <v>ACCT#06062279/IT OFFICE</v>
      </c>
    </row>
    <row r="203" spans="1:8" x14ac:dyDescent="0.25">
      <c r="E203" t="str">
        <f>""</f>
        <v/>
      </c>
      <c r="F203" t="str">
        <f>""</f>
        <v/>
      </c>
      <c r="H203" t="str">
        <f t="shared" si="7"/>
        <v>ACCT#06062279/IT OFFICE</v>
      </c>
    </row>
    <row r="204" spans="1:8" x14ac:dyDescent="0.25">
      <c r="E204" t="str">
        <f>""</f>
        <v/>
      </c>
      <c r="F204" t="str">
        <f>""</f>
        <v/>
      </c>
      <c r="H204" t="str">
        <f t="shared" si="7"/>
        <v>ACCT#06062279/IT OFFICE</v>
      </c>
    </row>
    <row r="205" spans="1:8" x14ac:dyDescent="0.25">
      <c r="E205" t="str">
        <f>""</f>
        <v/>
      </c>
      <c r="F205" t="str">
        <f>""</f>
        <v/>
      </c>
      <c r="H205" t="str">
        <f t="shared" si="7"/>
        <v>ACCT#06062279/IT OFFICE</v>
      </c>
    </row>
    <row r="206" spans="1:8" x14ac:dyDescent="0.25">
      <c r="E206" t="str">
        <f>""</f>
        <v/>
      </c>
      <c r="F206" t="str">
        <f>""</f>
        <v/>
      </c>
      <c r="H206" t="str">
        <f t="shared" si="7"/>
        <v>ACCT#06062279/IT OFFICE</v>
      </c>
    </row>
    <row r="207" spans="1:8" x14ac:dyDescent="0.25">
      <c r="E207" t="str">
        <f>""</f>
        <v/>
      </c>
      <c r="F207" t="str">
        <f>""</f>
        <v/>
      </c>
      <c r="H207" t="str">
        <f t="shared" si="7"/>
        <v>ACCT#06062279/IT OFFICE</v>
      </c>
    </row>
    <row r="208" spans="1:8" x14ac:dyDescent="0.25">
      <c r="E208" t="str">
        <f>""</f>
        <v/>
      </c>
      <c r="F208" t="str">
        <f>""</f>
        <v/>
      </c>
      <c r="H208" t="str">
        <f t="shared" si="7"/>
        <v>ACCT#06062279/IT OFFICE</v>
      </c>
    </row>
    <row r="209" spans="1:8" x14ac:dyDescent="0.25">
      <c r="E209" t="str">
        <f>""</f>
        <v/>
      </c>
      <c r="F209" t="str">
        <f>""</f>
        <v/>
      </c>
      <c r="H209" t="str">
        <f t="shared" si="7"/>
        <v>ACCT#06062279/IT OFFICE</v>
      </c>
    </row>
    <row r="210" spans="1:8" x14ac:dyDescent="0.25">
      <c r="E210" t="str">
        <f>""</f>
        <v/>
      </c>
      <c r="F210" t="str">
        <f>""</f>
        <v/>
      </c>
      <c r="H210" t="str">
        <f t="shared" si="7"/>
        <v>ACCT#06062279/IT OFFICE</v>
      </c>
    </row>
    <row r="211" spans="1:8" x14ac:dyDescent="0.25">
      <c r="E211" t="str">
        <f>""</f>
        <v/>
      </c>
      <c r="F211" t="str">
        <f>""</f>
        <v/>
      </c>
      <c r="H211" t="str">
        <f t="shared" si="7"/>
        <v>ACCT#06062279/IT OFFICE</v>
      </c>
    </row>
    <row r="212" spans="1:8" x14ac:dyDescent="0.25">
      <c r="E212" t="str">
        <f>""</f>
        <v/>
      </c>
      <c r="F212" t="str">
        <f>""</f>
        <v/>
      </c>
      <c r="H212" t="str">
        <f t="shared" si="7"/>
        <v>ACCT#06062279/IT OFFICE</v>
      </c>
    </row>
    <row r="213" spans="1:8" x14ac:dyDescent="0.25">
      <c r="E213" t="str">
        <f>""</f>
        <v/>
      </c>
      <c r="F213" t="str">
        <f>""</f>
        <v/>
      </c>
      <c r="H213" t="str">
        <f t="shared" si="7"/>
        <v>ACCT#06062279/IT OFFICE</v>
      </c>
    </row>
    <row r="214" spans="1:8" x14ac:dyDescent="0.25">
      <c r="E214" t="str">
        <f>""</f>
        <v/>
      </c>
      <c r="F214" t="str">
        <f>""</f>
        <v/>
      </c>
      <c r="H214" t="str">
        <f t="shared" si="7"/>
        <v>ACCT#06062279/IT OFFICE</v>
      </c>
    </row>
    <row r="215" spans="1:8" x14ac:dyDescent="0.25">
      <c r="E215" t="str">
        <f>""</f>
        <v/>
      </c>
      <c r="F215" t="str">
        <f>""</f>
        <v/>
      </c>
      <c r="H215" t="str">
        <f t="shared" si="7"/>
        <v>ACCT#06062279/IT OFFICE</v>
      </c>
    </row>
    <row r="216" spans="1:8" x14ac:dyDescent="0.25">
      <c r="E216" t="str">
        <f>""</f>
        <v/>
      </c>
      <c r="F216" t="str">
        <f>""</f>
        <v/>
      </c>
      <c r="H216" t="str">
        <f t="shared" si="7"/>
        <v>ACCT#06062279/IT OFFICE</v>
      </c>
    </row>
    <row r="217" spans="1:8" x14ac:dyDescent="0.25">
      <c r="A217" t="s">
        <v>39</v>
      </c>
      <c r="B217">
        <v>130745</v>
      </c>
      <c r="C217" s="2">
        <v>362.69</v>
      </c>
      <c r="D217" s="1">
        <v>43871</v>
      </c>
      <c r="E217" t="str">
        <f>"202001294895"</f>
        <v>202001294895</v>
      </c>
      <c r="F217" t="str">
        <f>"ACCT#826392401"</f>
        <v>ACCT#826392401</v>
      </c>
      <c r="G217" s="2">
        <v>362.69</v>
      </c>
      <c r="H217" t="str">
        <f>"ACCT#826392401"</f>
        <v>ACCT#826392401</v>
      </c>
    </row>
    <row r="218" spans="1:8" x14ac:dyDescent="0.25">
      <c r="A218" t="s">
        <v>40</v>
      </c>
      <c r="B218">
        <v>130909</v>
      </c>
      <c r="C218" s="2">
        <v>349.11</v>
      </c>
      <c r="D218" s="1">
        <v>43885</v>
      </c>
      <c r="E218" t="str">
        <f>"I00543514 I0054350"</f>
        <v>I00543514 I0054350</v>
      </c>
      <c r="F218" t="str">
        <f>"AD# 543514  543509"</f>
        <v>AD# 543514  543509</v>
      </c>
      <c r="G218" s="2">
        <v>349.11</v>
      </c>
      <c r="H218" t="str">
        <f>"RUN DATE 02.08.20"</f>
        <v>RUN DATE 02.08.20</v>
      </c>
    </row>
    <row r="219" spans="1:8" x14ac:dyDescent="0.25">
      <c r="E219" t="str">
        <f>""</f>
        <v/>
      </c>
      <c r="F219" t="str">
        <f>""</f>
        <v/>
      </c>
      <c r="H219" t="str">
        <f>"RUN DATE 02.08.20"</f>
        <v>RUN DATE 02.08.20</v>
      </c>
    </row>
    <row r="220" spans="1:8" x14ac:dyDescent="0.25">
      <c r="A220" t="s">
        <v>41</v>
      </c>
      <c r="B220">
        <v>130910</v>
      </c>
      <c r="C220" s="2">
        <v>119.18</v>
      </c>
      <c r="D220" s="1">
        <v>43885</v>
      </c>
      <c r="E220" t="str">
        <f>"202002185366"</f>
        <v>202002185366</v>
      </c>
      <c r="F220" t="str">
        <f>"INDIGENT HEALTH"</f>
        <v>INDIGENT HEALTH</v>
      </c>
      <c r="G220" s="2">
        <v>119.18</v>
      </c>
      <c r="H220" t="str">
        <f>"INDIGENT HEALTH"</f>
        <v>INDIGENT HEALTH</v>
      </c>
    </row>
    <row r="221" spans="1:8" x14ac:dyDescent="0.25">
      <c r="A221" t="s">
        <v>42</v>
      </c>
      <c r="B221">
        <v>130911</v>
      </c>
      <c r="C221" s="2">
        <v>947.87</v>
      </c>
      <c r="D221" s="1">
        <v>43885</v>
      </c>
      <c r="E221" t="str">
        <f>"202002185367"</f>
        <v>202002185367</v>
      </c>
      <c r="F221" t="str">
        <f>"INDIGENT HEALTH"</f>
        <v>INDIGENT HEALTH</v>
      </c>
      <c r="G221" s="2">
        <v>947.87</v>
      </c>
      <c r="H221" t="str">
        <f>"INDIGENT HEALTH"</f>
        <v>INDIGENT HEALTH</v>
      </c>
    </row>
    <row r="222" spans="1:8" x14ac:dyDescent="0.25">
      <c r="A222" t="s">
        <v>43</v>
      </c>
      <c r="B222">
        <v>2149</v>
      </c>
      <c r="C222" s="2">
        <v>841.06</v>
      </c>
      <c r="D222" s="1">
        <v>43872</v>
      </c>
      <c r="E222" t="str">
        <f>"202002045131"</f>
        <v>202002045131</v>
      </c>
      <c r="F222" t="str">
        <f>"CUST#0017/ANIMAL SHELTER"</f>
        <v>CUST#0017/ANIMAL SHELTER</v>
      </c>
      <c r="G222" s="2">
        <v>-398.98</v>
      </c>
      <c r="H222" t="str">
        <f>"CUST#0017/ANIMAL SHELTER"</f>
        <v>CUST#0017/ANIMAL SHELTER</v>
      </c>
    </row>
    <row r="223" spans="1:8" x14ac:dyDescent="0.25">
      <c r="E223" t="str">
        <f>"202002045134"</f>
        <v>202002045134</v>
      </c>
      <c r="F223" t="str">
        <f>"TIRE/PCT#1"</f>
        <v>TIRE/PCT#1</v>
      </c>
      <c r="G223" s="2">
        <v>637.48</v>
      </c>
      <c r="H223" t="str">
        <f>"TIRE/PCT#1"</f>
        <v>TIRE/PCT#1</v>
      </c>
    </row>
    <row r="224" spans="1:8" x14ac:dyDescent="0.25">
      <c r="E224" t="str">
        <f>"202002045136"</f>
        <v>202002045136</v>
      </c>
      <c r="F224" t="str">
        <f>"CUST ID:0011/PCT#3"</f>
        <v>CUST ID:0011/PCT#3</v>
      </c>
      <c r="G224" s="2">
        <v>373</v>
      </c>
      <c r="H224" t="str">
        <f>"CUST ID:0011/PCT#3"</f>
        <v>CUST ID:0011/PCT#3</v>
      </c>
    </row>
    <row r="225" spans="1:9" x14ac:dyDescent="0.25">
      <c r="E225" t="str">
        <f>"368640"</f>
        <v>368640</v>
      </c>
      <c r="F225" t="str">
        <f>"CUST ID:0010/PCT#2"</f>
        <v>CUST ID:0010/PCT#2</v>
      </c>
      <c r="G225" s="2">
        <v>35</v>
      </c>
      <c r="H225" t="str">
        <f>"CUST ID:0010/PCT#2"</f>
        <v>CUST ID:0010/PCT#2</v>
      </c>
    </row>
    <row r="226" spans="1:9" x14ac:dyDescent="0.25">
      <c r="E226" t="str">
        <f>"368728"</f>
        <v>368728</v>
      </c>
      <c r="F226" t="str">
        <f>"CUST ID:0017/ANIMAL CONTROL"</f>
        <v>CUST ID:0017/ANIMAL CONTROL</v>
      </c>
      <c r="G226" s="2">
        <v>194.56</v>
      </c>
      <c r="H226" t="str">
        <f>"CUST ID:0017/ANIMAL CONTROL"</f>
        <v>CUST ID:0017/ANIMAL CONTROL</v>
      </c>
    </row>
    <row r="227" spans="1:9" x14ac:dyDescent="0.25">
      <c r="A227" t="s">
        <v>44</v>
      </c>
      <c r="B227">
        <v>2192</v>
      </c>
      <c r="C227" s="2">
        <v>10550</v>
      </c>
      <c r="D227" s="1">
        <v>43886</v>
      </c>
      <c r="E227" t="str">
        <f>"1554"</f>
        <v>1554</v>
      </c>
      <c r="F227" t="str">
        <f>"TREE &amp; DEBRIS REMOVAL/PCT#1"</f>
        <v>TREE &amp; DEBRIS REMOVAL/PCT#1</v>
      </c>
      <c r="G227" s="2">
        <v>3600</v>
      </c>
      <c r="H227" t="str">
        <f>"TREE &amp; DEBRIS REMOVAL/PCT#1"</f>
        <v>TREE &amp; DEBRIS REMOVAL/PCT#1</v>
      </c>
    </row>
    <row r="228" spans="1:9" x14ac:dyDescent="0.25">
      <c r="E228" t="str">
        <f>"202002195460"</f>
        <v>202002195460</v>
      </c>
      <c r="F228" t="str">
        <f>"Guardrails - Bowie Drive"</f>
        <v>Guardrails - Bowie Drive</v>
      </c>
      <c r="G228" s="2">
        <v>6950</v>
      </c>
      <c r="H228" t="str">
        <f>"Guardrails - Bowie Drive"</f>
        <v>Guardrails - Bowie Drive</v>
      </c>
    </row>
    <row r="229" spans="1:9" x14ac:dyDescent="0.25">
      <c r="A229" t="s">
        <v>45</v>
      </c>
      <c r="B229">
        <v>130912</v>
      </c>
      <c r="C229" s="2">
        <v>555</v>
      </c>
      <c r="D229" s="1">
        <v>43885</v>
      </c>
      <c r="E229" t="str">
        <f>"202002125298"</f>
        <v>202002125298</v>
      </c>
      <c r="F229" t="str">
        <f>"REIMBURSE BAIL BOND COUPONS"</f>
        <v>REIMBURSE BAIL BOND COUPONS</v>
      </c>
      <c r="G229" s="2">
        <v>555</v>
      </c>
      <c r="H229" t="str">
        <f>"REIMBURSE BAIL BOND COUPONS"</f>
        <v>REIMBURSE BAIL BOND COUPONS</v>
      </c>
    </row>
    <row r="230" spans="1:9" x14ac:dyDescent="0.25">
      <c r="A230" t="s">
        <v>46</v>
      </c>
      <c r="B230">
        <v>130746</v>
      </c>
      <c r="C230" s="2">
        <v>60</v>
      </c>
      <c r="D230" s="1">
        <v>43871</v>
      </c>
      <c r="E230" t="s">
        <v>47</v>
      </c>
      <c r="F230" t="s">
        <v>48</v>
      </c>
      <c r="G230" s="2" t="str">
        <f>"SERVICE"</f>
        <v>SERVICE</v>
      </c>
      <c r="H230" t="str">
        <f>"995-4110"</f>
        <v>995-4110</v>
      </c>
      <c r="I230" t="str">
        <f>""</f>
        <v/>
      </c>
    </row>
    <row r="231" spans="1:9" x14ac:dyDescent="0.25">
      <c r="A231" t="s">
        <v>46</v>
      </c>
      <c r="B231">
        <v>130913</v>
      </c>
      <c r="C231" s="2">
        <v>2590</v>
      </c>
      <c r="D231" s="1">
        <v>43885</v>
      </c>
      <c r="E231" t="s">
        <v>47</v>
      </c>
      <c r="F231" t="s">
        <v>49</v>
      </c>
      <c r="G231" s="2" t="str">
        <f>"SERVICE"</f>
        <v>SERVICE</v>
      </c>
      <c r="H231" t="str">
        <f>"995-4110"</f>
        <v>995-4110</v>
      </c>
      <c r="I231" t="str">
        <f>""</f>
        <v/>
      </c>
    </row>
    <row r="232" spans="1:9" x14ac:dyDescent="0.25">
      <c r="E232" t="s">
        <v>47</v>
      </c>
      <c r="F232" t="s">
        <v>50</v>
      </c>
      <c r="G232" s="2" t="str">
        <f>"SERVICE"</f>
        <v>SERVICE</v>
      </c>
      <c r="H232" t="str">
        <f>"995-4110"</f>
        <v>995-4110</v>
      </c>
      <c r="I232" t="str">
        <f>""</f>
        <v/>
      </c>
    </row>
    <row r="233" spans="1:9" x14ac:dyDescent="0.25">
      <c r="E233" t="str">
        <f>"11862"</f>
        <v>11862</v>
      </c>
      <c r="F233" t="str">
        <f t="shared" ref="F233:F243" si="8">"SERVICE"</f>
        <v>SERVICE</v>
      </c>
      <c r="G233" s="2">
        <v>75</v>
      </c>
      <c r="H233" t="str">
        <f t="shared" ref="H233:H243" si="9">"SERVICE"</f>
        <v>SERVICE</v>
      </c>
    </row>
    <row r="234" spans="1:9" x14ac:dyDescent="0.25">
      <c r="E234" t="str">
        <f>"12197"</f>
        <v>12197</v>
      </c>
      <c r="F234" t="str">
        <f t="shared" si="8"/>
        <v>SERVICE</v>
      </c>
      <c r="G234" s="2">
        <v>1100</v>
      </c>
      <c r="H234" t="str">
        <f t="shared" si="9"/>
        <v>SERVICE</v>
      </c>
    </row>
    <row r="235" spans="1:9" x14ac:dyDescent="0.25">
      <c r="E235" t="str">
        <f>"12205  12/13/19"</f>
        <v>12205  12/13/19</v>
      </c>
      <c r="F235" t="str">
        <f t="shared" si="8"/>
        <v>SERVICE</v>
      </c>
      <c r="G235" s="2">
        <v>100</v>
      </c>
      <c r="H235" t="str">
        <f t="shared" si="9"/>
        <v>SERVICE</v>
      </c>
    </row>
    <row r="236" spans="1:9" x14ac:dyDescent="0.25">
      <c r="E236" t="str">
        <f>"12561"</f>
        <v>12561</v>
      </c>
      <c r="F236" t="str">
        <f t="shared" si="8"/>
        <v>SERVICE</v>
      </c>
      <c r="G236" s="2">
        <v>400</v>
      </c>
      <c r="H236" t="str">
        <f t="shared" si="9"/>
        <v>SERVICE</v>
      </c>
    </row>
    <row r="237" spans="1:9" x14ac:dyDescent="0.25">
      <c r="E237" t="str">
        <f>"12658"</f>
        <v>12658</v>
      </c>
      <c r="F237" t="str">
        <f t="shared" si="8"/>
        <v>SERVICE</v>
      </c>
      <c r="G237" s="2">
        <v>75</v>
      </c>
      <c r="H237" t="str">
        <f t="shared" si="9"/>
        <v>SERVICE</v>
      </c>
    </row>
    <row r="238" spans="1:9" x14ac:dyDescent="0.25">
      <c r="E238" t="str">
        <f>"12710"</f>
        <v>12710</v>
      </c>
      <c r="F238" t="str">
        <f t="shared" si="8"/>
        <v>SERVICE</v>
      </c>
      <c r="G238" s="2">
        <v>30</v>
      </c>
      <c r="H238" t="str">
        <f t="shared" si="9"/>
        <v>SERVICE</v>
      </c>
    </row>
    <row r="239" spans="1:9" x14ac:dyDescent="0.25">
      <c r="E239" t="str">
        <f>"12826"</f>
        <v>12826</v>
      </c>
      <c r="F239" t="str">
        <f t="shared" si="8"/>
        <v>SERVICE</v>
      </c>
      <c r="G239" s="2">
        <v>300</v>
      </c>
      <c r="H239" t="str">
        <f t="shared" si="9"/>
        <v>SERVICE</v>
      </c>
    </row>
    <row r="240" spans="1:9" x14ac:dyDescent="0.25">
      <c r="E240" t="str">
        <f>"12981"</f>
        <v>12981</v>
      </c>
      <c r="F240" t="str">
        <f t="shared" si="8"/>
        <v>SERVICE</v>
      </c>
      <c r="G240" s="2">
        <v>75</v>
      </c>
      <c r="H240" t="str">
        <f t="shared" si="9"/>
        <v>SERVICE</v>
      </c>
    </row>
    <row r="241" spans="1:8" x14ac:dyDescent="0.25">
      <c r="E241" t="str">
        <f>"13072  12/12/19"</f>
        <v>13072  12/12/19</v>
      </c>
      <c r="F241" t="str">
        <f t="shared" si="8"/>
        <v>SERVICE</v>
      </c>
      <c r="G241" s="2">
        <v>75</v>
      </c>
      <c r="H241" t="str">
        <f t="shared" si="9"/>
        <v>SERVICE</v>
      </c>
    </row>
    <row r="242" spans="1:8" x14ac:dyDescent="0.25">
      <c r="E242" t="str">
        <f>"13209"</f>
        <v>13209</v>
      </c>
      <c r="F242" t="str">
        <f t="shared" si="8"/>
        <v>SERVICE</v>
      </c>
      <c r="G242" s="2">
        <v>75</v>
      </c>
      <c r="H242" t="str">
        <f t="shared" si="9"/>
        <v>SERVICE</v>
      </c>
    </row>
    <row r="243" spans="1:8" x14ac:dyDescent="0.25">
      <c r="E243" t="str">
        <f>"13355"</f>
        <v>13355</v>
      </c>
      <c r="F243" t="str">
        <f t="shared" si="8"/>
        <v>SERVICE</v>
      </c>
      <c r="G243" s="2">
        <v>150</v>
      </c>
      <c r="H243" t="str">
        <f t="shared" si="9"/>
        <v>SERVICE</v>
      </c>
    </row>
    <row r="244" spans="1:8" x14ac:dyDescent="0.25">
      <c r="A244" t="s">
        <v>51</v>
      </c>
      <c r="B244">
        <v>130914</v>
      </c>
      <c r="C244" s="2">
        <v>753.48</v>
      </c>
      <c r="D244" s="1">
        <v>43885</v>
      </c>
      <c r="E244" t="str">
        <f>"202002115283"</f>
        <v>202002115283</v>
      </c>
      <c r="F244" t="str">
        <f>"ACCT#BC01"</f>
        <v>ACCT#BC01</v>
      </c>
      <c r="G244" s="2">
        <v>753.48</v>
      </c>
      <c r="H244" t="str">
        <f t="shared" ref="H244:H250" si="10">"ACCT#BC01"</f>
        <v>ACCT#BC01</v>
      </c>
    </row>
    <row r="245" spans="1:8" x14ac:dyDescent="0.25">
      <c r="E245" t="str">
        <f>""</f>
        <v/>
      </c>
      <c r="F245" t="str">
        <f>""</f>
        <v/>
      </c>
      <c r="H245" t="str">
        <f t="shared" si="10"/>
        <v>ACCT#BC01</v>
      </c>
    </row>
    <row r="246" spans="1:8" x14ac:dyDescent="0.25">
      <c r="E246" t="str">
        <f>""</f>
        <v/>
      </c>
      <c r="F246" t="str">
        <f>""</f>
        <v/>
      </c>
      <c r="H246" t="str">
        <f t="shared" si="10"/>
        <v>ACCT#BC01</v>
      </c>
    </row>
    <row r="247" spans="1:8" x14ac:dyDescent="0.25">
      <c r="E247" t="str">
        <f>""</f>
        <v/>
      </c>
      <c r="F247" t="str">
        <f>""</f>
        <v/>
      </c>
      <c r="H247" t="str">
        <f t="shared" si="10"/>
        <v>ACCT#BC01</v>
      </c>
    </row>
    <row r="248" spans="1:8" x14ac:dyDescent="0.25">
      <c r="E248" t="str">
        <f>""</f>
        <v/>
      </c>
      <c r="F248" t="str">
        <f>""</f>
        <v/>
      </c>
      <c r="H248" t="str">
        <f t="shared" si="10"/>
        <v>ACCT#BC01</v>
      </c>
    </row>
    <row r="249" spans="1:8" x14ac:dyDescent="0.25">
      <c r="E249" t="str">
        <f>""</f>
        <v/>
      </c>
      <c r="F249" t="str">
        <f>""</f>
        <v/>
      </c>
      <c r="H249" t="str">
        <f t="shared" si="10"/>
        <v>ACCT#BC01</v>
      </c>
    </row>
    <row r="250" spans="1:8" x14ac:dyDescent="0.25">
      <c r="E250" t="str">
        <f>""</f>
        <v/>
      </c>
      <c r="F250" t="str">
        <f>""</f>
        <v/>
      </c>
      <c r="H250" t="str">
        <f t="shared" si="10"/>
        <v>ACCT#BC01</v>
      </c>
    </row>
    <row r="251" spans="1:8" x14ac:dyDescent="0.25">
      <c r="A251" t="s">
        <v>52</v>
      </c>
      <c r="B251">
        <v>2142</v>
      </c>
      <c r="C251" s="2">
        <v>5452.34</v>
      </c>
      <c r="D251" s="1">
        <v>43872</v>
      </c>
      <c r="E251" t="str">
        <f>"202002055198"</f>
        <v>202002055198</v>
      </c>
      <c r="F251" t="str">
        <f>"GRANT REIMBURSEMENT"</f>
        <v>GRANT REIMBURSEMENT</v>
      </c>
      <c r="G251" s="2">
        <v>5452.34</v>
      </c>
      <c r="H251" t="str">
        <f>"GRANT REIMBURSEMENT"</f>
        <v>GRANT REIMBURSEMENT</v>
      </c>
    </row>
    <row r="252" spans="1:8" x14ac:dyDescent="0.25">
      <c r="A252" t="s">
        <v>52</v>
      </c>
      <c r="B252">
        <v>2217</v>
      </c>
      <c r="C252" s="2">
        <v>11990.69</v>
      </c>
      <c r="D252" s="1">
        <v>43886</v>
      </c>
      <c r="E252" t="str">
        <f>"202002145332"</f>
        <v>202002145332</v>
      </c>
      <c r="F252" t="str">
        <f>"GRANT REIMBURSEMENT"</f>
        <v>GRANT REIMBURSEMENT</v>
      </c>
      <c r="G252" s="2">
        <v>11990.69</v>
      </c>
      <c r="H252" t="str">
        <f>"GRANT REIMBURSEMENT"</f>
        <v>GRANT REIMBURSEMENT</v>
      </c>
    </row>
    <row r="253" spans="1:8" x14ac:dyDescent="0.25">
      <c r="A253" t="s">
        <v>53</v>
      </c>
      <c r="B253">
        <v>130747</v>
      </c>
      <c r="C253" s="2">
        <v>12500</v>
      </c>
      <c r="D253" s="1">
        <v>43871</v>
      </c>
      <c r="E253" t="str">
        <f>"202002034983"</f>
        <v>202002034983</v>
      </c>
      <c r="F253" t="str">
        <f>"2020 FUNDING DISBURSEMENT"</f>
        <v>2020 FUNDING DISBURSEMENT</v>
      </c>
      <c r="G253" s="2">
        <v>12500</v>
      </c>
      <c r="H253" t="str">
        <f>"2020 FUNDING DISBURSEMENT"</f>
        <v>2020 FUNDING DISBURSEMENT</v>
      </c>
    </row>
    <row r="254" spans="1:8" x14ac:dyDescent="0.25">
      <c r="A254" t="s">
        <v>54</v>
      </c>
      <c r="B254">
        <v>130748</v>
      </c>
      <c r="C254" s="2">
        <v>12500</v>
      </c>
      <c r="D254" s="1">
        <v>43871</v>
      </c>
      <c r="E254" t="str">
        <f>"202001294889"</f>
        <v>202001294889</v>
      </c>
      <c r="F254" t="str">
        <f>"PER BUDGET FY '20"</f>
        <v>PER BUDGET FY '20</v>
      </c>
      <c r="G254" s="2">
        <v>12500</v>
      </c>
      <c r="H254" t="str">
        <f>"PER BUDGET FY '20"</f>
        <v>PER BUDGET FY '20</v>
      </c>
    </row>
    <row r="255" spans="1:8" x14ac:dyDescent="0.25">
      <c r="A255" t="s">
        <v>55</v>
      </c>
      <c r="B255">
        <v>130749</v>
      </c>
      <c r="C255" s="2">
        <v>13.27</v>
      </c>
      <c r="D255" s="1">
        <v>43871</v>
      </c>
      <c r="E255" t="str">
        <f>"202001294897"</f>
        <v>202001294897</v>
      </c>
      <c r="F255" t="str">
        <f>"10/01-12/31 ARREST FEES"</f>
        <v>10/01-12/31 ARREST FEES</v>
      </c>
      <c r="G255" s="2">
        <v>13.27</v>
      </c>
      <c r="H255" t="str">
        <f>"10/01-12/31 ARREST FEES"</f>
        <v>10/01-12/31 ARREST FEES</v>
      </c>
    </row>
    <row r="256" spans="1:8" x14ac:dyDescent="0.25">
      <c r="A256" t="s">
        <v>56</v>
      </c>
      <c r="B256">
        <v>2118</v>
      </c>
      <c r="C256" s="2">
        <v>1821</v>
      </c>
      <c r="D256" s="1">
        <v>43872</v>
      </c>
      <c r="E256" t="str">
        <f>"2019154"</f>
        <v>2019154</v>
      </c>
      <c r="F256" t="str">
        <f>"TRANSPORT - B. LIPSKY"</f>
        <v>TRANSPORT - B. LIPSKY</v>
      </c>
      <c r="G256" s="2">
        <v>1821</v>
      </c>
      <c r="H256" t="str">
        <f>"TRANSPORT - B. LIPSKY"</f>
        <v>TRANSPORT - B. LIPSKY</v>
      </c>
    </row>
    <row r="257" spans="1:8" x14ac:dyDescent="0.25">
      <c r="A257" t="s">
        <v>56</v>
      </c>
      <c r="B257">
        <v>2191</v>
      </c>
      <c r="C257" s="2">
        <v>2475</v>
      </c>
      <c r="D257" s="1">
        <v>43886</v>
      </c>
      <c r="E257" t="str">
        <f>"2019-174"</f>
        <v>2019-174</v>
      </c>
      <c r="F257" t="str">
        <f>"TRANSPORT - E. LUMLEY"</f>
        <v>TRANSPORT - E. LUMLEY</v>
      </c>
      <c r="G257" s="2">
        <v>695</v>
      </c>
      <c r="H257" t="str">
        <f>"TRANSPORT - E. LUMLEY"</f>
        <v>TRANSPORT - E. LUMLEY</v>
      </c>
    </row>
    <row r="258" spans="1:8" x14ac:dyDescent="0.25">
      <c r="E258" t="str">
        <f>"2020005"</f>
        <v>2020005</v>
      </c>
      <c r="F258" t="str">
        <f>"TRANSPORT - R.A. MONAT"</f>
        <v>TRANSPORT - R.A. MONAT</v>
      </c>
      <c r="G258" s="2">
        <v>495</v>
      </c>
      <c r="H258" t="str">
        <f>"TRANSPORT - R.A. MONAT"</f>
        <v>TRANSPORT - R.A. MONAT</v>
      </c>
    </row>
    <row r="259" spans="1:8" x14ac:dyDescent="0.25">
      <c r="E259" t="str">
        <f>"2020009"</f>
        <v>2020009</v>
      </c>
      <c r="F259" t="str">
        <f>"TRANSPORT - G.A. AGUADO"</f>
        <v>TRANSPORT - G.A. AGUADO</v>
      </c>
      <c r="G259" s="2">
        <v>495</v>
      </c>
      <c r="H259" t="str">
        <f>"TRANSPORT - G.A. AGUADO"</f>
        <v>TRANSPORT - G.A. AGUADO</v>
      </c>
    </row>
    <row r="260" spans="1:8" x14ac:dyDescent="0.25">
      <c r="E260" t="str">
        <f>"2020013"</f>
        <v>2020013</v>
      </c>
      <c r="F260" t="str">
        <f>"TRANSPORT - M. SIMMONS"</f>
        <v>TRANSPORT - M. SIMMONS</v>
      </c>
      <c r="G260" s="2">
        <v>295</v>
      </c>
      <c r="H260" t="str">
        <f>"2020013"</f>
        <v>2020013</v>
      </c>
    </row>
    <row r="261" spans="1:8" x14ac:dyDescent="0.25">
      <c r="E261" t="str">
        <f>"2020017"</f>
        <v>2020017</v>
      </c>
      <c r="F261" t="str">
        <f>"TRANSPORT - C.C. MILAM"</f>
        <v>TRANSPORT - C.C. MILAM</v>
      </c>
      <c r="G261" s="2">
        <v>495</v>
      </c>
      <c r="H261" t="str">
        <f>"TRANSPORT - C.C. MILAM"</f>
        <v>TRANSPORT - C.C. MILAM</v>
      </c>
    </row>
    <row r="262" spans="1:8" x14ac:dyDescent="0.25">
      <c r="A262" t="s">
        <v>57</v>
      </c>
      <c r="B262">
        <v>2220</v>
      </c>
      <c r="C262" s="2">
        <v>347.88</v>
      </c>
      <c r="D262" s="1">
        <v>43886</v>
      </c>
      <c r="E262" t="str">
        <f>"6008271515"</f>
        <v>6008271515</v>
      </c>
      <c r="F262" t="str">
        <f>"ACCT#3422853/ANIMAL CONTROL"</f>
        <v>ACCT#3422853/ANIMAL CONTROL</v>
      </c>
      <c r="G262" s="2">
        <v>347.88</v>
      </c>
      <c r="H262" t="str">
        <f>"ACCT#3422853/ANIMAL CONTROL"</f>
        <v>ACCT#3422853/ANIMAL CONTROL</v>
      </c>
    </row>
    <row r="263" spans="1:8" x14ac:dyDescent="0.25">
      <c r="A263" t="s">
        <v>58</v>
      </c>
      <c r="B263">
        <v>2185</v>
      </c>
      <c r="C263" s="2">
        <v>280</v>
      </c>
      <c r="D263" s="1">
        <v>43886</v>
      </c>
      <c r="E263" t="str">
        <f>"202002115284"</f>
        <v>202002115284</v>
      </c>
      <c r="F263" t="str">
        <f>"INVESTIGATIVE SVCS - JANUARY"</f>
        <v>INVESTIGATIVE SVCS - JANUARY</v>
      </c>
      <c r="G263" s="2">
        <v>280</v>
      </c>
      <c r="H263" t="str">
        <f>"INVESTIGATIVE SVCS - JANUARY"</f>
        <v>INVESTIGATIVE SVCS - JANUARY</v>
      </c>
    </row>
    <row r="264" spans="1:8" x14ac:dyDescent="0.25">
      <c r="A264" t="s">
        <v>59</v>
      </c>
      <c r="B264">
        <v>130915</v>
      </c>
      <c r="C264" s="2">
        <v>70</v>
      </c>
      <c r="D264" s="1">
        <v>43885</v>
      </c>
      <c r="E264" t="str">
        <f>"13142"</f>
        <v>13142</v>
      </c>
      <c r="F264" t="str">
        <f>"SERVICE"</f>
        <v>SERVICE</v>
      </c>
      <c r="G264" s="2">
        <v>70</v>
      </c>
      <c r="H264" t="str">
        <f>"SERVICE"</f>
        <v>SERVICE</v>
      </c>
    </row>
    <row r="265" spans="1:8" x14ac:dyDescent="0.25">
      <c r="A265" t="s">
        <v>60</v>
      </c>
      <c r="B265">
        <v>130750</v>
      </c>
      <c r="C265" s="2">
        <v>2040.48</v>
      </c>
      <c r="D265" s="1">
        <v>43871</v>
      </c>
      <c r="E265" t="str">
        <f>"75390156  75398869"</f>
        <v>75390156  75398869</v>
      </c>
      <c r="F265" t="str">
        <f>"INV 75390156"</f>
        <v>INV 75390156</v>
      </c>
      <c r="G265" s="2">
        <v>2040.48</v>
      </c>
      <c r="H265" t="str">
        <f>"INV 75390156"</f>
        <v>INV 75390156</v>
      </c>
    </row>
    <row r="266" spans="1:8" x14ac:dyDescent="0.25">
      <c r="E266" t="str">
        <f>""</f>
        <v/>
      </c>
      <c r="F266" t="str">
        <f>""</f>
        <v/>
      </c>
      <c r="H266" t="str">
        <f>"INV 75398697"</f>
        <v>INV 75398697</v>
      </c>
    </row>
    <row r="267" spans="1:8" x14ac:dyDescent="0.25">
      <c r="A267" t="s">
        <v>60</v>
      </c>
      <c r="B267">
        <v>130916</v>
      </c>
      <c r="C267" s="2">
        <v>3040.08</v>
      </c>
      <c r="D267" s="1">
        <v>43885</v>
      </c>
      <c r="E267" t="str">
        <f>"75407014 75415457"</f>
        <v>75407014 75415457</v>
      </c>
      <c r="F267" t="str">
        <f>"INV 75407014"</f>
        <v>INV 75407014</v>
      </c>
      <c r="G267" s="2">
        <v>3040.08</v>
      </c>
      <c r="H267" t="str">
        <f>"INV 75407014"</f>
        <v>INV 75407014</v>
      </c>
    </row>
    <row r="268" spans="1:8" x14ac:dyDescent="0.25">
      <c r="E268" t="str">
        <f>""</f>
        <v/>
      </c>
      <c r="F268" t="str">
        <f>""</f>
        <v/>
      </c>
      <c r="H268" t="str">
        <f>"INV 75415457"</f>
        <v>INV 75415457</v>
      </c>
    </row>
    <row r="269" spans="1:8" x14ac:dyDescent="0.25">
      <c r="E269" t="str">
        <f>""</f>
        <v/>
      </c>
      <c r="F269" t="str">
        <f>""</f>
        <v/>
      </c>
      <c r="H269" t="str">
        <f>"INV 75415860"</f>
        <v>INV 75415860</v>
      </c>
    </row>
    <row r="270" spans="1:8" x14ac:dyDescent="0.25">
      <c r="A270" t="s">
        <v>61</v>
      </c>
      <c r="B270">
        <v>2163</v>
      </c>
      <c r="C270" s="2">
        <v>2329.87</v>
      </c>
      <c r="D270" s="1">
        <v>43872</v>
      </c>
      <c r="E270" t="str">
        <f>"24583"</f>
        <v>24583</v>
      </c>
      <c r="F270" t="str">
        <f>"INV 24583"</f>
        <v>INV 24583</v>
      </c>
      <c r="G270" s="2">
        <v>2329.87</v>
      </c>
      <c r="H270" t="str">
        <f>"INV 24583"</f>
        <v>INV 24583</v>
      </c>
    </row>
    <row r="271" spans="1:8" x14ac:dyDescent="0.25">
      <c r="A271" t="s">
        <v>62</v>
      </c>
      <c r="B271">
        <v>2113</v>
      </c>
      <c r="C271" s="2">
        <v>333.06</v>
      </c>
      <c r="D271" s="1">
        <v>43872</v>
      </c>
      <c r="E271" t="str">
        <f>"202002034978"</f>
        <v>202002034978</v>
      </c>
      <c r="F271" t="str">
        <f>"MORNING DOCKET"</f>
        <v>MORNING DOCKET</v>
      </c>
      <c r="G271" s="2">
        <v>333.06</v>
      </c>
      <c r="H271" t="str">
        <f>"MORNING DOCKET"</f>
        <v>MORNING DOCKET</v>
      </c>
    </row>
    <row r="272" spans="1:8" x14ac:dyDescent="0.25">
      <c r="A272" t="s">
        <v>62</v>
      </c>
      <c r="B272">
        <v>2186</v>
      </c>
      <c r="C272" s="2">
        <v>333.06</v>
      </c>
      <c r="D272" s="1">
        <v>43886</v>
      </c>
      <c r="E272" t="str">
        <f>"202002115246"</f>
        <v>202002115246</v>
      </c>
      <c r="F272" t="str">
        <f>"423-5817"</f>
        <v>423-5817</v>
      </c>
      <c r="G272" s="2">
        <v>333.06</v>
      </c>
      <c r="H272" t="str">
        <f>"423-5817"</f>
        <v>423-5817</v>
      </c>
    </row>
    <row r="273" spans="1:8" x14ac:dyDescent="0.25">
      <c r="A273" t="s">
        <v>63</v>
      </c>
      <c r="B273">
        <v>130751</v>
      </c>
      <c r="C273" s="2">
        <v>548.62</v>
      </c>
      <c r="D273" s="1">
        <v>43871</v>
      </c>
      <c r="E273" t="str">
        <f>"84078904025  84078"</f>
        <v>84078904025  84078</v>
      </c>
      <c r="F273" t="str">
        <f>"INV 84078904025"</f>
        <v>INV 84078904025</v>
      </c>
      <c r="G273" s="2">
        <v>548.62</v>
      </c>
      <c r="H273" t="str">
        <f>"INV 84078904025"</f>
        <v>INV 84078904025</v>
      </c>
    </row>
    <row r="274" spans="1:8" x14ac:dyDescent="0.25">
      <c r="E274" t="str">
        <f>""</f>
        <v/>
      </c>
      <c r="F274" t="str">
        <f>""</f>
        <v/>
      </c>
      <c r="H274" t="str">
        <f>"INV 84078904070"</f>
        <v>INV 84078904070</v>
      </c>
    </row>
    <row r="275" spans="1:8" x14ac:dyDescent="0.25">
      <c r="A275" t="s">
        <v>63</v>
      </c>
      <c r="B275">
        <v>130917</v>
      </c>
      <c r="C275" s="2">
        <v>588.74</v>
      </c>
      <c r="D275" s="1">
        <v>43885</v>
      </c>
      <c r="E275" t="str">
        <f>"84078904125 840789"</f>
        <v>84078904125 840789</v>
      </c>
      <c r="F275" t="str">
        <f>"INV 84078904125"</f>
        <v>INV 84078904125</v>
      </c>
      <c r="G275" s="2">
        <v>588.74</v>
      </c>
      <c r="H275" t="str">
        <f>"INV 84078904125"</f>
        <v>INV 84078904125</v>
      </c>
    </row>
    <row r="276" spans="1:8" x14ac:dyDescent="0.25">
      <c r="E276" t="str">
        <f>""</f>
        <v/>
      </c>
      <c r="F276" t="str">
        <f>""</f>
        <v/>
      </c>
      <c r="H276" t="str">
        <f>"INV 84078904177"</f>
        <v>INV 84078904177</v>
      </c>
    </row>
    <row r="277" spans="1:8" x14ac:dyDescent="0.25">
      <c r="A277" t="s">
        <v>64</v>
      </c>
      <c r="B277">
        <v>2133</v>
      </c>
      <c r="C277" s="2">
        <v>750</v>
      </c>
      <c r="D277" s="1">
        <v>43872</v>
      </c>
      <c r="E277" t="str">
        <f>"202002034942"</f>
        <v>202002034942</v>
      </c>
      <c r="F277" t="str">
        <f>"3042822019B 925-352-8427 19-S-"</f>
        <v>3042822019B 925-352-8427 19-S-</v>
      </c>
      <c r="G277" s="2">
        <v>250</v>
      </c>
      <c r="H277" t="str">
        <f>"3042822019B 925-352-8427 19-S-"</f>
        <v>3042822019B 925-352-8427 19-S-</v>
      </c>
    </row>
    <row r="278" spans="1:8" x14ac:dyDescent="0.25">
      <c r="E278" t="str">
        <f>"202002034943"</f>
        <v>202002034943</v>
      </c>
      <c r="F278" t="str">
        <f>"J-3211"</f>
        <v>J-3211</v>
      </c>
      <c r="G278" s="2">
        <v>250</v>
      </c>
      <c r="H278" t="str">
        <f>"J-3211"</f>
        <v>J-3211</v>
      </c>
    </row>
    <row r="279" spans="1:8" x14ac:dyDescent="0.25">
      <c r="E279" t="str">
        <f>"202002045099"</f>
        <v>202002045099</v>
      </c>
      <c r="F279" t="str">
        <f>"56 114"</f>
        <v>56 114</v>
      </c>
      <c r="G279" s="2">
        <v>250</v>
      </c>
      <c r="H279" t="str">
        <f>"56 114"</f>
        <v>56 114</v>
      </c>
    </row>
    <row r="280" spans="1:8" x14ac:dyDescent="0.25">
      <c r="A280" t="s">
        <v>64</v>
      </c>
      <c r="B280">
        <v>2203</v>
      </c>
      <c r="C280" s="2">
        <v>200</v>
      </c>
      <c r="D280" s="1">
        <v>43886</v>
      </c>
      <c r="E280" t="str">
        <f>"202002195425"</f>
        <v>202002195425</v>
      </c>
      <c r="F280" t="str">
        <f>"19-19526"</f>
        <v>19-19526</v>
      </c>
      <c r="G280" s="2">
        <v>100</v>
      </c>
      <c r="H280" t="str">
        <f>"19-19526"</f>
        <v>19-19526</v>
      </c>
    </row>
    <row r="281" spans="1:8" x14ac:dyDescent="0.25">
      <c r="E281" t="str">
        <f>"202002195426"</f>
        <v>202002195426</v>
      </c>
      <c r="F281" t="str">
        <f>"18-19050"</f>
        <v>18-19050</v>
      </c>
      <c r="G281" s="2">
        <v>100</v>
      </c>
      <c r="H281" t="str">
        <f>"18-19050"</f>
        <v>18-19050</v>
      </c>
    </row>
    <row r="282" spans="1:8" x14ac:dyDescent="0.25">
      <c r="A282" t="s">
        <v>65</v>
      </c>
      <c r="B282">
        <v>130752</v>
      </c>
      <c r="C282" s="2">
        <v>92.44</v>
      </c>
      <c r="D282" s="1">
        <v>43871</v>
      </c>
      <c r="E282" t="str">
        <f>"55279"</f>
        <v>55279</v>
      </c>
      <c r="F282" t="str">
        <f>"ACCT#B100105034348"</f>
        <v>ACCT#B100105034348</v>
      </c>
      <c r="G282" s="2">
        <v>92.44</v>
      </c>
      <c r="H282" t="str">
        <f>"TX CRIM &amp; TRAFFIC LAW MANUAL"</f>
        <v>TX CRIM &amp; TRAFFIC LAW MANUAL</v>
      </c>
    </row>
    <row r="283" spans="1:8" x14ac:dyDescent="0.25">
      <c r="A283" t="s">
        <v>66</v>
      </c>
      <c r="B283">
        <v>130918</v>
      </c>
      <c r="C283" s="2">
        <v>301.52</v>
      </c>
      <c r="D283" s="1">
        <v>43885</v>
      </c>
      <c r="E283" t="str">
        <f>"202002125290"</f>
        <v>202002125290</v>
      </c>
      <c r="F283" t="str">
        <f>"CRIMESTOPPER FEES JANUARY 2020"</f>
        <v>CRIMESTOPPER FEES JANUARY 2020</v>
      </c>
      <c r="G283" s="2">
        <v>301.52</v>
      </c>
      <c r="H283" t="str">
        <f>"CRIMESTOPPER FEES JANUARY 2020"</f>
        <v>CRIMESTOPPER FEES JANUARY 2020</v>
      </c>
    </row>
    <row r="284" spans="1:8" x14ac:dyDescent="0.25">
      <c r="A284" t="s">
        <v>67</v>
      </c>
      <c r="B284">
        <v>130880</v>
      </c>
      <c r="C284" s="2">
        <v>3747.1</v>
      </c>
      <c r="D284" s="1">
        <v>43872</v>
      </c>
      <c r="E284" t="str">
        <f>"202002115235"</f>
        <v>202002115235</v>
      </c>
      <c r="F284" t="str">
        <f>"ACCT#5000057374 / 02032020"</f>
        <v>ACCT#5000057374 / 02032020</v>
      </c>
      <c r="G284" s="2">
        <v>3747.1</v>
      </c>
      <c r="H284" t="str">
        <f>"ACCT#5000057374 / 02032020"</f>
        <v>ACCT#5000057374 / 02032020</v>
      </c>
    </row>
    <row r="285" spans="1:8" x14ac:dyDescent="0.25">
      <c r="E285" t="str">
        <f>""</f>
        <v/>
      </c>
      <c r="F285" t="str">
        <f>""</f>
        <v/>
      </c>
      <c r="H285" t="str">
        <f>"ACCT#5000057374 / 02032020"</f>
        <v>ACCT#5000057374 / 02032020</v>
      </c>
    </row>
    <row r="286" spans="1:8" x14ac:dyDescent="0.25">
      <c r="E286" t="str">
        <f>""</f>
        <v/>
      </c>
      <c r="F286" t="str">
        <f>""</f>
        <v/>
      </c>
      <c r="H286" t="str">
        <f>"ACCT#5000057374 / 02032020"</f>
        <v>ACCT#5000057374 / 02032020</v>
      </c>
    </row>
    <row r="287" spans="1:8" x14ac:dyDescent="0.25">
      <c r="E287" t="str">
        <f>""</f>
        <v/>
      </c>
      <c r="F287" t="str">
        <f>""</f>
        <v/>
      </c>
      <c r="H287" t="str">
        <f>"ACCT#5000057374 / 02032020"</f>
        <v>ACCT#5000057374 / 02032020</v>
      </c>
    </row>
    <row r="288" spans="1:8" x14ac:dyDescent="0.25">
      <c r="A288" t="s">
        <v>68</v>
      </c>
      <c r="B288">
        <v>130919</v>
      </c>
      <c r="C288" s="2">
        <v>530.73</v>
      </c>
      <c r="D288" s="1">
        <v>43885</v>
      </c>
      <c r="E288" t="str">
        <f>"60271041"</f>
        <v>60271041</v>
      </c>
      <c r="F288" t="str">
        <f>"Acct# 5000057374"</f>
        <v>Acct# 5000057374</v>
      </c>
      <c r="G288" s="2">
        <v>530.73</v>
      </c>
      <c r="H288" t="str">
        <f>"payment"</f>
        <v>payment</v>
      </c>
    </row>
    <row r="289" spans="1:8" x14ac:dyDescent="0.25">
      <c r="A289" t="s">
        <v>69</v>
      </c>
      <c r="B289">
        <v>2173</v>
      </c>
      <c r="C289" s="2">
        <v>18720.509999999998</v>
      </c>
      <c r="D289" s="1">
        <v>43872</v>
      </c>
      <c r="E289" t="str">
        <f>"202002055200"</f>
        <v>202002055200</v>
      </c>
      <c r="F289" t="str">
        <f>"GRANT REIMBURSEMENT"</f>
        <v>GRANT REIMBURSEMENT</v>
      </c>
      <c r="G289" s="2">
        <v>18720.509999999998</v>
      </c>
      <c r="H289" t="str">
        <f>"GRANT REIMBURSEMENT"</f>
        <v>GRANT REIMBURSEMENT</v>
      </c>
    </row>
    <row r="290" spans="1:8" x14ac:dyDescent="0.25">
      <c r="A290" t="s">
        <v>69</v>
      </c>
      <c r="B290">
        <v>2243</v>
      </c>
      <c r="C290" s="2">
        <v>1200</v>
      </c>
      <c r="D290" s="1">
        <v>43886</v>
      </c>
      <c r="E290" t="str">
        <f>"25-01-2020"</f>
        <v>25-01-2020</v>
      </c>
      <c r="F290" t="str">
        <f>"INV 25-01-2020"</f>
        <v>INV 25-01-2020</v>
      </c>
      <c r="G290" s="2">
        <v>1200</v>
      </c>
      <c r="H290" t="str">
        <f>"INV 25-01-2020"</f>
        <v>INV 25-01-2020</v>
      </c>
    </row>
    <row r="291" spans="1:8" x14ac:dyDescent="0.25">
      <c r="A291" t="s">
        <v>70</v>
      </c>
      <c r="B291">
        <v>130753</v>
      </c>
      <c r="C291" s="2">
        <v>210.92</v>
      </c>
      <c r="D291" s="1">
        <v>43871</v>
      </c>
      <c r="E291" t="str">
        <f>"63918657"</f>
        <v>63918657</v>
      </c>
      <c r="F291" t="str">
        <f>"INV 63918657"</f>
        <v>INV 63918657</v>
      </c>
      <c r="G291" s="2">
        <v>210.92</v>
      </c>
      <c r="H291" t="str">
        <f>"INV 63918657"</f>
        <v>INV 63918657</v>
      </c>
    </row>
    <row r="292" spans="1:8" x14ac:dyDescent="0.25">
      <c r="A292" t="s">
        <v>71</v>
      </c>
      <c r="B292">
        <v>130754</v>
      </c>
      <c r="C292" s="2">
        <v>2487.59</v>
      </c>
      <c r="D292" s="1">
        <v>43871</v>
      </c>
      <c r="E292" t="str">
        <f>"107126"</f>
        <v>107126</v>
      </c>
      <c r="F292" t="str">
        <f>"ACCT#1268/PCT#3"</f>
        <v>ACCT#1268/PCT#3</v>
      </c>
      <c r="G292" s="2">
        <v>1340.88</v>
      </c>
      <c r="H292" t="str">
        <f>"ACCT#1268/PCT#3"</f>
        <v>ACCT#1268/PCT#3</v>
      </c>
    </row>
    <row r="293" spans="1:8" x14ac:dyDescent="0.25">
      <c r="E293" t="str">
        <f>"107272"</f>
        <v>107272</v>
      </c>
      <c r="F293" t="str">
        <f>"ACCT#1268/PCT#3"</f>
        <v>ACCT#1268/PCT#3</v>
      </c>
      <c r="G293" s="2">
        <v>1146.71</v>
      </c>
      <c r="H293" t="str">
        <f>"ACCT#1268/PCT#3"</f>
        <v>ACCT#1268/PCT#3</v>
      </c>
    </row>
    <row r="294" spans="1:8" x14ac:dyDescent="0.25">
      <c r="A294" t="s">
        <v>71</v>
      </c>
      <c r="B294">
        <v>130920</v>
      </c>
      <c r="C294" s="2">
        <v>2704.98</v>
      </c>
      <c r="D294" s="1">
        <v>43885</v>
      </c>
      <c r="E294" t="str">
        <f>"107443"</f>
        <v>107443</v>
      </c>
      <c r="F294" t="str">
        <f>"ACCT#1268/PCT#3"</f>
        <v>ACCT#1268/PCT#3</v>
      </c>
      <c r="G294" s="2">
        <v>1821.61</v>
      </c>
      <c r="H294" t="str">
        <f>"ACCT#1268/PCT#3"</f>
        <v>ACCT#1268/PCT#3</v>
      </c>
    </row>
    <row r="295" spans="1:8" x14ac:dyDescent="0.25">
      <c r="E295" t="str">
        <f>"107619"</f>
        <v>107619</v>
      </c>
      <c r="F295" t="str">
        <f>"ACCT#1268/PCT#3"</f>
        <v>ACCT#1268/PCT#3</v>
      </c>
      <c r="G295" s="2">
        <v>883.37</v>
      </c>
      <c r="H295" t="str">
        <f>"ACCT#1268/PCT#3"</f>
        <v>ACCT#1268/PCT#3</v>
      </c>
    </row>
    <row r="296" spans="1:8" x14ac:dyDescent="0.25">
      <c r="A296" t="s">
        <v>72</v>
      </c>
      <c r="B296">
        <v>2178</v>
      </c>
      <c r="C296" s="2">
        <v>500</v>
      </c>
      <c r="D296" s="1">
        <v>43872</v>
      </c>
      <c r="E296" t="str">
        <f>"202002034940"</f>
        <v>202002034940</v>
      </c>
      <c r="F296" t="str">
        <f>"JP128272019J 925354258619001"</f>
        <v>JP128272019J 925354258619001</v>
      </c>
      <c r="G296" s="2">
        <v>250</v>
      </c>
      <c r="H296" t="str">
        <f>"JP128272019J 925354258619001"</f>
        <v>JP128272019J 925354258619001</v>
      </c>
    </row>
    <row r="297" spans="1:8" x14ac:dyDescent="0.25">
      <c r="E297" t="str">
        <f>"202002034941"</f>
        <v>202002034941</v>
      </c>
      <c r="F297" t="str">
        <f>"56 999"</f>
        <v>56 999</v>
      </c>
      <c r="G297" s="2">
        <v>250</v>
      </c>
      <c r="H297" t="str">
        <f>"56 999"</f>
        <v>56 999</v>
      </c>
    </row>
    <row r="298" spans="1:8" x14ac:dyDescent="0.25">
      <c r="A298" t="s">
        <v>73</v>
      </c>
      <c r="B298">
        <v>130755</v>
      </c>
      <c r="C298" s="2">
        <v>30</v>
      </c>
      <c r="D298" s="1">
        <v>43871</v>
      </c>
      <c r="E298" t="str">
        <f>"20-20074"</f>
        <v>20-20074</v>
      </c>
      <c r="F298" t="str">
        <f>"CENTRAL ADOPTION REGISTRY FUND"</f>
        <v>CENTRAL ADOPTION REGISTRY FUND</v>
      </c>
      <c r="G298" s="2">
        <v>15</v>
      </c>
      <c r="H298" t="str">
        <f>"CENTRAL ADOPTION REGISTRY FUND"</f>
        <v>CENTRAL ADOPTION REGISTRY FUND</v>
      </c>
    </row>
    <row r="299" spans="1:8" x14ac:dyDescent="0.25">
      <c r="E299" t="str">
        <f>"423-7084"</f>
        <v>423-7084</v>
      </c>
      <c r="F299" t="str">
        <f>"CENTRAL ADOPTION REGISTRY FUND"</f>
        <v>CENTRAL ADOPTION REGISTRY FUND</v>
      </c>
      <c r="G299" s="2">
        <v>15</v>
      </c>
      <c r="H299" t="str">
        <f>"CENTRAL ADOPTION REGISTRY FUND"</f>
        <v>CENTRAL ADOPTION REGISTRY FUND</v>
      </c>
    </row>
    <row r="300" spans="1:8" x14ac:dyDescent="0.25">
      <c r="A300" t="s">
        <v>73</v>
      </c>
      <c r="B300">
        <v>130921</v>
      </c>
      <c r="C300" s="2">
        <v>30</v>
      </c>
      <c r="D300" s="1">
        <v>43885</v>
      </c>
      <c r="E300" t="str">
        <f>"20-20105"</f>
        <v>20-20105</v>
      </c>
      <c r="F300" t="str">
        <f>"CENTRAL ADOPTION REGISTRY FUND"</f>
        <v>CENTRAL ADOPTION REGISTRY FUND</v>
      </c>
      <c r="G300" s="2">
        <v>15</v>
      </c>
      <c r="H300" t="str">
        <f>"CENTRAL ADOPTION REGISTRY FUND"</f>
        <v>CENTRAL ADOPTION REGISTRY FUND</v>
      </c>
    </row>
    <row r="301" spans="1:8" x14ac:dyDescent="0.25">
      <c r="E301" t="str">
        <f>"423-7109"</f>
        <v>423-7109</v>
      </c>
      <c r="F301" t="str">
        <f>"CENTRAL ADOPTION REGISTRY FUND"</f>
        <v>CENTRAL ADOPTION REGISTRY FUND</v>
      </c>
      <c r="G301" s="2">
        <v>15</v>
      </c>
      <c r="H301" t="str">
        <f>"CENTRAL ADOPTION REGISTRY FUND"</f>
        <v>CENTRAL ADOPTION REGISTRY FUND</v>
      </c>
    </row>
    <row r="302" spans="1:8" x14ac:dyDescent="0.25">
      <c r="A302" t="s">
        <v>74</v>
      </c>
      <c r="B302">
        <v>130922</v>
      </c>
      <c r="C302" s="2">
        <v>80</v>
      </c>
      <c r="D302" s="1">
        <v>43885</v>
      </c>
      <c r="E302" t="str">
        <f>"12981"</f>
        <v>12981</v>
      </c>
      <c r="F302" t="str">
        <f>"SERVICE"</f>
        <v>SERVICE</v>
      </c>
      <c r="G302" s="2">
        <v>80</v>
      </c>
      <c r="H302" t="str">
        <f>"SERVICE"</f>
        <v>SERVICE</v>
      </c>
    </row>
    <row r="303" spans="1:8" x14ac:dyDescent="0.25">
      <c r="A303" t="s">
        <v>75</v>
      </c>
      <c r="B303">
        <v>130923</v>
      </c>
      <c r="C303" s="2">
        <v>3300</v>
      </c>
      <c r="D303" s="1">
        <v>43885</v>
      </c>
      <c r="E303" t="str">
        <f>"CAMPO-20-057"</f>
        <v>CAMPO-20-057</v>
      </c>
      <c r="F303" t="str">
        <f>"PER BUDGET - 2020"</f>
        <v>PER BUDGET - 2020</v>
      </c>
      <c r="G303" s="2">
        <v>3300</v>
      </c>
      <c r="H303" t="str">
        <f>"PER BUDGET - 2020"</f>
        <v>PER BUDGET - 2020</v>
      </c>
    </row>
    <row r="304" spans="1:8" x14ac:dyDescent="0.25">
      <c r="A304" t="s">
        <v>76</v>
      </c>
      <c r="B304">
        <v>130756</v>
      </c>
      <c r="C304" s="2">
        <v>190</v>
      </c>
      <c r="D304" s="1">
        <v>43871</v>
      </c>
      <c r="E304" t="str">
        <f>"2019RTA 910"</f>
        <v>2019RTA 910</v>
      </c>
      <c r="F304" t="str">
        <f>"INV 2019RTA 910"</f>
        <v>INV 2019RTA 910</v>
      </c>
      <c r="G304" s="2">
        <v>95</v>
      </c>
      <c r="H304" t="str">
        <f>"INV 2019RTA 910"</f>
        <v>INV 2019RTA 910</v>
      </c>
    </row>
    <row r="305" spans="1:8" x14ac:dyDescent="0.25">
      <c r="E305" t="str">
        <f>"202002055143"</f>
        <v>202002055143</v>
      </c>
      <c r="F305" t="str">
        <f>"INV 2020RTA110"</f>
        <v>INV 2020RTA110</v>
      </c>
      <c r="G305" s="2">
        <v>95</v>
      </c>
      <c r="H305" t="str">
        <f>"INV 2020RTA110"</f>
        <v>INV 2020RTA110</v>
      </c>
    </row>
    <row r="306" spans="1:8" x14ac:dyDescent="0.25">
      <c r="A306" t="s">
        <v>77</v>
      </c>
      <c r="B306">
        <v>2225</v>
      </c>
      <c r="C306" s="2">
        <v>25.24</v>
      </c>
      <c r="D306" s="1">
        <v>43886</v>
      </c>
      <c r="E306" t="str">
        <f>"01710720"</f>
        <v>01710720</v>
      </c>
      <c r="F306" t="str">
        <f>"ACCT#000690/ORD#01402282/PCT#2"</f>
        <v>ACCT#000690/ORD#01402282/PCT#2</v>
      </c>
      <c r="G306" s="2">
        <v>25.24</v>
      </c>
      <c r="H306" t="str">
        <f>"ACCT#000690/ORD#01402282/PCT#2"</f>
        <v>ACCT#000690/ORD#01402282/PCT#2</v>
      </c>
    </row>
    <row r="307" spans="1:8" x14ac:dyDescent="0.25">
      <c r="A307" t="s">
        <v>78</v>
      </c>
      <c r="B307">
        <v>387</v>
      </c>
      <c r="C307" s="2">
        <v>3399.36</v>
      </c>
      <c r="D307" s="1">
        <v>43871</v>
      </c>
      <c r="E307" t="str">
        <f>"202002055201"</f>
        <v>202002055201</v>
      </c>
      <c r="F307" t="str">
        <f>"acct# 0058"</f>
        <v>acct# 0058</v>
      </c>
      <c r="G307" s="2">
        <v>3399.36</v>
      </c>
      <c r="H307" t="str">
        <f>"Disney"</f>
        <v>Disney</v>
      </c>
    </row>
    <row r="308" spans="1:8" x14ac:dyDescent="0.25">
      <c r="E308" t="str">
        <f>""</f>
        <v/>
      </c>
      <c r="F308" t="str">
        <f>""</f>
        <v/>
      </c>
      <c r="H308" t="str">
        <f>"Disney"</f>
        <v>Disney</v>
      </c>
    </row>
    <row r="309" spans="1:8" x14ac:dyDescent="0.25">
      <c r="E309" t="str">
        <f>""</f>
        <v/>
      </c>
      <c r="F309" t="str">
        <f>""</f>
        <v/>
      </c>
      <c r="H309" t="str">
        <f>"APCO"</f>
        <v>APCO</v>
      </c>
    </row>
    <row r="310" spans="1:8" x14ac:dyDescent="0.25">
      <c r="E310" t="str">
        <f>""</f>
        <v/>
      </c>
      <c r="F310" t="str">
        <f>""</f>
        <v/>
      </c>
      <c r="H310" t="str">
        <f>"Hoot"</f>
        <v>Hoot</v>
      </c>
    </row>
    <row r="311" spans="1:8" x14ac:dyDescent="0.25">
      <c r="E311" t="str">
        <f>""</f>
        <v/>
      </c>
      <c r="F311" t="str">
        <f>""</f>
        <v/>
      </c>
      <c r="H311" t="str">
        <f>"GoDaddy"</f>
        <v>GoDaddy</v>
      </c>
    </row>
    <row r="312" spans="1:8" x14ac:dyDescent="0.25">
      <c r="E312" t="str">
        <f>""</f>
        <v/>
      </c>
      <c r="F312" t="str">
        <f>""</f>
        <v/>
      </c>
      <c r="H312" t="str">
        <f>"Google"</f>
        <v>Google</v>
      </c>
    </row>
    <row r="313" spans="1:8" x14ac:dyDescent="0.25">
      <c r="E313" t="str">
        <f>""</f>
        <v/>
      </c>
      <c r="F313" t="str">
        <f>""</f>
        <v/>
      </c>
      <c r="H313" t="str">
        <f>"VRSN"</f>
        <v>VRSN</v>
      </c>
    </row>
    <row r="314" spans="1:8" x14ac:dyDescent="0.25">
      <c r="E314" t="str">
        <f>""</f>
        <v/>
      </c>
      <c r="F314" t="str">
        <f>""</f>
        <v/>
      </c>
      <c r="H314" t="str">
        <f>"WebEx"</f>
        <v>WebEx</v>
      </c>
    </row>
    <row r="315" spans="1:8" x14ac:dyDescent="0.25">
      <c r="E315" t="str">
        <f>""</f>
        <v/>
      </c>
      <c r="F315" t="str">
        <f>""</f>
        <v/>
      </c>
      <c r="H315" t="str">
        <f>"Hoot"</f>
        <v>Hoot</v>
      </c>
    </row>
    <row r="316" spans="1:8" x14ac:dyDescent="0.25">
      <c r="E316" t="str">
        <f>""</f>
        <v/>
      </c>
      <c r="F316" t="str">
        <f>""</f>
        <v/>
      </c>
      <c r="H316" t="str">
        <f>"Best Buy"</f>
        <v>Best Buy</v>
      </c>
    </row>
    <row r="317" spans="1:8" x14ac:dyDescent="0.25">
      <c r="E317" t="str">
        <f>""</f>
        <v/>
      </c>
      <c r="F317" t="str">
        <f>""</f>
        <v/>
      </c>
      <c r="H317" t="str">
        <f>"TCEQ"</f>
        <v>TCEQ</v>
      </c>
    </row>
    <row r="318" spans="1:8" x14ac:dyDescent="0.25">
      <c r="E318" t="str">
        <f>""</f>
        <v/>
      </c>
      <c r="F318" t="str">
        <f>""</f>
        <v/>
      </c>
      <c r="H318" t="str">
        <f>"Erika DeJesus"</f>
        <v>Erika DeJesus</v>
      </c>
    </row>
    <row r="319" spans="1:8" x14ac:dyDescent="0.25">
      <c r="E319" t="str">
        <f>""</f>
        <v/>
      </c>
      <c r="F319" t="str">
        <f>""</f>
        <v/>
      </c>
      <c r="H319" t="str">
        <f>"Rosanna"</f>
        <v>Rosanna</v>
      </c>
    </row>
    <row r="320" spans="1:8" x14ac:dyDescent="0.25">
      <c r="E320" t="str">
        <f>""</f>
        <v/>
      </c>
      <c r="F320" t="str">
        <f>""</f>
        <v/>
      </c>
      <c r="H320" t="str">
        <f>"Robert Bennet"</f>
        <v>Robert Bennet</v>
      </c>
    </row>
    <row r="321" spans="1:8" x14ac:dyDescent="0.25">
      <c r="E321" t="str">
        <f>""</f>
        <v/>
      </c>
      <c r="F321" t="str">
        <f>""</f>
        <v/>
      </c>
      <c r="H321" t="str">
        <f>"Annette Murley"</f>
        <v>Annette Murley</v>
      </c>
    </row>
    <row r="322" spans="1:8" x14ac:dyDescent="0.25">
      <c r="E322" t="str">
        <f>""</f>
        <v/>
      </c>
      <c r="F322" t="str">
        <f>""</f>
        <v/>
      </c>
      <c r="H322" t="str">
        <f>"Best Buy"</f>
        <v>Best Buy</v>
      </c>
    </row>
    <row r="323" spans="1:8" x14ac:dyDescent="0.25">
      <c r="E323" t="str">
        <f>""</f>
        <v/>
      </c>
      <c r="F323" t="str">
        <f>""</f>
        <v/>
      </c>
      <c r="H323" t="str">
        <f>"Best Buy"</f>
        <v>Best Buy</v>
      </c>
    </row>
    <row r="324" spans="1:8" x14ac:dyDescent="0.25">
      <c r="E324" t="str">
        <f>""</f>
        <v/>
      </c>
      <c r="F324" t="str">
        <f>""</f>
        <v/>
      </c>
      <c r="H324" t="str">
        <f>"Home Depot"</f>
        <v>Home Depot</v>
      </c>
    </row>
    <row r="325" spans="1:8" x14ac:dyDescent="0.25">
      <c r="E325" t="str">
        <f>""</f>
        <v/>
      </c>
      <c r="F325" t="str">
        <f>""</f>
        <v/>
      </c>
      <c r="H325" t="str">
        <f>"Calvery"</f>
        <v>Calvery</v>
      </c>
    </row>
    <row r="326" spans="1:8" x14ac:dyDescent="0.25">
      <c r="E326" t="str">
        <f>""</f>
        <v/>
      </c>
      <c r="F326" t="str">
        <f>""</f>
        <v/>
      </c>
      <c r="H326" t="str">
        <f>"Calvery"</f>
        <v>Calvery</v>
      </c>
    </row>
    <row r="327" spans="1:8" x14ac:dyDescent="0.25">
      <c r="E327" t="str">
        <f>""</f>
        <v/>
      </c>
      <c r="F327" t="str">
        <f>""</f>
        <v/>
      </c>
      <c r="H327" t="str">
        <f>"Calvery"</f>
        <v>Calvery</v>
      </c>
    </row>
    <row r="328" spans="1:8" x14ac:dyDescent="0.25">
      <c r="E328" t="str">
        <f>""</f>
        <v/>
      </c>
      <c r="F328" t="str">
        <f>""</f>
        <v/>
      </c>
      <c r="H328" t="str">
        <f>"Calvery"</f>
        <v>Calvery</v>
      </c>
    </row>
    <row r="329" spans="1:8" x14ac:dyDescent="0.25">
      <c r="E329" t="str">
        <f>""</f>
        <v/>
      </c>
      <c r="F329" t="str">
        <f>""</f>
        <v/>
      </c>
      <c r="H329" t="str">
        <f>"USPS"</f>
        <v>USPS</v>
      </c>
    </row>
    <row r="330" spans="1:8" x14ac:dyDescent="0.25">
      <c r="E330" t="str">
        <f>""</f>
        <v/>
      </c>
      <c r="F330" t="str">
        <f>""</f>
        <v/>
      </c>
      <c r="H330" t="str">
        <f>"Asero"</f>
        <v>Asero</v>
      </c>
    </row>
    <row r="331" spans="1:8" x14ac:dyDescent="0.25">
      <c r="A331" t="s">
        <v>78</v>
      </c>
      <c r="B331">
        <v>388</v>
      </c>
      <c r="C331" s="2">
        <v>403.39</v>
      </c>
      <c r="D331" s="1">
        <v>43871</v>
      </c>
      <c r="E331" t="str">
        <f>"202002065211"</f>
        <v>202002065211</v>
      </c>
      <c r="F331" t="str">
        <f>"STATEMENT 0574"</f>
        <v>STATEMENT 0574</v>
      </c>
      <c r="G331" s="2">
        <v>403.39</v>
      </c>
      <c r="H331" t="str">
        <f>"HOLIDAY INN"</f>
        <v>HOLIDAY INN</v>
      </c>
    </row>
    <row r="332" spans="1:8" x14ac:dyDescent="0.25">
      <c r="E332" t="str">
        <f>""</f>
        <v/>
      </c>
      <c r="F332" t="str">
        <f>""</f>
        <v/>
      </c>
      <c r="H332" t="str">
        <f>"WALMART"</f>
        <v>WALMART</v>
      </c>
    </row>
    <row r="333" spans="1:8" x14ac:dyDescent="0.25">
      <c r="A333" t="s">
        <v>79</v>
      </c>
      <c r="B333">
        <v>2170</v>
      </c>
      <c r="C333" s="2">
        <v>88.54</v>
      </c>
      <c r="D333" s="1">
        <v>43872</v>
      </c>
      <c r="E333" t="str">
        <f>"WPV1815"</f>
        <v>WPV1815</v>
      </c>
      <c r="F333" t="str">
        <f>"Cables &amp; Cords for HR com"</f>
        <v>Cables &amp; Cords for HR com</v>
      </c>
      <c r="G333" s="2">
        <v>88.54</v>
      </c>
      <c r="H333" t="str">
        <f>" Part#: P006-015"</f>
        <v xml:space="preserve"> Part#: P006-015</v>
      </c>
    </row>
    <row r="334" spans="1:8" x14ac:dyDescent="0.25">
      <c r="E334" t="str">
        <f>""</f>
        <v/>
      </c>
      <c r="F334" t="str">
        <f>""</f>
        <v/>
      </c>
      <c r="H334" t="str">
        <f>"Part#: U024-016"</f>
        <v>Part#: U024-016</v>
      </c>
    </row>
    <row r="335" spans="1:8" x14ac:dyDescent="0.25">
      <c r="E335" t="str">
        <f>""</f>
        <v/>
      </c>
      <c r="F335" t="str">
        <f>""</f>
        <v/>
      </c>
      <c r="H335" t="str">
        <f>"Part#: MXT101MM15"</f>
        <v>Part#: MXT101MM15</v>
      </c>
    </row>
    <row r="336" spans="1:8" x14ac:dyDescent="0.25">
      <c r="E336" t="str">
        <f>""</f>
        <v/>
      </c>
      <c r="F336" t="str">
        <f>""</f>
        <v/>
      </c>
      <c r="H336" t="str">
        <f>"Part#: P580-015"</f>
        <v>Part#: P580-015</v>
      </c>
    </row>
    <row r="337" spans="1:8" x14ac:dyDescent="0.25">
      <c r="A337" t="s">
        <v>79</v>
      </c>
      <c r="B337">
        <v>2242</v>
      </c>
      <c r="C337" s="2">
        <v>204.87</v>
      </c>
      <c r="D337" s="1">
        <v>43886</v>
      </c>
      <c r="E337" t="str">
        <f>"WS23602  WSW0163"</f>
        <v>WS23602  WSW0163</v>
      </c>
      <c r="F337" t="str">
        <f>"HDMI Cables"</f>
        <v>HDMI Cables</v>
      </c>
      <c r="G337" s="2">
        <v>38.1</v>
      </c>
      <c r="H337" t="str">
        <f>"HDMI Cables"</f>
        <v>HDMI Cables</v>
      </c>
    </row>
    <row r="338" spans="1:8" x14ac:dyDescent="0.25">
      <c r="E338" t="str">
        <f>"WTW8961"</f>
        <v>WTW8961</v>
      </c>
      <c r="F338" t="str">
        <f>"UPS for Grady Tuck"</f>
        <v>UPS for Grady Tuck</v>
      </c>
      <c r="G338" s="2">
        <v>166.77</v>
      </c>
      <c r="H338" t="str">
        <f>"UPS SC 450VA"</f>
        <v>UPS SC 450VA</v>
      </c>
    </row>
    <row r="339" spans="1:8" x14ac:dyDescent="0.25">
      <c r="A339" t="s">
        <v>80</v>
      </c>
      <c r="B339">
        <v>130757</v>
      </c>
      <c r="C339" s="2">
        <v>375</v>
      </c>
      <c r="D339" s="1">
        <v>43871</v>
      </c>
      <c r="E339" t="str">
        <f>"ORD0012564"</f>
        <v>ORD0012564</v>
      </c>
      <c r="F339" t="str">
        <f>"SUPPLIES/GEN SVCS"</f>
        <v>SUPPLIES/GEN SVCS</v>
      </c>
      <c r="G339" s="2">
        <v>375</v>
      </c>
      <c r="H339" t="str">
        <f>"SUPPLIES/GEN SVCS"</f>
        <v>SUPPLIES/GEN SVCS</v>
      </c>
    </row>
    <row r="340" spans="1:8" x14ac:dyDescent="0.25">
      <c r="A340" t="s">
        <v>81</v>
      </c>
      <c r="B340">
        <v>131074</v>
      </c>
      <c r="C340" s="2">
        <v>2122.37</v>
      </c>
      <c r="D340" s="1">
        <v>43888</v>
      </c>
      <c r="E340" t="str">
        <f>"202002275506"</f>
        <v>202002275506</v>
      </c>
      <c r="F340" t="str">
        <f>"ACCT#8000081165-5 / 02192020"</f>
        <v>ACCT#8000081165-5 / 02192020</v>
      </c>
      <c r="G340" s="2">
        <v>2122.37</v>
      </c>
      <c r="H340" t="str">
        <f>"ACCT#8000081165-5 / 02192020"</f>
        <v>ACCT#8000081165-5 / 02192020</v>
      </c>
    </row>
    <row r="341" spans="1:8" x14ac:dyDescent="0.25">
      <c r="E341" t="str">
        <f>""</f>
        <v/>
      </c>
      <c r="F341" t="str">
        <f>""</f>
        <v/>
      </c>
      <c r="H341" t="str">
        <f>"ACCT#8000081165-5 / 02192020"</f>
        <v>ACCT#8000081165-5 / 02192020</v>
      </c>
    </row>
    <row r="342" spans="1:8" x14ac:dyDescent="0.25">
      <c r="A342" t="s">
        <v>82</v>
      </c>
      <c r="B342">
        <v>130924</v>
      </c>
      <c r="C342" s="2">
        <v>4565</v>
      </c>
      <c r="D342" s="1">
        <v>43885</v>
      </c>
      <c r="E342" t="str">
        <f>"CID2588117"</f>
        <v>CID2588117</v>
      </c>
      <c r="F342" t="str">
        <f>"INV# CID2588117"</f>
        <v>INV# CID2588117</v>
      </c>
      <c r="G342" s="2">
        <v>4565</v>
      </c>
      <c r="H342" t="str">
        <f>"Stress relievers"</f>
        <v>Stress relievers</v>
      </c>
    </row>
    <row r="343" spans="1:8" x14ac:dyDescent="0.25">
      <c r="E343" t="str">
        <f>""</f>
        <v/>
      </c>
      <c r="F343" t="str">
        <f>""</f>
        <v/>
      </c>
      <c r="H343" t="str">
        <f>"Screen Charge"</f>
        <v>Screen Charge</v>
      </c>
    </row>
    <row r="344" spans="1:8" x14ac:dyDescent="0.25">
      <c r="E344" t="str">
        <f>""</f>
        <v/>
      </c>
      <c r="F344" t="str">
        <f>""</f>
        <v/>
      </c>
      <c r="H344" t="str">
        <f>"Shipping"</f>
        <v>Shipping</v>
      </c>
    </row>
    <row r="345" spans="1:8" x14ac:dyDescent="0.25">
      <c r="A345" t="s">
        <v>83</v>
      </c>
      <c r="B345">
        <v>130925</v>
      </c>
      <c r="C345" s="2">
        <v>350</v>
      </c>
      <c r="D345" s="1">
        <v>43885</v>
      </c>
      <c r="E345" t="str">
        <f>"202002195407"</f>
        <v>202002195407</v>
      </c>
      <c r="F345" t="str">
        <f>"56 982"</f>
        <v>56 982</v>
      </c>
      <c r="G345" s="2">
        <v>250</v>
      </c>
      <c r="H345" t="str">
        <f>"56 982"</f>
        <v>56 982</v>
      </c>
    </row>
    <row r="346" spans="1:8" x14ac:dyDescent="0.25">
      <c r="E346" t="str">
        <f>"202002195412"</f>
        <v>202002195412</v>
      </c>
      <c r="F346" t="str">
        <f>"19-19940"</f>
        <v>19-19940</v>
      </c>
      <c r="G346" s="2">
        <v>100</v>
      </c>
      <c r="H346" t="str">
        <f>"19-19940"</f>
        <v>19-19940</v>
      </c>
    </row>
    <row r="347" spans="1:8" x14ac:dyDescent="0.25">
      <c r="A347" t="s">
        <v>84</v>
      </c>
      <c r="B347">
        <v>2238</v>
      </c>
      <c r="C347" s="2">
        <v>152.86000000000001</v>
      </c>
      <c r="D347" s="1">
        <v>43886</v>
      </c>
      <c r="E347" t="str">
        <f>"0211372-IN"</f>
        <v>0211372-IN</v>
      </c>
      <c r="F347" t="str">
        <f>"INV 0211372-IN"</f>
        <v>INV 0211372-IN</v>
      </c>
      <c r="G347" s="2">
        <v>152.86000000000001</v>
      </c>
      <c r="H347" t="str">
        <f>"INV 0211372-IN"</f>
        <v>INV 0211372-IN</v>
      </c>
    </row>
    <row r="348" spans="1:8" x14ac:dyDescent="0.25">
      <c r="A348" t="s">
        <v>85</v>
      </c>
      <c r="B348">
        <v>2177</v>
      </c>
      <c r="C348" s="2">
        <v>3025</v>
      </c>
      <c r="D348" s="1">
        <v>43872</v>
      </c>
      <c r="E348" t="str">
        <f>"202001284831"</f>
        <v>202001284831</v>
      </c>
      <c r="F348" t="str">
        <f>"JP10062019P"</f>
        <v>JP10062019P</v>
      </c>
      <c r="G348" s="2">
        <v>400</v>
      </c>
      <c r="H348" t="str">
        <f>"JP10062019P"</f>
        <v>JP10062019P</v>
      </c>
    </row>
    <row r="349" spans="1:8" x14ac:dyDescent="0.25">
      <c r="E349" t="str">
        <f>"202001284832"</f>
        <v>202001284832</v>
      </c>
      <c r="F349" t="str">
        <f>"302262019G  302262019H"</f>
        <v>302262019G  302262019H</v>
      </c>
      <c r="G349" s="2">
        <v>600</v>
      </c>
      <c r="H349" t="str">
        <f>"302262019G  302262019H"</f>
        <v>302262019G  302262019H</v>
      </c>
    </row>
    <row r="350" spans="1:8" x14ac:dyDescent="0.25">
      <c r="E350" t="str">
        <f>"202002034944"</f>
        <v>202002034944</v>
      </c>
      <c r="F350" t="str">
        <f>"19-19445"</f>
        <v>19-19445</v>
      </c>
      <c r="G350" s="2">
        <v>100</v>
      </c>
      <c r="H350" t="str">
        <f>"19-19445"</f>
        <v>19-19445</v>
      </c>
    </row>
    <row r="351" spans="1:8" x14ac:dyDescent="0.25">
      <c r="E351" t="str">
        <f>"202002034945"</f>
        <v>202002034945</v>
      </c>
      <c r="F351" t="str">
        <f>"19-19627"</f>
        <v>19-19627</v>
      </c>
      <c r="G351" s="2">
        <v>100</v>
      </c>
      <c r="H351" t="str">
        <f>"19-19627"</f>
        <v>19-19627</v>
      </c>
    </row>
    <row r="352" spans="1:8" x14ac:dyDescent="0.25">
      <c r="E352" t="str">
        <f>"202002034946"</f>
        <v>202002034946</v>
      </c>
      <c r="F352" t="str">
        <f>"19-19741"</f>
        <v>19-19741</v>
      </c>
      <c r="G352" s="2">
        <v>100</v>
      </c>
      <c r="H352" t="str">
        <f>"19-19741"</f>
        <v>19-19741</v>
      </c>
    </row>
    <row r="353" spans="1:8" x14ac:dyDescent="0.25">
      <c r="E353" t="str">
        <f>"202002034947"</f>
        <v>202002034947</v>
      </c>
      <c r="F353" t="str">
        <f>"3022620195J"</f>
        <v>3022620195J</v>
      </c>
      <c r="G353" s="2">
        <v>250</v>
      </c>
      <c r="H353" t="str">
        <f>"3022620195J"</f>
        <v>3022620195J</v>
      </c>
    </row>
    <row r="354" spans="1:8" x14ac:dyDescent="0.25">
      <c r="E354" t="str">
        <f>"202002045100"</f>
        <v>202002045100</v>
      </c>
      <c r="F354" t="str">
        <f>"56 972"</f>
        <v>56 972</v>
      </c>
      <c r="G354" s="2">
        <v>250</v>
      </c>
      <c r="H354" t="str">
        <f>"56 972"</f>
        <v>56 972</v>
      </c>
    </row>
    <row r="355" spans="1:8" x14ac:dyDescent="0.25">
      <c r="E355" t="str">
        <f>"202002045101"</f>
        <v>202002045101</v>
      </c>
      <c r="F355" t="str">
        <f>"57196"</f>
        <v>57196</v>
      </c>
      <c r="G355" s="2">
        <v>250</v>
      </c>
      <c r="H355" t="str">
        <f>"57196"</f>
        <v>57196</v>
      </c>
    </row>
    <row r="356" spans="1:8" x14ac:dyDescent="0.25">
      <c r="E356" t="str">
        <f>"202002055161"</f>
        <v>202002055161</v>
      </c>
      <c r="F356" t="str">
        <f>"18-19365"</f>
        <v>18-19365</v>
      </c>
      <c r="G356" s="2">
        <v>100</v>
      </c>
      <c r="H356" t="str">
        <f>"18-19365"</f>
        <v>18-19365</v>
      </c>
    </row>
    <row r="357" spans="1:8" x14ac:dyDescent="0.25">
      <c r="E357" t="str">
        <f>"202002055162"</f>
        <v>202002055162</v>
      </c>
      <c r="F357" t="str">
        <f>"20-20089"</f>
        <v>20-20089</v>
      </c>
      <c r="G357" s="2">
        <v>100</v>
      </c>
      <c r="H357" t="str">
        <f>"20-20089"</f>
        <v>20-20089</v>
      </c>
    </row>
    <row r="358" spans="1:8" x14ac:dyDescent="0.25">
      <c r="E358" t="str">
        <f>"202002055163"</f>
        <v>202002055163</v>
      </c>
      <c r="F358" t="str">
        <f>"19-19465"</f>
        <v>19-19465</v>
      </c>
      <c r="G358" s="2">
        <v>100</v>
      </c>
      <c r="H358" t="str">
        <f>"19-19465"</f>
        <v>19-19465</v>
      </c>
    </row>
    <row r="359" spans="1:8" x14ac:dyDescent="0.25">
      <c r="E359" t="str">
        <f>"202002055164"</f>
        <v>202002055164</v>
      </c>
      <c r="F359" t="str">
        <f>"19-19994"</f>
        <v>19-19994</v>
      </c>
      <c r="G359" s="2">
        <v>175</v>
      </c>
      <c r="H359" t="str">
        <f>"19-19994"</f>
        <v>19-19994</v>
      </c>
    </row>
    <row r="360" spans="1:8" x14ac:dyDescent="0.25">
      <c r="E360" t="str">
        <f>"202002055165"</f>
        <v>202002055165</v>
      </c>
      <c r="F360" t="str">
        <f>"J-3186"</f>
        <v>J-3186</v>
      </c>
      <c r="G360" s="2">
        <v>250</v>
      </c>
      <c r="H360" t="str">
        <f>"J-3186"</f>
        <v>J-3186</v>
      </c>
    </row>
    <row r="361" spans="1:8" x14ac:dyDescent="0.25">
      <c r="E361" t="str">
        <f>"202002055166"</f>
        <v>202002055166</v>
      </c>
      <c r="F361" t="str">
        <f>"J-3210"</f>
        <v>J-3210</v>
      </c>
      <c r="G361" s="2">
        <v>250</v>
      </c>
      <c r="H361" t="str">
        <f>"J-3210"</f>
        <v>J-3210</v>
      </c>
    </row>
    <row r="362" spans="1:8" x14ac:dyDescent="0.25">
      <c r="A362" t="s">
        <v>85</v>
      </c>
      <c r="B362">
        <v>2248</v>
      </c>
      <c r="C362" s="2">
        <v>1000</v>
      </c>
      <c r="D362" s="1">
        <v>43886</v>
      </c>
      <c r="E362" t="str">
        <f>"202002115250"</f>
        <v>202002115250</v>
      </c>
      <c r="F362" t="str">
        <f>"DCPC19107"</f>
        <v>DCPC19107</v>
      </c>
      <c r="G362" s="2">
        <v>100</v>
      </c>
      <c r="H362" t="str">
        <f>"DCPC19107"</f>
        <v>DCPC19107</v>
      </c>
    </row>
    <row r="363" spans="1:8" x14ac:dyDescent="0.25">
      <c r="E363" t="str">
        <f>"202002115251"</f>
        <v>202002115251</v>
      </c>
      <c r="F363" t="str">
        <f>"1425-335"</f>
        <v>1425-335</v>
      </c>
      <c r="G363" s="2">
        <v>100</v>
      </c>
      <c r="H363" t="str">
        <f>"1425-335"</f>
        <v>1425-335</v>
      </c>
    </row>
    <row r="364" spans="1:8" x14ac:dyDescent="0.25">
      <c r="E364" t="str">
        <f>"202002115258"</f>
        <v>202002115258</v>
      </c>
      <c r="F364" t="str">
        <f>"57 200"</f>
        <v>57 200</v>
      </c>
      <c r="G364" s="2">
        <v>250</v>
      </c>
      <c r="H364" t="str">
        <f>"57 200"</f>
        <v>57 200</v>
      </c>
    </row>
    <row r="365" spans="1:8" x14ac:dyDescent="0.25">
      <c r="E365" t="str">
        <f>"202002145336"</f>
        <v>202002145336</v>
      </c>
      <c r="F365" t="str">
        <f>"1435-21"</f>
        <v>1435-21</v>
      </c>
      <c r="G365" s="2">
        <v>100</v>
      </c>
      <c r="H365" t="str">
        <f>"1435-21"</f>
        <v>1435-21</v>
      </c>
    </row>
    <row r="366" spans="1:8" x14ac:dyDescent="0.25">
      <c r="E366" t="str">
        <f>"202002195398"</f>
        <v>202002195398</v>
      </c>
      <c r="F366" t="str">
        <f>"401208.2"</f>
        <v>401208.2</v>
      </c>
      <c r="G366" s="2">
        <v>250</v>
      </c>
      <c r="H366" t="str">
        <f>"401208.2"</f>
        <v>401208.2</v>
      </c>
    </row>
    <row r="367" spans="1:8" x14ac:dyDescent="0.25">
      <c r="E367" t="str">
        <f>"202002195417"</f>
        <v>202002195417</v>
      </c>
      <c r="F367" t="str">
        <f>"20-20085"</f>
        <v>20-20085</v>
      </c>
      <c r="G367" s="2">
        <v>100</v>
      </c>
      <c r="H367" t="str">
        <f>"20-20085"</f>
        <v>20-20085</v>
      </c>
    </row>
    <row r="368" spans="1:8" x14ac:dyDescent="0.25">
      <c r="E368" t="str">
        <f>"202002195418"</f>
        <v>202002195418</v>
      </c>
      <c r="F368" t="str">
        <f>"20-20108"</f>
        <v>20-20108</v>
      </c>
      <c r="G368" s="2">
        <v>100</v>
      </c>
      <c r="H368" t="str">
        <f>"20-20108"</f>
        <v>20-20108</v>
      </c>
    </row>
    <row r="369" spans="1:8" x14ac:dyDescent="0.25">
      <c r="A369" t="s">
        <v>86</v>
      </c>
      <c r="B369">
        <v>130758</v>
      </c>
      <c r="C369" s="2">
        <v>226.34</v>
      </c>
      <c r="D369" s="1">
        <v>43871</v>
      </c>
      <c r="E369" t="str">
        <f>"5015763158"</f>
        <v>5015763158</v>
      </c>
      <c r="F369" t="str">
        <f>"CUST#0011167190/PCT#1"</f>
        <v>CUST#0011167190/PCT#1</v>
      </c>
      <c r="G369" s="2">
        <v>76.34</v>
      </c>
      <c r="H369" t="str">
        <f>"CUST#0011167190/PCT#1"</f>
        <v>CUST#0011167190/PCT#1</v>
      </c>
    </row>
    <row r="370" spans="1:8" x14ac:dyDescent="0.25">
      <c r="E370" t="str">
        <f>"9077635547"</f>
        <v>9077635547</v>
      </c>
      <c r="F370" t="str">
        <f>"INV 9077635547"</f>
        <v>INV 9077635547</v>
      </c>
      <c r="G370" s="2">
        <v>100</v>
      </c>
      <c r="H370" t="str">
        <f>"INV 9077635547"</f>
        <v>INV 9077635547</v>
      </c>
    </row>
    <row r="371" spans="1:8" x14ac:dyDescent="0.25">
      <c r="E371" t="str">
        <f>"9077635548"</f>
        <v>9077635548</v>
      </c>
      <c r="F371" t="str">
        <f>"INV 9077635548"</f>
        <v>INV 9077635548</v>
      </c>
      <c r="G371" s="2">
        <v>50</v>
      </c>
      <c r="H371" t="str">
        <f>"INV 9077635548"</f>
        <v>INV 9077635548</v>
      </c>
    </row>
    <row r="372" spans="1:8" x14ac:dyDescent="0.25">
      <c r="A372" t="s">
        <v>86</v>
      </c>
      <c r="B372">
        <v>130926</v>
      </c>
      <c r="C372" s="2">
        <v>90.15</v>
      </c>
      <c r="D372" s="1">
        <v>43885</v>
      </c>
      <c r="E372" t="str">
        <f>"5016104607"</f>
        <v>5016104607</v>
      </c>
      <c r="F372" t="str">
        <f>"CUST#0011167190/PCT#1"</f>
        <v>CUST#0011167190/PCT#1</v>
      </c>
      <c r="G372" s="2">
        <v>90.15</v>
      </c>
      <c r="H372" t="str">
        <f>"CUST#0011167190/PCT#1"</f>
        <v>CUST#0011167190/PCT#1</v>
      </c>
    </row>
    <row r="373" spans="1:8" x14ac:dyDescent="0.25">
      <c r="A373" t="s">
        <v>87</v>
      </c>
      <c r="B373">
        <v>130759</v>
      </c>
      <c r="C373" s="2">
        <v>230.76</v>
      </c>
      <c r="D373" s="1">
        <v>43871</v>
      </c>
      <c r="E373" t="str">
        <f>"8404483671"</f>
        <v>8404483671</v>
      </c>
      <c r="F373" t="str">
        <f>"CUST#10377368/PCT#3"</f>
        <v>CUST#10377368/PCT#3</v>
      </c>
      <c r="G373" s="2">
        <v>230.76</v>
      </c>
      <c r="H373" t="str">
        <f>"CUST#10377368/PCT#3"</f>
        <v>CUST#10377368/PCT#3</v>
      </c>
    </row>
    <row r="374" spans="1:8" x14ac:dyDescent="0.25">
      <c r="A374" t="s">
        <v>88</v>
      </c>
      <c r="B374">
        <v>130760</v>
      </c>
      <c r="C374" s="2">
        <v>265.35000000000002</v>
      </c>
      <c r="D374" s="1">
        <v>43871</v>
      </c>
      <c r="E374" t="str">
        <f>"202002055181"</f>
        <v>202002055181</v>
      </c>
      <c r="F374" t="str">
        <f>"PAYER#14108463/ANIMAL SHELTER"</f>
        <v>PAYER#14108463/ANIMAL SHELTER</v>
      </c>
      <c r="G374" s="2">
        <v>265.35000000000002</v>
      </c>
      <c r="H374" t="str">
        <f>"PAYER#14108463/ANIMAL SHELTER"</f>
        <v>PAYER#14108463/ANIMAL SHELTER</v>
      </c>
    </row>
    <row r="375" spans="1:8" x14ac:dyDescent="0.25">
      <c r="A375" t="s">
        <v>88</v>
      </c>
      <c r="B375">
        <v>130927</v>
      </c>
      <c r="C375" s="2">
        <v>4373.37</v>
      </c>
      <c r="D375" s="1">
        <v>43885</v>
      </c>
      <c r="E375" t="str">
        <f>"202002125288"</f>
        <v>202002125288</v>
      </c>
      <c r="F375" t="str">
        <f>"PAYER#14108431/PCT#1"</f>
        <v>PAYER#14108431/PCT#1</v>
      </c>
      <c r="G375" s="2">
        <v>601.88</v>
      </c>
      <c r="H375" t="str">
        <f>"PAYER#14108431/PCT#1"</f>
        <v>PAYER#14108431/PCT#1</v>
      </c>
    </row>
    <row r="376" spans="1:8" x14ac:dyDescent="0.25">
      <c r="E376" t="str">
        <f>"202002125291"</f>
        <v>202002125291</v>
      </c>
      <c r="F376" t="str">
        <f>"PAYER#14108375/GEN SVCS"</f>
        <v>PAYER#14108375/GEN SVCS</v>
      </c>
      <c r="G376" s="2">
        <v>1268.3499999999999</v>
      </c>
      <c r="H376" t="str">
        <f>"PAYER#14108375/GEN SVCS"</f>
        <v>PAYER#14108375/GEN SVCS</v>
      </c>
    </row>
    <row r="377" spans="1:8" x14ac:dyDescent="0.25">
      <c r="E377" t="str">
        <f>"202002125292"</f>
        <v>202002125292</v>
      </c>
      <c r="F377" t="str">
        <f>"PAYER#14108431"</f>
        <v>PAYER#14108431</v>
      </c>
      <c r="G377" s="2">
        <v>44.72</v>
      </c>
      <c r="H377" t="str">
        <f>"PAYER#14108431"</f>
        <v>PAYER#14108431</v>
      </c>
    </row>
    <row r="378" spans="1:8" x14ac:dyDescent="0.25">
      <c r="E378" t="str">
        <f>"202002135314"</f>
        <v>202002135314</v>
      </c>
      <c r="F378" t="str">
        <f>"PAYER#14108430/PCT#4"</f>
        <v>PAYER#14108430/PCT#4</v>
      </c>
      <c r="G378" s="2">
        <v>1701.5</v>
      </c>
      <c r="H378" t="str">
        <f>"PAYER#14108430/PCT#4"</f>
        <v>PAYER#14108430/PCT#4</v>
      </c>
    </row>
    <row r="379" spans="1:8" x14ac:dyDescent="0.25">
      <c r="E379" t="str">
        <f>"202002135323"</f>
        <v>202002135323</v>
      </c>
      <c r="F379" t="str">
        <f>"PAYER#14108367/PCT#2"</f>
        <v>PAYER#14108367/PCT#2</v>
      </c>
      <c r="G379" s="2">
        <v>756.92</v>
      </c>
      <c r="H379" t="str">
        <f>"PAYER#14108367/PCT#2"</f>
        <v>PAYER#14108367/PCT#2</v>
      </c>
    </row>
    <row r="380" spans="1:8" x14ac:dyDescent="0.25">
      <c r="A380" t="s">
        <v>89</v>
      </c>
      <c r="B380">
        <v>130883</v>
      </c>
      <c r="C380" s="2">
        <v>10633.04</v>
      </c>
      <c r="D380" s="1">
        <v>43872</v>
      </c>
      <c r="E380" t="str">
        <f>"202002115243"</f>
        <v>202002115243</v>
      </c>
      <c r="F380" t="str">
        <f>"ACCT#72-5613 / 02032020"</f>
        <v>ACCT#72-5613 / 02032020</v>
      </c>
      <c r="G380" s="2">
        <v>10633.04</v>
      </c>
      <c r="H380" t="str">
        <f>"ACCT#72-5613 / 02032020"</f>
        <v>ACCT#72-5613 / 02032020</v>
      </c>
    </row>
    <row r="381" spans="1:8" x14ac:dyDescent="0.25">
      <c r="A381" t="s">
        <v>90</v>
      </c>
      <c r="B381">
        <v>130928</v>
      </c>
      <c r="C381" s="2">
        <v>500</v>
      </c>
      <c r="D381" s="1">
        <v>43885</v>
      </c>
      <c r="E381" t="str">
        <f>"02132020-1"</f>
        <v>02132020-1</v>
      </c>
      <c r="F381" t="str">
        <f>"EXHIBITOR PARTICIPATION 2020"</f>
        <v>EXHIBITOR PARTICIPATION 2020</v>
      </c>
      <c r="G381" s="2">
        <v>500</v>
      </c>
      <c r="H381" t="str">
        <f>"EXHIBITOR PARTICIPATION 2020"</f>
        <v>EXHIBITOR PARTICIPATION 2020</v>
      </c>
    </row>
    <row r="382" spans="1:8" x14ac:dyDescent="0.25">
      <c r="A382" t="s">
        <v>91</v>
      </c>
      <c r="B382">
        <v>130881</v>
      </c>
      <c r="C382" s="2">
        <v>39241.589999999997</v>
      </c>
      <c r="D382" s="1">
        <v>43872</v>
      </c>
      <c r="E382" t="str">
        <f>"202002115237"</f>
        <v>202002115237</v>
      </c>
      <c r="F382" t="str">
        <f>"ACCT#02-2083-04 / 01302020"</f>
        <v>ACCT#02-2083-04 / 01302020</v>
      </c>
      <c r="G382" s="2">
        <v>5726.09</v>
      </c>
      <c r="H382" t="str">
        <f>"ACCT#02-2083-04 / 01302020"</f>
        <v>ACCT#02-2083-04 / 01302020</v>
      </c>
    </row>
    <row r="383" spans="1:8" x14ac:dyDescent="0.25">
      <c r="E383" t="str">
        <f>"202002115238"</f>
        <v>202002115238</v>
      </c>
      <c r="F383" t="str">
        <f>"COUNTY DEV CTR / 01302020"</f>
        <v>COUNTY DEV CTR / 01302020</v>
      </c>
      <c r="G383" s="2">
        <v>1567.4</v>
      </c>
      <c r="H383" t="str">
        <f>"COUNTY DEV CTR / 01302020"</f>
        <v>COUNTY DEV CTR / 01302020</v>
      </c>
    </row>
    <row r="384" spans="1:8" x14ac:dyDescent="0.25">
      <c r="E384" t="str">
        <f>"202002115239"</f>
        <v>202002115239</v>
      </c>
      <c r="F384" t="str">
        <f>"COUNTY LAW ENF CTR / 01302020"</f>
        <v>COUNTY LAW ENF CTR / 01302020</v>
      </c>
      <c r="G384" s="2">
        <v>20694.259999999998</v>
      </c>
      <c r="H384" t="str">
        <f>"COUNTY LAW ENF CTR / 01302020"</f>
        <v>COUNTY LAW ENF CTR / 01302020</v>
      </c>
    </row>
    <row r="385" spans="1:8" x14ac:dyDescent="0.25">
      <c r="E385" t="str">
        <f>"202002115240"</f>
        <v>202002115240</v>
      </c>
      <c r="F385" t="str">
        <f>"BASTROP COURTHOUSE"</f>
        <v>BASTROP COURTHOUSE</v>
      </c>
      <c r="G385" s="2">
        <v>11253.84</v>
      </c>
      <c r="H385" t="str">
        <f>"BASTROP COURTHOUSE"</f>
        <v>BASTROP COURTHOUSE</v>
      </c>
    </row>
    <row r="386" spans="1:8" x14ac:dyDescent="0.25">
      <c r="A386" t="s">
        <v>91</v>
      </c>
      <c r="B386">
        <v>130929</v>
      </c>
      <c r="C386" s="2">
        <v>750</v>
      </c>
      <c r="D386" s="1">
        <v>43885</v>
      </c>
      <c r="E386" t="str">
        <f>"202002115276"</f>
        <v>202002115276</v>
      </c>
      <c r="F386" t="str">
        <f>"RENTAL - PARKING LOT"</f>
        <v>RENTAL - PARKING LOT</v>
      </c>
      <c r="G386" s="2">
        <v>750</v>
      </c>
      <c r="H386" t="str">
        <f>"RENTAL - PARKING LOT"</f>
        <v>RENTAL - PARKING LOT</v>
      </c>
    </row>
    <row r="387" spans="1:8" x14ac:dyDescent="0.25">
      <c r="A387" t="s">
        <v>92</v>
      </c>
      <c r="B387">
        <v>130930</v>
      </c>
      <c r="C387" s="2">
        <v>3270</v>
      </c>
      <c r="D387" s="1">
        <v>43885</v>
      </c>
      <c r="E387" t="str">
        <f>"202002195448"</f>
        <v>202002195448</v>
      </c>
      <c r="F387" t="str">
        <f>"CLARKE KENT PLUMBING INC"</f>
        <v>CLARKE KENT PLUMBING INC</v>
      </c>
      <c r="G387" s="2">
        <v>3270</v>
      </c>
      <c r="H387" t="str">
        <f>"Water Main Fix"</f>
        <v>Water Main Fix</v>
      </c>
    </row>
    <row r="388" spans="1:8" x14ac:dyDescent="0.25">
      <c r="A388" t="s">
        <v>93</v>
      </c>
      <c r="B388">
        <v>2121</v>
      </c>
      <c r="C388" s="2">
        <v>331.77</v>
      </c>
      <c r="D388" s="1">
        <v>43872</v>
      </c>
      <c r="E388" t="str">
        <f>"SVC-0096652"</f>
        <v>SVC-0096652</v>
      </c>
      <c r="F388" t="str">
        <f>"CUST#0020272/FISHER BUILDING"</f>
        <v>CUST#0020272/FISHER BUILDING</v>
      </c>
      <c r="G388" s="2">
        <v>331.77</v>
      </c>
      <c r="H388" t="str">
        <f>"CUST#0020272/FISHER BUILDING"</f>
        <v>CUST#0020272/FISHER BUILDING</v>
      </c>
    </row>
    <row r="389" spans="1:8" x14ac:dyDescent="0.25">
      <c r="A389" t="s">
        <v>94</v>
      </c>
      <c r="B389">
        <v>2226</v>
      </c>
      <c r="C389" s="2">
        <v>402.09</v>
      </c>
      <c r="D389" s="1">
        <v>43886</v>
      </c>
      <c r="E389" t="str">
        <f>"202001-0"</f>
        <v>202001-0</v>
      </c>
      <c r="F389" t="str">
        <f>"INV 202001-0"</f>
        <v>INV 202001-0</v>
      </c>
      <c r="G389" s="2">
        <v>347.65</v>
      </c>
      <c r="H389" t="str">
        <f>"INV 202001-0"</f>
        <v>INV 202001-0</v>
      </c>
    </row>
    <row r="390" spans="1:8" x14ac:dyDescent="0.25">
      <c r="E390" t="str">
        <f>"202002185368"</f>
        <v>202002185368</v>
      </c>
      <c r="F390" t="str">
        <f>"INDIGENT HEALTH"</f>
        <v>INDIGENT HEALTH</v>
      </c>
      <c r="G390" s="2">
        <v>54.44</v>
      </c>
      <c r="H390" t="str">
        <f>"INDIGENT HEALTH"</f>
        <v>INDIGENT HEALTH</v>
      </c>
    </row>
    <row r="391" spans="1:8" x14ac:dyDescent="0.25">
      <c r="A391" t="s">
        <v>95</v>
      </c>
      <c r="B391">
        <v>130761</v>
      </c>
      <c r="C391" s="2">
        <v>29.67</v>
      </c>
      <c r="D391" s="1">
        <v>43871</v>
      </c>
      <c r="E391" t="str">
        <f>"202002055182"</f>
        <v>202002055182</v>
      </c>
      <c r="F391" t="str">
        <f>"JAIL MEDICAL/X-RAYS"</f>
        <v>JAIL MEDICAL/X-RAYS</v>
      </c>
      <c r="G391" s="2">
        <v>29.67</v>
      </c>
      <c r="H391" t="str">
        <f>"JAIL MEDICAL/X-RAYS"</f>
        <v>JAIL MEDICAL/X-RAYS</v>
      </c>
    </row>
    <row r="392" spans="1:8" x14ac:dyDescent="0.25">
      <c r="A392" t="s">
        <v>96</v>
      </c>
      <c r="B392">
        <v>130931</v>
      </c>
      <c r="C392" s="2">
        <v>1329</v>
      </c>
      <c r="D392" s="1">
        <v>43885</v>
      </c>
      <c r="E392" t="str">
        <f>"202002145333"</f>
        <v>202002145333</v>
      </c>
      <c r="F392" t="str">
        <f>"BOND#72223006/DISTRICT CLERK"</f>
        <v>BOND#72223006/DISTRICT CLERK</v>
      </c>
      <c r="G392" s="2">
        <v>1329</v>
      </c>
      <c r="H392" t="str">
        <f>"BOND#72223006/DISTRICT CLERK"</f>
        <v>BOND#72223006/DISTRICT CLERK</v>
      </c>
    </row>
    <row r="393" spans="1:8" x14ac:dyDescent="0.25">
      <c r="A393" t="s">
        <v>97</v>
      </c>
      <c r="B393">
        <v>130932</v>
      </c>
      <c r="C393" s="2">
        <v>70</v>
      </c>
      <c r="D393" s="1">
        <v>43885</v>
      </c>
      <c r="E393" t="str">
        <f>"12826"</f>
        <v>12826</v>
      </c>
      <c r="F393" t="str">
        <f>"SERVICE"</f>
        <v>SERVICE</v>
      </c>
      <c r="G393" s="2">
        <v>70</v>
      </c>
      <c r="H393" t="str">
        <f>"SERVICE"</f>
        <v>SERVICE</v>
      </c>
    </row>
    <row r="394" spans="1:8" x14ac:dyDescent="0.25">
      <c r="A394" t="s">
        <v>98</v>
      </c>
      <c r="B394">
        <v>130762</v>
      </c>
      <c r="C394" s="2">
        <v>5947.2</v>
      </c>
      <c r="D394" s="1">
        <v>43871</v>
      </c>
      <c r="E394" t="str">
        <f>"283686"</f>
        <v>283686</v>
      </c>
      <c r="F394" t="str">
        <f>"CUST#1321/PCT#1"</f>
        <v>CUST#1321/PCT#1</v>
      </c>
      <c r="G394" s="2">
        <v>5947.2</v>
      </c>
      <c r="H394" t="str">
        <f>"CUST#1321/PCT#1"</f>
        <v>CUST#1321/PCT#1</v>
      </c>
    </row>
    <row r="395" spans="1:8" x14ac:dyDescent="0.25">
      <c r="A395" t="s">
        <v>98</v>
      </c>
      <c r="B395">
        <v>130933</v>
      </c>
      <c r="C395" s="2">
        <v>630.41999999999996</v>
      </c>
      <c r="D395" s="1">
        <v>43885</v>
      </c>
      <c r="E395" t="str">
        <f>"284155"</f>
        <v>284155</v>
      </c>
      <c r="F395" t="str">
        <f>"CUST#1321/PCT#1"</f>
        <v>CUST#1321/PCT#1</v>
      </c>
      <c r="G395" s="2">
        <v>630.41999999999996</v>
      </c>
      <c r="H395" t="str">
        <f>"CUST#1321/PCT#1"</f>
        <v>CUST#1321/PCT#1</v>
      </c>
    </row>
    <row r="396" spans="1:8" x14ac:dyDescent="0.25">
      <c r="A396" t="s">
        <v>99</v>
      </c>
      <c r="B396">
        <v>130763</v>
      </c>
      <c r="C396" s="2">
        <v>118.95</v>
      </c>
      <c r="D396" s="1">
        <v>43871</v>
      </c>
      <c r="E396" t="str">
        <f>"4584*02198*1"</f>
        <v>4584*02198*1</v>
      </c>
      <c r="F396" t="str">
        <f>"JAIL MEDICAL"</f>
        <v>JAIL MEDICAL</v>
      </c>
      <c r="G396" s="2">
        <v>118.95</v>
      </c>
      <c r="H396" t="str">
        <f>"JAIL MEDICAL"</f>
        <v>JAIL MEDICAL</v>
      </c>
    </row>
    <row r="397" spans="1:8" x14ac:dyDescent="0.25">
      <c r="A397" t="s">
        <v>100</v>
      </c>
      <c r="B397">
        <v>2125</v>
      </c>
      <c r="C397" s="2">
        <v>210</v>
      </c>
      <c r="D397" s="1">
        <v>43872</v>
      </c>
      <c r="E397" t="str">
        <f>"12457002272"</f>
        <v>12457002272</v>
      </c>
      <c r="F397" t="str">
        <f>"INV 12457002272"</f>
        <v>INV 12457002272</v>
      </c>
      <c r="G397" s="2">
        <v>210</v>
      </c>
      <c r="H397" t="str">
        <f>"INV 12457002272"</f>
        <v>INV 12457002272</v>
      </c>
    </row>
    <row r="398" spans="1:8" x14ac:dyDescent="0.25">
      <c r="A398" t="s">
        <v>101</v>
      </c>
      <c r="B398">
        <v>2206</v>
      </c>
      <c r="C398" s="2">
        <v>88.53</v>
      </c>
      <c r="D398" s="1">
        <v>43886</v>
      </c>
      <c r="E398" t="str">
        <f>"202002185369"</f>
        <v>202002185369</v>
      </c>
      <c r="F398" t="str">
        <f>"INDIGENT HEALTH"</f>
        <v>INDIGENT HEALTH</v>
      </c>
      <c r="G398" s="2">
        <v>88.53</v>
      </c>
      <c r="H398" t="str">
        <f>"INDIGENT HEALTH"</f>
        <v>INDIGENT HEALTH</v>
      </c>
    </row>
    <row r="399" spans="1:8" x14ac:dyDescent="0.25">
      <c r="E399" t="str">
        <f>""</f>
        <v/>
      </c>
      <c r="F399" t="str">
        <f>""</f>
        <v/>
      </c>
      <c r="H399" t="str">
        <f>"INDIGENT HEALTH"</f>
        <v>INDIGENT HEALTH</v>
      </c>
    </row>
    <row r="400" spans="1:8" x14ac:dyDescent="0.25">
      <c r="A400" t="s">
        <v>102</v>
      </c>
      <c r="B400">
        <v>130764</v>
      </c>
      <c r="C400" s="2">
        <v>1374.48</v>
      </c>
      <c r="D400" s="1">
        <v>43871</v>
      </c>
      <c r="E400" t="str">
        <f>"19870305"</f>
        <v>19870305</v>
      </c>
      <c r="F400" t="str">
        <f>"ACCT#434304"</f>
        <v>ACCT#434304</v>
      </c>
      <c r="G400" s="2">
        <v>1374.48</v>
      </c>
      <c r="H400" t="str">
        <f>"ACCT#434304"</f>
        <v>ACCT#434304</v>
      </c>
    </row>
    <row r="401" spans="1:8" x14ac:dyDescent="0.25">
      <c r="A401" t="s">
        <v>102</v>
      </c>
      <c r="B401">
        <v>130934</v>
      </c>
      <c r="C401" s="2">
        <v>3267.84</v>
      </c>
      <c r="D401" s="1">
        <v>43885</v>
      </c>
      <c r="E401" t="str">
        <f>"19920696"</f>
        <v>19920696</v>
      </c>
      <c r="F401" t="str">
        <f>"ACCT#434304/PCT#4"</f>
        <v>ACCT#434304/PCT#4</v>
      </c>
      <c r="G401" s="2">
        <v>1324.8</v>
      </c>
      <c r="H401" t="str">
        <f>"ACCT#434304/PCT#4"</f>
        <v>ACCT#434304/PCT#4</v>
      </c>
    </row>
    <row r="402" spans="1:8" x14ac:dyDescent="0.25">
      <c r="E402" t="str">
        <f>"19932449"</f>
        <v>19932449</v>
      </c>
      <c r="F402" t="str">
        <f>"ACCT#434304/TREASURER"</f>
        <v>ACCT#434304/TREASURER</v>
      </c>
      <c r="G402" s="2">
        <v>1943.04</v>
      </c>
      <c r="H402" t="str">
        <f>"ACCT#434304/TREASURER"</f>
        <v>ACCT#434304/TREASURER</v>
      </c>
    </row>
    <row r="403" spans="1:8" x14ac:dyDescent="0.25">
      <c r="A403" t="s">
        <v>103</v>
      </c>
      <c r="B403">
        <v>130935</v>
      </c>
      <c r="C403" s="2">
        <v>7072</v>
      </c>
      <c r="D403" s="1">
        <v>43885</v>
      </c>
      <c r="E403" t="str">
        <f>"20451"</f>
        <v>20451</v>
      </c>
      <c r="F403" t="str">
        <f>"MFB Data Center Fiber Ins"</f>
        <v>MFB Data Center Fiber Ins</v>
      </c>
      <c r="G403" s="2">
        <v>7072</v>
      </c>
      <c r="H403" t="str">
        <f>"MATERIALS"</f>
        <v>MATERIALS</v>
      </c>
    </row>
    <row r="404" spans="1:8" x14ac:dyDescent="0.25">
      <c r="E404" t="str">
        <f>""</f>
        <v/>
      </c>
      <c r="F404" t="str">
        <f>""</f>
        <v/>
      </c>
      <c r="H404" t="str">
        <f>"LABOR"</f>
        <v>LABOR</v>
      </c>
    </row>
    <row r="405" spans="1:8" x14ac:dyDescent="0.25">
      <c r="A405" t="s">
        <v>104</v>
      </c>
      <c r="B405">
        <v>2150</v>
      </c>
      <c r="C405" s="2">
        <v>98.33</v>
      </c>
      <c r="D405" s="1">
        <v>43872</v>
      </c>
      <c r="E405" t="str">
        <f>"246231 CVW"</f>
        <v>246231 CVW</v>
      </c>
      <c r="F405" t="str">
        <f>"CUST#4011/MOTOR KIT/PCT#3"</f>
        <v>CUST#4011/MOTOR KIT/PCT#3</v>
      </c>
      <c r="G405" s="2">
        <v>98.33</v>
      </c>
      <c r="H405" t="str">
        <f>"CUST#4011/MOTOR KIT/PCT#3"</f>
        <v>CUST#4011/MOTOR KIT/PCT#3</v>
      </c>
    </row>
    <row r="406" spans="1:8" x14ac:dyDescent="0.25">
      <c r="A406" t="s">
        <v>105</v>
      </c>
      <c r="B406">
        <v>130765</v>
      </c>
      <c r="C406" s="2">
        <v>660.31</v>
      </c>
      <c r="D406" s="1">
        <v>43871</v>
      </c>
      <c r="E406" t="str">
        <f>"SG94682"</f>
        <v>SG94682</v>
      </c>
      <c r="F406" t="str">
        <f>"ACCT#68930/ANIMAL SERVICES"</f>
        <v>ACCT#68930/ANIMAL SERVICES</v>
      </c>
      <c r="G406" s="2">
        <v>413.77</v>
      </c>
      <c r="H406" t="str">
        <f t="shared" ref="H406:H411" si="11">"ACCT#68930/ANIMAL SERVICES"</f>
        <v>ACCT#68930/ANIMAL SERVICES</v>
      </c>
    </row>
    <row r="407" spans="1:8" x14ac:dyDescent="0.25">
      <c r="E407" t="str">
        <f>""</f>
        <v/>
      </c>
      <c r="F407" t="str">
        <f>""</f>
        <v/>
      </c>
      <c r="H407" t="str">
        <f t="shared" si="11"/>
        <v>ACCT#68930/ANIMAL SERVICES</v>
      </c>
    </row>
    <row r="408" spans="1:8" x14ac:dyDescent="0.25">
      <c r="E408" t="str">
        <f>"SH37636"</f>
        <v>SH37636</v>
      </c>
      <c r="F408" t="str">
        <f>"ACCT#68930/ANIMAL SERVICES"</f>
        <v>ACCT#68930/ANIMAL SERVICES</v>
      </c>
      <c r="G408" s="2">
        <v>246.54</v>
      </c>
      <c r="H408" t="str">
        <f t="shared" si="11"/>
        <v>ACCT#68930/ANIMAL SERVICES</v>
      </c>
    </row>
    <row r="409" spans="1:8" x14ac:dyDescent="0.25">
      <c r="E409" t="str">
        <f>""</f>
        <v/>
      </c>
      <c r="F409" t="str">
        <f>""</f>
        <v/>
      </c>
      <c r="H409" t="str">
        <f t="shared" si="11"/>
        <v>ACCT#68930/ANIMAL SERVICES</v>
      </c>
    </row>
    <row r="410" spans="1:8" x14ac:dyDescent="0.25">
      <c r="A410" t="s">
        <v>105</v>
      </c>
      <c r="B410">
        <v>130936</v>
      </c>
      <c r="C410" s="2">
        <v>1368.21</v>
      </c>
      <c r="D410" s="1">
        <v>43885</v>
      </c>
      <c r="E410" t="str">
        <f>"SH87630"</f>
        <v>SH87630</v>
      </c>
      <c r="F410" t="str">
        <f>"ACCT#68930/ANIMAL SERVICES"</f>
        <v>ACCT#68930/ANIMAL SERVICES</v>
      </c>
      <c r="G410" s="2">
        <v>340.01</v>
      </c>
      <c r="H410" t="str">
        <f t="shared" si="11"/>
        <v>ACCT#68930/ANIMAL SERVICES</v>
      </c>
    </row>
    <row r="411" spans="1:8" x14ac:dyDescent="0.25">
      <c r="E411" t="str">
        <f>""</f>
        <v/>
      </c>
      <c r="F411" t="str">
        <f>""</f>
        <v/>
      </c>
      <c r="H411" t="str">
        <f t="shared" si="11"/>
        <v>ACCT#68930/ANIMAL SERVICES</v>
      </c>
    </row>
    <row r="412" spans="1:8" x14ac:dyDescent="0.25">
      <c r="E412" t="str">
        <f>"SJ27843"</f>
        <v>SJ27843</v>
      </c>
      <c r="F412" t="str">
        <f>"ACCT#689630/ANIMAL SVCS"</f>
        <v>ACCT#689630/ANIMAL SVCS</v>
      </c>
      <c r="G412" s="2">
        <v>6.65</v>
      </c>
      <c r="H412" t="str">
        <f>"ACCT#689630/ANIMAL SVCS"</f>
        <v>ACCT#689630/ANIMAL SVCS</v>
      </c>
    </row>
    <row r="413" spans="1:8" x14ac:dyDescent="0.25">
      <c r="E413" t="str">
        <f>"SJ78343"</f>
        <v>SJ78343</v>
      </c>
      <c r="F413" t="str">
        <f>"ACCT#68930/ANIMAL SERVICES"</f>
        <v>ACCT#68930/ANIMAL SERVICES</v>
      </c>
      <c r="G413" s="2">
        <v>176.33</v>
      </c>
      <c r="H413" t="str">
        <f t="shared" ref="H413:H419" si="12">"ACCT#68930/ANIMAL SERVICES"</f>
        <v>ACCT#68930/ANIMAL SERVICES</v>
      </c>
    </row>
    <row r="414" spans="1:8" x14ac:dyDescent="0.25">
      <c r="E414" t="str">
        <f>""</f>
        <v/>
      </c>
      <c r="F414" t="str">
        <f>""</f>
        <v/>
      </c>
      <c r="H414" t="str">
        <f t="shared" si="12"/>
        <v>ACCT#68930/ANIMAL SERVICES</v>
      </c>
    </row>
    <row r="415" spans="1:8" x14ac:dyDescent="0.25">
      <c r="E415" t="str">
        <f>"SJ92723"</f>
        <v>SJ92723</v>
      </c>
      <c r="F415" t="str">
        <f>"ACCT#68930/ANIMAL SERVICES"</f>
        <v>ACCT#68930/ANIMAL SERVICES</v>
      </c>
      <c r="G415" s="2">
        <v>639.49</v>
      </c>
      <c r="H415" t="str">
        <f t="shared" si="12"/>
        <v>ACCT#68930/ANIMAL SERVICES</v>
      </c>
    </row>
    <row r="416" spans="1:8" x14ac:dyDescent="0.25">
      <c r="E416" t="str">
        <f>""</f>
        <v/>
      </c>
      <c r="F416" t="str">
        <f>""</f>
        <v/>
      </c>
      <c r="H416" t="str">
        <f t="shared" si="12"/>
        <v>ACCT#68930/ANIMAL SERVICES</v>
      </c>
    </row>
    <row r="417" spans="1:8" x14ac:dyDescent="0.25">
      <c r="E417" t="str">
        <f>""</f>
        <v/>
      </c>
      <c r="F417" t="str">
        <f>""</f>
        <v/>
      </c>
      <c r="H417" t="str">
        <f t="shared" si="12"/>
        <v>ACCT#68930/ANIMAL SERVICES</v>
      </c>
    </row>
    <row r="418" spans="1:8" x14ac:dyDescent="0.25">
      <c r="E418" t="str">
        <f>"SJ93493"</f>
        <v>SJ93493</v>
      </c>
      <c r="F418" t="str">
        <f>"ACCT#68930/ANIMAL SERVICES"</f>
        <v>ACCT#68930/ANIMAL SERVICES</v>
      </c>
      <c r="G418" s="2">
        <v>205.73</v>
      </c>
      <c r="H418" t="str">
        <f t="shared" si="12"/>
        <v>ACCT#68930/ANIMAL SERVICES</v>
      </c>
    </row>
    <row r="419" spans="1:8" x14ac:dyDescent="0.25">
      <c r="E419" t="str">
        <f>""</f>
        <v/>
      </c>
      <c r="F419" t="str">
        <f>""</f>
        <v/>
      </c>
      <c r="H419" t="str">
        <f t="shared" si="12"/>
        <v>ACCT#68930/ANIMAL SERVICES</v>
      </c>
    </row>
    <row r="420" spans="1:8" x14ac:dyDescent="0.25">
      <c r="A420" t="s">
        <v>106</v>
      </c>
      <c r="B420">
        <v>130937</v>
      </c>
      <c r="C420" s="2">
        <v>25.94</v>
      </c>
      <c r="D420" s="1">
        <v>43885</v>
      </c>
      <c r="E420" t="str">
        <f>"86229"</f>
        <v>86229</v>
      </c>
      <c r="F420" t="str">
        <f>"ACCT#1839/RABIES VAX/ANIMAL CO"</f>
        <v>ACCT#1839/RABIES VAX/ANIMAL CO</v>
      </c>
      <c r="G420" s="2">
        <v>25.94</v>
      </c>
      <c r="H420" t="str">
        <f>"ACCT#1839/RABIES VAX/ANIMAL CO"</f>
        <v>ACCT#1839/RABIES VAX/ANIMAL CO</v>
      </c>
    </row>
    <row r="421" spans="1:8" x14ac:dyDescent="0.25">
      <c r="A421" t="s">
        <v>107</v>
      </c>
      <c r="B421">
        <v>130766</v>
      </c>
      <c r="C421" s="2">
        <v>548.24</v>
      </c>
      <c r="D421" s="1">
        <v>43871</v>
      </c>
      <c r="E421" t="str">
        <f>"1359166"</f>
        <v>1359166</v>
      </c>
      <c r="F421" t="str">
        <f>"CUST#23813/RENEWAL"</f>
        <v>CUST#23813/RENEWAL</v>
      </c>
      <c r="G421" s="2">
        <v>548.24</v>
      </c>
      <c r="H421" t="str">
        <f>"CUST#23813/RENEWAL"</f>
        <v>CUST#23813/RENEWAL</v>
      </c>
    </row>
    <row r="422" spans="1:8" x14ac:dyDescent="0.25">
      <c r="A422" t="s">
        <v>108</v>
      </c>
      <c r="B422">
        <v>130938</v>
      </c>
      <c r="C422" s="2">
        <v>1583.95</v>
      </c>
      <c r="D422" s="1">
        <v>43885</v>
      </c>
      <c r="E422" t="str">
        <f>"331102"</f>
        <v>331102</v>
      </c>
      <c r="F422" t="str">
        <f>"SIGN SHOP MATERIALS"</f>
        <v>SIGN SHOP MATERIALS</v>
      </c>
      <c r="G422" s="2">
        <v>1583.95</v>
      </c>
      <c r="H422" t="str">
        <f>"4 X8  DELINEATORS"</f>
        <v>4 X8  DELINEATORS</v>
      </c>
    </row>
    <row r="423" spans="1:8" x14ac:dyDescent="0.25">
      <c r="E423" t="str">
        <f>""</f>
        <v/>
      </c>
      <c r="F423" t="str">
        <f>""</f>
        <v/>
      </c>
      <c r="H423" t="str">
        <f>"12x36 LEFT"</f>
        <v>12x36 LEFT</v>
      </c>
    </row>
    <row r="424" spans="1:8" x14ac:dyDescent="0.25">
      <c r="E424" t="str">
        <f>""</f>
        <v/>
      </c>
      <c r="F424" t="str">
        <f>""</f>
        <v/>
      </c>
      <c r="H424" t="str">
        <f>"12 X36  RIGHT"</f>
        <v>12 X36  RIGHT</v>
      </c>
    </row>
    <row r="425" spans="1:8" x14ac:dyDescent="0.25">
      <c r="E425" t="str">
        <f>""</f>
        <v/>
      </c>
      <c r="F425" t="str">
        <f>""</f>
        <v/>
      </c>
      <c r="H425" t="str">
        <f>"24 X24  RED/WHITE"</f>
        <v>24 X24  RED/WHITE</v>
      </c>
    </row>
    <row r="426" spans="1:8" x14ac:dyDescent="0.25">
      <c r="E426" t="str">
        <f>""</f>
        <v/>
      </c>
      <c r="F426" t="str">
        <f>""</f>
        <v/>
      </c>
      <c r="H426" t="str">
        <f>"24 24  ORANGE"</f>
        <v>24 24  ORANGE</v>
      </c>
    </row>
    <row r="427" spans="1:8" x14ac:dyDescent="0.25">
      <c r="A427" t="s">
        <v>109</v>
      </c>
      <c r="B427">
        <v>130939</v>
      </c>
      <c r="C427" s="2">
        <v>160</v>
      </c>
      <c r="D427" s="1">
        <v>43885</v>
      </c>
      <c r="E427" t="str">
        <f>"12826"</f>
        <v>12826</v>
      </c>
      <c r="F427" t="str">
        <f>"SERVICE"</f>
        <v>SERVICE</v>
      </c>
      <c r="G427" s="2">
        <v>160</v>
      </c>
      <c r="H427" t="str">
        <f>"SERVICE"</f>
        <v>SERVICE</v>
      </c>
    </row>
    <row r="428" spans="1:8" x14ac:dyDescent="0.25">
      <c r="A428" t="s">
        <v>110</v>
      </c>
      <c r="B428">
        <v>130940</v>
      </c>
      <c r="C428" s="2">
        <v>862.5</v>
      </c>
      <c r="D428" s="1">
        <v>43885</v>
      </c>
      <c r="E428" t="str">
        <f>"202002125285"</f>
        <v>202002125285</v>
      </c>
      <c r="F428" t="str">
        <f>"16637"</f>
        <v>16637</v>
      </c>
      <c r="G428" s="2">
        <v>400</v>
      </c>
      <c r="H428" t="str">
        <f>"16637"</f>
        <v>16637</v>
      </c>
    </row>
    <row r="429" spans="1:8" x14ac:dyDescent="0.25">
      <c r="E429" t="str">
        <f>"202002195423"</f>
        <v>202002195423</v>
      </c>
      <c r="F429" t="str">
        <f>"20-20060"</f>
        <v>20-20060</v>
      </c>
      <c r="G429" s="2">
        <v>212.5</v>
      </c>
      <c r="H429" t="str">
        <f>"20-20060"</f>
        <v>20-20060</v>
      </c>
    </row>
    <row r="430" spans="1:8" x14ac:dyDescent="0.25">
      <c r="E430" t="str">
        <f>"202002195424"</f>
        <v>202002195424</v>
      </c>
      <c r="F430" t="str">
        <f>"19-19987"</f>
        <v>19-19987</v>
      </c>
      <c r="G430" s="2">
        <v>250</v>
      </c>
      <c r="H430" t="str">
        <f>"19-19987"</f>
        <v>19-19987</v>
      </c>
    </row>
    <row r="431" spans="1:8" x14ac:dyDescent="0.25">
      <c r="A431" t="s">
        <v>111</v>
      </c>
      <c r="B431">
        <v>130941</v>
      </c>
      <c r="C431" s="2">
        <v>100</v>
      </c>
      <c r="D431" s="1">
        <v>43885</v>
      </c>
      <c r="E431" t="str">
        <f>"202002115280"</f>
        <v>202002115280</v>
      </c>
      <c r="F431" t="str">
        <f>"LEGAL CONSULT SVCS - JAN"</f>
        <v>LEGAL CONSULT SVCS - JAN</v>
      </c>
      <c r="G431" s="2">
        <v>100</v>
      </c>
      <c r="H431" t="str">
        <f>"LEGAL CONSULT SVCS - JAN"</f>
        <v>LEGAL CONSULT SVCS - JAN</v>
      </c>
    </row>
    <row r="432" spans="1:8" x14ac:dyDescent="0.25">
      <c r="A432" t="s">
        <v>112</v>
      </c>
      <c r="B432">
        <v>2183</v>
      </c>
      <c r="C432" s="2">
        <v>3000</v>
      </c>
      <c r="D432" s="1">
        <v>43873</v>
      </c>
      <c r="E432" t="str">
        <f>"394574"</f>
        <v>394574</v>
      </c>
      <c r="F432" t="str">
        <f>"LABOR / PRECINCT #1"</f>
        <v>LABOR / PRECINCT #1</v>
      </c>
      <c r="G432" s="2">
        <v>1350</v>
      </c>
      <c r="H432" t="str">
        <f>"DAVID CONTI"</f>
        <v>DAVID CONTI</v>
      </c>
    </row>
    <row r="433" spans="1:8" x14ac:dyDescent="0.25">
      <c r="E433" t="str">
        <f>"394575"</f>
        <v>394575</v>
      </c>
      <c r="F433" t="str">
        <f>"LABOR / PRECINCT #1"</f>
        <v>LABOR / PRECINCT #1</v>
      </c>
      <c r="G433" s="2">
        <v>1650</v>
      </c>
      <c r="H433" t="str">
        <f>"DAVID CONTI"</f>
        <v>DAVID CONTI</v>
      </c>
    </row>
    <row r="434" spans="1:8" x14ac:dyDescent="0.25">
      <c r="A434" t="s">
        <v>113</v>
      </c>
      <c r="B434">
        <v>2130</v>
      </c>
      <c r="C434" s="2">
        <v>1367.5</v>
      </c>
      <c r="D434" s="1">
        <v>43872</v>
      </c>
      <c r="E434" t="str">
        <f>"202002034948"</f>
        <v>202002034948</v>
      </c>
      <c r="F434" t="str">
        <f>"19-19445"</f>
        <v>19-19445</v>
      </c>
      <c r="G434" s="2">
        <v>75</v>
      </c>
      <c r="H434" t="str">
        <f>"19*-19445"</f>
        <v>19*-19445</v>
      </c>
    </row>
    <row r="435" spans="1:8" x14ac:dyDescent="0.25">
      <c r="E435" t="str">
        <f>"202002034949"</f>
        <v>202002034949</v>
      </c>
      <c r="F435" t="str">
        <f>"20-20030"</f>
        <v>20-20030</v>
      </c>
      <c r="G435" s="2">
        <v>175</v>
      </c>
      <c r="H435" t="str">
        <f>"20-250030"</f>
        <v>20-250030</v>
      </c>
    </row>
    <row r="436" spans="1:8" x14ac:dyDescent="0.25">
      <c r="E436" t="str">
        <f>"202002034950"</f>
        <v>202002034950</v>
      </c>
      <c r="F436" t="str">
        <f>"17-18754"</f>
        <v>17-18754</v>
      </c>
      <c r="G436" s="2">
        <v>205</v>
      </c>
      <c r="H436" t="str">
        <f>"17-18754"</f>
        <v>17-18754</v>
      </c>
    </row>
    <row r="437" spans="1:8" x14ac:dyDescent="0.25">
      <c r="E437" t="str">
        <f>"202002034951"</f>
        <v>202002034951</v>
      </c>
      <c r="F437" t="str">
        <f>"19-19414"</f>
        <v>19-19414</v>
      </c>
      <c r="G437" s="2">
        <v>212.5</v>
      </c>
      <c r="H437" t="str">
        <f>"19-19414"</f>
        <v>19-19414</v>
      </c>
    </row>
    <row r="438" spans="1:8" x14ac:dyDescent="0.25">
      <c r="E438" t="str">
        <f>"202002034986"</f>
        <v>202002034986</v>
      </c>
      <c r="F438" t="str">
        <f>"20-20058"</f>
        <v>20-20058</v>
      </c>
      <c r="G438" s="2">
        <v>175</v>
      </c>
      <c r="H438" t="str">
        <f>"20-20058"</f>
        <v>20-20058</v>
      </c>
    </row>
    <row r="439" spans="1:8" x14ac:dyDescent="0.25">
      <c r="E439" t="str">
        <f>"202002055167"</f>
        <v>202002055167</v>
      </c>
      <c r="F439" t="str">
        <f>"07-12260"</f>
        <v>07-12260</v>
      </c>
      <c r="G439" s="2">
        <v>100</v>
      </c>
      <c r="H439" t="str">
        <f>"07-12260"</f>
        <v>07-12260</v>
      </c>
    </row>
    <row r="440" spans="1:8" x14ac:dyDescent="0.25">
      <c r="E440" t="str">
        <f>"202002055168"</f>
        <v>202002055168</v>
      </c>
      <c r="F440" t="str">
        <f>"19-19463"</f>
        <v>19-19463</v>
      </c>
      <c r="G440" s="2">
        <v>175</v>
      </c>
      <c r="H440" t="str">
        <f>"19-19463"</f>
        <v>19-19463</v>
      </c>
    </row>
    <row r="441" spans="1:8" x14ac:dyDescent="0.25">
      <c r="E441" t="str">
        <f>"202002055169"</f>
        <v>202002055169</v>
      </c>
      <c r="F441" t="str">
        <f>"J-3186"</f>
        <v>J-3186</v>
      </c>
      <c r="G441" s="2">
        <v>250</v>
      </c>
      <c r="H441" t="str">
        <f>"J-3186"</f>
        <v>J-3186</v>
      </c>
    </row>
    <row r="442" spans="1:8" x14ac:dyDescent="0.25">
      <c r="A442" t="s">
        <v>113</v>
      </c>
      <c r="B442">
        <v>2199</v>
      </c>
      <c r="C442" s="2">
        <v>512.5</v>
      </c>
      <c r="D442" s="1">
        <v>43886</v>
      </c>
      <c r="E442" t="str">
        <f>"202002195411"</f>
        <v>202002195411</v>
      </c>
      <c r="F442" t="str">
        <f>"20-20096"</f>
        <v>20-20096</v>
      </c>
      <c r="G442" s="2">
        <v>212.5</v>
      </c>
      <c r="H442" t="str">
        <f>"20-20096"</f>
        <v>20-20096</v>
      </c>
    </row>
    <row r="443" spans="1:8" x14ac:dyDescent="0.25">
      <c r="E443" t="str">
        <f>"202002195438"</f>
        <v>202002195438</v>
      </c>
      <c r="F443" t="str">
        <f>"423-5800"</f>
        <v>423-5800</v>
      </c>
      <c r="G443" s="2">
        <v>100</v>
      </c>
      <c r="H443" t="str">
        <f>"423-5800"</f>
        <v>423-5800</v>
      </c>
    </row>
    <row r="444" spans="1:8" x14ac:dyDescent="0.25">
      <c r="E444" t="str">
        <f>"202002195439"</f>
        <v>202002195439</v>
      </c>
      <c r="F444" t="str">
        <f>"423-1795"</f>
        <v>423-1795</v>
      </c>
      <c r="G444" s="2">
        <v>100</v>
      </c>
      <c r="H444" t="str">
        <f>"423-1795"</f>
        <v>423-1795</v>
      </c>
    </row>
    <row r="445" spans="1:8" x14ac:dyDescent="0.25">
      <c r="E445" t="str">
        <f>"202002195440"</f>
        <v>202002195440</v>
      </c>
      <c r="F445" t="str">
        <f>"423-3529"</f>
        <v>423-3529</v>
      </c>
      <c r="G445" s="2">
        <v>100</v>
      </c>
      <c r="H445" t="str">
        <f>"423-3529"</f>
        <v>423-3529</v>
      </c>
    </row>
    <row r="446" spans="1:8" x14ac:dyDescent="0.25">
      <c r="A446" t="s">
        <v>114</v>
      </c>
      <c r="B446">
        <v>130767</v>
      </c>
      <c r="C446" s="2">
        <v>600</v>
      </c>
      <c r="D446" s="1">
        <v>43871</v>
      </c>
      <c r="E446" t="str">
        <f>"202001294890"</f>
        <v>202001294890</v>
      </c>
      <c r="F446" t="str">
        <f>"2020 MARKETING PLAN"</f>
        <v>2020 MARKETING PLAN</v>
      </c>
      <c r="G446" s="2">
        <v>600</v>
      </c>
      <c r="H446" t="str">
        <f>"2020 MARKETING PLAN"</f>
        <v>2020 MARKETING PLAN</v>
      </c>
    </row>
    <row r="447" spans="1:8" x14ac:dyDescent="0.25">
      <c r="A447" t="s">
        <v>115</v>
      </c>
      <c r="B447">
        <v>130768</v>
      </c>
      <c r="C447" s="2">
        <v>779.94</v>
      </c>
      <c r="D447" s="1">
        <v>43871</v>
      </c>
      <c r="E447" t="str">
        <f>"10364108172"</f>
        <v>10364108172</v>
      </c>
      <c r="F447" t="str">
        <f>"Battery &amp; Memory Upgrade"</f>
        <v>Battery &amp; Memory Upgrade</v>
      </c>
      <c r="G447" s="2">
        <v>342.95</v>
      </c>
      <c r="H447" t="str">
        <f>"SKU# 453-BBBE"</f>
        <v>SKU# 453-BBBE</v>
      </c>
    </row>
    <row r="448" spans="1:8" x14ac:dyDescent="0.25">
      <c r="E448" t="str">
        <f>""</f>
        <v/>
      </c>
      <c r="F448" t="str">
        <f>""</f>
        <v/>
      </c>
      <c r="H448" t="str">
        <f>"SKU# A7022339"</f>
        <v>SKU# A7022339</v>
      </c>
    </row>
    <row r="449" spans="1:8" x14ac:dyDescent="0.25">
      <c r="E449" t="str">
        <f>"10372115914"</f>
        <v>10372115914</v>
      </c>
      <c r="F449" t="str">
        <f>"External DVD Drives for S"</f>
        <v>External DVD Drives for S</v>
      </c>
      <c r="G449" s="2">
        <v>390</v>
      </c>
      <c r="H449" t="str">
        <f>"Dell USB Slim DVD±RW"</f>
        <v>Dell USB Slim DVD±RW</v>
      </c>
    </row>
    <row r="450" spans="1:8" x14ac:dyDescent="0.25">
      <c r="E450" t="str">
        <f>"10372177290"</f>
        <v>10372177290</v>
      </c>
      <c r="F450" t="str">
        <f>"Replacement laptop batter"</f>
        <v>Replacement laptop batter</v>
      </c>
      <c r="G450" s="2">
        <v>46.99</v>
      </c>
      <c r="H450" t="str">
        <f>"Battery Primary 65W"</f>
        <v>Battery Primary 65W</v>
      </c>
    </row>
    <row r="451" spans="1:8" x14ac:dyDescent="0.25">
      <c r="A451" t="s">
        <v>116</v>
      </c>
      <c r="B451">
        <v>130942</v>
      </c>
      <c r="C451" s="2">
        <v>81.48</v>
      </c>
      <c r="D451" s="1">
        <v>43885</v>
      </c>
      <c r="E451" t="str">
        <f>"26301"</f>
        <v>26301</v>
      </c>
      <c r="F451" t="str">
        <f>"DUP KEYS/RINGS/PCT#1"</f>
        <v>DUP KEYS/RINGS/PCT#1</v>
      </c>
      <c r="G451" s="2">
        <v>33.979999999999997</v>
      </c>
      <c r="H451" t="str">
        <f>"DUP KEYS/RINGS/PCT#1"</f>
        <v>DUP KEYS/RINGS/PCT#1</v>
      </c>
    </row>
    <row r="452" spans="1:8" x14ac:dyDescent="0.25">
      <c r="E452" t="str">
        <f>"26306"</f>
        <v>26306</v>
      </c>
      <c r="F452" t="str">
        <f>"INV 26306"</f>
        <v>INV 26306</v>
      </c>
      <c r="G452" s="2">
        <v>25</v>
      </c>
      <c r="H452" t="str">
        <f>"INV 26306"</f>
        <v>INV 26306</v>
      </c>
    </row>
    <row r="453" spans="1:8" x14ac:dyDescent="0.25">
      <c r="E453" t="str">
        <f>"26313"</f>
        <v>26313</v>
      </c>
      <c r="F453" t="str">
        <f>"DUPLICATE KEYS / PCT#1"</f>
        <v>DUPLICATE KEYS / PCT#1</v>
      </c>
      <c r="G453" s="2">
        <v>22.5</v>
      </c>
      <c r="H453" t="str">
        <f>"DUPLICATE KEYS / PCT#1"</f>
        <v>DUPLICATE KEYS / PCT#1</v>
      </c>
    </row>
    <row r="454" spans="1:8" x14ac:dyDescent="0.25">
      <c r="A454" t="s">
        <v>117</v>
      </c>
      <c r="B454">
        <v>130769</v>
      </c>
      <c r="C454" s="2">
        <v>1992.63</v>
      </c>
      <c r="D454" s="1">
        <v>43871</v>
      </c>
      <c r="E454" t="str">
        <f>"202001294891"</f>
        <v>202001294891</v>
      </c>
      <c r="F454" t="str">
        <f>"CUST#PKE5000/DECEMEBER 2019"</f>
        <v>CUST#PKE5000/DECEMEBER 2019</v>
      </c>
      <c r="G454" s="2">
        <v>1992.63</v>
      </c>
      <c r="H454" t="str">
        <f>"CUST#PKE5000/DECEMEBER 2019"</f>
        <v>CUST#PKE5000/DECEMEBER 2019</v>
      </c>
    </row>
    <row r="455" spans="1:8" x14ac:dyDescent="0.25">
      <c r="E455" t="str">
        <f>""</f>
        <v/>
      </c>
      <c r="F455" t="str">
        <f>""</f>
        <v/>
      </c>
      <c r="H455" t="str">
        <f>"CUST#PKE5000/DECEMEBER 2019"</f>
        <v>CUST#PKE5000/DECEMEBER 2019</v>
      </c>
    </row>
    <row r="456" spans="1:8" x14ac:dyDescent="0.25">
      <c r="A456" t="s">
        <v>118</v>
      </c>
      <c r="B456">
        <v>130770</v>
      </c>
      <c r="C456" s="2">
        <v>15.54</v>
      </c>
      <c r="D456" s="1">
        <v>43871</v>
      </c>
      <c r="E456" t="str">
        <f>"12813"</f>
        <v>12813</v>
      </c>
      <c r="F456" t="str">
        <f>"WINCH BAR COMBO/PCT#4"</f>
        <v>WINCH BAR COMBO/PCT#4</v>
      </c>
      <c r="G456" s="2">
        <v>15.54</v>
      </c>
      <c r="H456" t="str">
        <f>"WINCH BAR COMBO/PCT#4"</f>
        <v>WINCH BAR COMBO/PCT#4</v>
      </c>
    </row>
    <row r="457" spans="1:8" x14ac:dyDescent="0.25">
      <c r="A457" t="s">
        <v>118</v>
      </c>
      <c r="B457">
        <v>130943</v>
      </c>
      <c r="C457" s="2">
        <v>1659.9</v>
      </c>
      <c r="D457" s="1">
        <v>43885</v>
      </c>
      <c r="E457" t="str">
        <f>"13802"</f>
        <v>13802</v>
      </c>
      <c r="F457" t="str">
        <f>"Metal for GuardRail"</f>
        <v>Metal for GuardRail</v>
      </c>
      <c r="G457" s="2">
        <v>1659.9</v>
      </c>
      <c r="H457" t="str">
        <f>"4 x3/16  Sq. Tube 24"</f>
        <v>4 x3/16  Sq. Tube 24</v>
      </c>
    </row>
    <row r="458" spans="1:8" x14ac:dyDescent="0.25">
      <c r="A458" t="s">
        <v>119</v>
      </c>
      <c r="B458">
        <v>130771</v>
      </c>
      <c r="C458" s="2">
        <v>2914</v>
      </c>
      <c r="D458" s="1">
        <v>43871</v>
      </c>
      <c r="E458" t="str">
        <f>"2828695  2828711"</f>
        <v>2828695  2828711</v>
      </c>
      <c r="F458" t="str">
        <f>"ACCT#27917/PCT#4"</f>
        <v>ACCT#27917/PCT#4</v>
      </c>
      <c r="G458" s="2">
        <v>2914</v>
      </c>
      <c r="H458" t="str">
        <f>"ACCT#27917/PCT#4"</f>
        <v>ACCT#27917/PCT#4</v>
      </c>
    </row>
    <row r="459" spans="1:8" x14ac:dyDescent="0.25">
      <c r="A459" t="s">
        <v>120</v>
      </c>
      <c r="B459">
        <v>131075</v>
      </c>
      <c r="C459" s="2">
        <v>749.4</v>
      </c>
      <c r="D459" s="1">
        <v>43888</v>
      </c>
      <c r="E459" t="str">
        <f>"202002275507"</f>
        <v>202002275507</v>
      </c>
      <c r="F459" t="str">
        <f>"ACCT#405900029213 / 03012020"</f>
        <v>ACCT#405900029213 / 03012020</v>
      </c>
      <c r="G459" s="2">
        <v>374.7</v>
      </c>
      <c r="H459" t="str">
        <f>"ACCT#405900029213 / 03012020"</f>
        <v>ACCT#405900029213 / 03012020</v>
      </c>
    </row>
    <row r="460" spans="1:8" x14ac:dyDescent="0.25">
      <c r="E460" t="str">
        <f>"202002275508"</f>
        <v>202002275508</v>
      </c>
      <c r="F460" t="str">
        <f>"ACCT#405900029225 / 03012020"</f>
        <v>ACCT#405900029225 / 03012020</v>
      </c>
      <c r="G460" s="2">
        <v>187.35</v>
      </c>
      <c r="H460" t="str">
        <f>"ACCT#405900029225 / 03012020"</f>
        <v>ACCT#405900029225 / 03012020</v>
      </c>
    </row>
    <row r="461" spans="1:8" x14ac:dyDescent="0.25">
      <c r="E461" t="str">
        <f>"202002275509"</f>
        <v>202002275509</v>
      </c>
      <c r="F461" t="str">
        <f>"ACCT#405900028789 / 03012020"</f>
        <v>ACCT#405900028789 / 03012020</v>
      </c>
      <c r="G461" s="2">
        <v>187.35</v>
      </c>
      <c r="H461" t="str">
        <f>"ACCT#405900028789 / 03012020"</f>
        <v>ACCT#405900028789 / 03012020</v>
      </c>
    </row>
    <row r="462" spans="1:8" x14ac:dyDescent="0.25">
      <c r="A462" t="s">
        <v>121</v>
      </c>
      <c r="B462">
        <v>2215</v>
      </c>
      <c r="C462" s="2">
        <v>1848.11</v>
      </c>
      <c r="D462" s="1">
        <v>43886</v>
      </c>
      <c r="E462" t="str">
        <f>"29404 B"</f>
        <v>29404 B</v>
      </c>
      <c r="F462" t="str">
        <f>"INV 29404 B"</f>
        <v>INV 29404 B</v>
      </c>
      <c r="G462" s="2">
        <v>1848.11</v>
      </c>
      <c r="H462" t="str">
        <f>"INV 29404 B"</f>
        <v>INV 29404 B</v>
      </c>
    </row>
    <row r="463" spans="1:8" x14ac:dyDescent="0.25">
      <c r="A463" t="s">
        <v>122</v>
      </c>
      <c r="B463">
        <v>130944</v>
      </c>
      <c r="C463" s="2">
        <v>1708.64</v>
      </c>
      <c r="D463" s="1">
        <v>43885</v>
      </c>
      <c r="E463" t="str">
        <f>"37128"</f>
        <v>37128</v>
      </c>
      <c r="F463" t="str">
        <f>"PARTS/PCT#2"</f>
        <v>PARTS/PCT#2</v>
      </c>
      <c r="G463" s="2">
        <v>1708.64</v>
      </c>
      <c r="H463" t="str">
        <f>"PARTS/PCT#2"</f>
        <v>PARTS/PCT#2</v>
      </c>
    </row>
    <row r="464" spans="1:8" x14ac:dyDescent="0.25">
      <c r="A464" t="s">
        <v>123</v>
      </c>
      <c r="B464">
        <v>130772</v>
      </c>
      <c r="C464" s="2">
        <v>480</v>
      </c>
      <c r="D464" s="1">
        <v>43871</v>
      </c>
      <c r="E464" t="str">
        <f>"001"</f>
        <v>001</v>
      </c>
      <c r="F464" t="str">
        <f>"JOB#0122 / 12/11 H. DAVIS"</f>
        <v>JOB#0122 / 12/11 H. DAVIS</v>
      </c>
      <c r="G464" s="2">
        <v>480</v>
      </c>
      <c r="H464" t="str">
        <f>"JOB#0122 / 12/11 H. DAVIS"</f>
        <v>JOB#0122 / 12/11 H. DAVIS</v>
      </c>
    </row>
    <row r="465" spans="1:8" x14ac:dyDescent="0.25">
      <c r="A465" t="s">
        <v>123</v>
      </c>
      <c r="B465">
        <v>130945</v>
      </c>
      <c r="C465" s="2">
        <v>480</v>
      </c>
      <c r="D465" s="1">
        <v>43885</v>
      </c>
      <c r="E465" t="str">
        <f>"002"</f>
        <v>002</v>
      </c>
      <c r="F465" t="str">
        <f>"JOB#0136 / 01/29 H. DAVIS"</f>
        <v>JOB#0136 / 01/29 H. DAVIS</v>
      </c>
      <c r="G465" s="2">
        <v>480</v>
      </c>
      <c r="H465" t="str">
        <f>"JOB#0136 / 01/29 H. DAVIS"</f>
        <v>JOB#0136 / 01/29 H. DAVIS</v>
      </c>
    </row>
    <row r="466" spans="1:8" x14ac:dyDescent="0.25">
      <c r="A466" t="s">
        <v>124</v>
      </c>
      <c r="B466">
        <v>2179</v>
      </c>
      <c r="C466" s="2">
        <v>3349</v>
      </c>
      <c r="D466" s="1">
        <v>43872</v>
      </c>
      <c r="E466" t="str">
        <f>"202001284823"</f>
        <v>202001284823</v>
      </c>
      <c r="F466" t="str">
        <f>"9789"</f>
        <v>9789</v>
      </c>
      <c r="G466" s="2">
        <v>400</v>
      </c>
      <c r="H466" t="str">
        <f>"9789"</f>
        <v>9789</v>
      </c>
    </row>
    <row r="467" spans="1:8" x14ac:dyDescent="0.25">
      <c r="E467" t="str">
        <f>"202001284834"</f>
        <v>202001284834</v>
      </c>
      <c r="F467" t="str">
        <f>"2018 0213"</f>
        <v>2018 0213</v>
      </c>
      <c r="G467" s="2">
        <v>400</v>
      </c>
      <c r="H467" t="str">
        <f>"2018 0213"</f>
        <v>2018 0213</v>
      </c>
    </row>
    <row r="468" spans="1:8" x14ac:dyDescent="0.25">
      <c r="E468" t="str">
        <f>"202001304917"</f>
        <v>202001304917</v>
      </c>
      <c r="F468" t="str">
        <f>"17011"</f>
        <v>17011</v>
      </c>
      <c r="G468" s="2">
        <v>400</v>
      </c>
      <c r="H468" t="str">
        <f>"17011"</f>
        <v>17011</v>
      </c>
    </row>
    <row r="469" spans="1:8" x14ac:dyDescent="0.25">
      <c r="E469" t="str">
        <f>"202001304918"</f>
        <v>202001304918</v>
      </c>
      <c r="F469" t="str">
        <f>"1429-335"</f>
        <v>1429-335</v>
      </c>
      <c r="G469" s="2">
        <v>100</v>
      </c>
      <c r="H469" t="str">
        <f>"1429-335"</f>
        <v>1429-335</v>
      </c>
    </row>
    <row r="470" spans="1:8" x14ac:dyDescent="0.25">
      <c r="E470" t="str">
        <f>"202002034968"</f>
        <v>202002034968</v>
      </c>
      <c r="F470" t="str">
        <f>"02-0126-2"</f>
        <v>02-0126-2</v>
      </c>
      <c r="G470" s="2">
        <v>250</v>
      </c>
      <c r="H470" t="str">
        <f>"02-0126-2"</f>
        <v>02-0126-2</v>
      </c>
    </row>
    <row r="471" spans="1:8" x14ac:dyDescent="0.25">
      <c r="E471" t="str">
        <f>"202002034969"</f>
        <v>202002034969</v>
      </c>
      <c r="F471" t="str">
        <f>"411159-8"</f>
        <v>411159-8</v>
      </c>
      <c r="G471" s="2">
        <v>250</v>
      </c>
      <c r="H471" t="str">
        <f>"411159-8"</f>
        <v>411159-8</v>
      </c>
    </row>
    <row r="472" spans="1:8" x14ac:dyDescent="0.25">
      <c r="E472" t="str">
        <f>"202002034970"</f>
        <v>202002034970</v>
      </c>
      <c r="F472" t="str">
        <f>"19-19963"</f>
        <v>19-19963</v>
      </c>
      <c r="G472" s="2">
        <v>212</v>
      </c>
      <c r="H472" t="str">
        <f>"19-19963"</f>
        <v>19-19963</v>
      </c>
    </row>
    <row r="473" spans="1:8" x14ac:dyDescent="0.25">
      <c r="E473" t="str">
        <f>"202002034971"</f>
        <v>202002034971</v>
      </c>
      <c r="F473" t="str">
        <f>"19-19786"</f>
        <v>19-19786</v>
      </c>
      <c r="G473" s="2">
        <v>150</v>
      </c>
      <c r="H473" t="str">
        <f>"19-19786"</f>
        <v>19-19786</v>
      </c>
    </row>
    <row r="474" spans="1:8" x14ac:dyDescent="0.25">
      <c r="E474" t="str">
        <f>"202002034972"</f>
        <v>202002034972</v>
      </c>
      <c r="F474" t="str">
        <f>"19-19537"</f>
        <v>19-19537</v>
      </c>
      <c r="G474" s="2">
        <v>175</v>
      </c>
      <c r="H474" t="str">
        <f>"19-19537"</f>
        <v>19-19537</v>
      </c>
    </row>
    <row r="475" spans="1:8" x14ac:dyDescent="0.25">
      <c r="E475" t="str">
        <f>"202002034973"</f>
        <v>202002034973</v>
      </c>
      <c r="F475" t="str">
        <f>"19-19940"</f>
        <v>19-19940</v>
      </c>
      <c r="G475" s="2">
        <v>137</v>
      </c>
      <c r="H475" t="str">
        <f>"19-19940"</f>
        <v>19-19940</v>
      </c>
    </row>
    <row r="476" spans="1:8" x14ac:dyDescent="0.25">
      <c r="E476" t="str">
        <f>"202002045116"</f>
        <v>202002045116</v>
      </c>
      <c r="F476" t="str">
        <f>"47255"</f>
        <v>47255</v>
      </c>
      <c r="G476" s="2">
        <v>250</v>
      </c>
      <c r="H476" t="str">
        <f>"47255"</f>
        <v>47255</v>
      </c>
    </row>
    <row r="477" spans="1:8" x14ac:dyDescent="0.25">
      <c r="E477" t="str">
        <f>"202002045117"</f>
        <v>202002045117</v>
      </c>
      <c r="F477" t="str">
        <f>"57135  20190310"</f>
        <v>57135  20190310</v>
      </c>
      <c r="G477" s="2">
        <v>375</v>
      </c>
      <c r="H477" t="str">
        <f>"57135  20190310"</f>
        <v>57135  20190310</v>
      </c>
    </row>
    <row r="478" spans="1:8" x14ac:dyDescent="0.25">
      <c r="E478" t="str">
        <f>"202002045118"</f>
        <v>202002045118</v>
      </c>
      <c r="F478" t="str">
        <f>"56311"</f>
        <v>56311</v>
      </c>
      <c r="G478" s="2">
        <v>250</v>
      </c>
      <c r="H478" t="str">
        <f>"56311"</f>
        <v>56311</v>
      </c>
    </row>
    <row r="479" spans="1:8" x14ac:dyDescent="0.25">
      <c r="A479" t="s">
        <v>124</v>
      </c>
      <c r="B479">
        <v>2249</v>
      </c>
      <c r="C479" s="2">
        <v>3864.5</v>
      </c>
      <c r="D479" s="1">
        <v>43886</v>
      </c>
      <c r="E479" t="str">
        <f>"202002115259"</f>
        <v>202002115259</v>
      </c>
      <c r="F479" t="str">
        <f>"57283"</f>
        <v>57283</v>
      </c>
      <c r="G479" s="2">
        <v>250</v>
      </c>
      <c r="H479" t="str">
        <f>"57283"</f>
        <v>57283</v>
      </c>
    </row>
    <row r="480" spans="1:8" x14ac:dyDescent="0.25">
      <c r="E480" t="str">
        <f>"202002145342"</f>
        <v>202002145342</v>
      </c>
      <c r="F480" t="str">
        <f>"14993"</f>
        <v>14993</v>
      </c>
      <c r="G480" s="2">
        <v>400</v>
      </c>
      <c r="H480" t="str">
        <f>"14993"</f>
        <v>14993</v>
      </c>
    </row>
    <row r="481" spans="1:8" x14ac:dyDescent="0.25">
      <c r="E481" t="str">
        <f>"202002195399"</f>
        <v>202002195399</v>
      </c>
      <c r="F481" t="str">
        <f>"19-19940"</f>
        <v>19-19940</v>
      </c>
      <c r="G481" s="2">
        <v>150</v>
      </c>
      <c r="H481" t="str">
        <f>"19-19940"</f>
        <v>19-19940</v>
      </c>
    </row>
    <row r="482" spans="1:8" x14ac:dyDescent="0.25">
      <c r="E482" t="str">
        <f>"202002195400"</f>
        <v>202002195400</v>
      </c>
      <c r="F482" t="str">
        <f>"20-20060"</f>
        <v>20-20060</v>
      </c>
      <c r="G482" s="2">
        <v>287.5</v>
      </c>
      <c r="H482" t="str">
        <f>"20-20060"</f>
        <v>20-20060</v>
      </c>
    </row>
    <row r="483" spans="1:8" x14ac:dyDescent="0.25">
      <c r="E483" t="str">
        <f>"202002195401"</f>
        <v>202002195401</v>
      </c>
      <c r="F483" t="str">
        <f>"19-19786"</f>
        <v>19-19786</v>
      </c>
      <c r="G483" s="2">
        <v>100</v>
      </c>
      <c r="H483" t="str">
        <f>"19-19786"</f>
        <v>19-19786</v>
      </c>
    </row>
    <row r="484" spans="1:8" x14ac:dyDescent="0.25">
      <c r="E484" t="str">
        <f>"202002195402"</f>
        <v>202002195402</v>
      </c>
      <c r="F484" t="str">
        <f>"18-19166"</f>
        <v>18-19166</v>
      </c>
      <c r="G484" s="2">
        <v>2677</v>
      </c>
      <c r="H484" t="str">
        <f>"18-19166"</f>
        <v>18-19166</v>
      </c>
    </row>
    <row r="485" spans="1:8" x14ac:dyDescent="0.25">
      <c r="A485" t="s">
        <v>125</v>
      </c>
      <c r="B485">
        <v>130946</v>
      </c>
      <c r="C485" s="2">
        <v>6600</v>
      </c>
      <c r="D485" s="1">
        <v>43885</v>
      </c>
      <c r="E485" t="str">
        <f>"005"</f>
        <v>005</v>
      </c>
      <c r="F485" t="str">
        <f>"ROAD BASE / PCT #3"</f>
        <v>ROAD BASE / PCT #3</v>
      </c>
      <c r="G485" s="2">
        <v>1980</v>
      </c>
      <c r="H485" t="str">
        <f>"ROAD BASE / PCT #3"</f>
        <v>ROAD BASE / PCT #3</v>
      </c>
    </row>
    <row r="486" spans="1:8" x14ac:dyDescent="0.25">
      <c r="E486" t="str">
        <f>"4"</f>
        <v>4</v>
      </c>
      <c r="F486" t="str">
        <f>"21 LDS ROAD BASE/PCT#3"</f>
        <v>21 LDS ROAD BASE/PCT#3</v>
      </c>
      <c r="G486" s="2">
        <v>4620</v>
      </c>
      <c r="H486" t="str">
        <f>"21 LDS ROAD BASE/PCT#3"</f>
        <v>21 LDS ROAD BASE/PCT#3</v>
      </c>
    </row>
    <row r="487" spans="1:8" x14ac:dyDescent="0.25">
      <c r="A487" t="s">
        <v>126</v>
      </c>
      <c r="B487">
        <v>2152</v>
      </c>
      <c r="C487" s="2">
        <v>1975.16</v>
      </c>
      <c r="D487" s="1">
        <v>43872</v>
      </c>
      <c r="E487" t="str">
        <f>"6253848346"</f>
        <v>6253848346</v>
      </c>
      <c r="F487" t="str">
        <f>"INV 6253848346"</f>
        <v>INV 6253848346</v>
      </c>
      <c r="G487" s="2">
        <v>960.56</v>
      </c>
      <c r="H487" t="str">
        <f>"INV 6253848346"</f>
        <v>INV 6253848346</v>
      </c>
    </row>
    <row r="488" spans="1:8" x14ac:dyDescent="0.25">
      <c r="E488" t="str">
        <f>"6253848347"</f>
        <v>6253848347</v>
      </c>
      <c r="F488" t="str">
        <f>"INV 6253848347"</f>
        <v>INV 6253848347</v>
      </c>
      <c r="G488" s="2">
        <v>1014.6</v>
      </c>
      <c r="H488" t="str">
        <f>"INV 6253848347"</f>
        <v>INV 6253848347</v>
      </c>
    </row>
    <row r="489" spans="1:8" x14ac:dyDescent="0.25">
      <c r="A489" t="s">
        <v>127</v>
      </c>
      <c r="B489">
        <v>2151</v>
      </c>
      <c r="C489" s="2">
        <v>840</v>
      </c>
      <c r="D489" s="1">
        <v>43872</v>
      </c>
      <c r="E489" t="str">
        <f>"52421-21787 52421-"</f>
        <v>52421-21787 52421-</v>
      </c>
      <c r="F489" t="str">
        <f>"19BCP12A &amp; 20BCP01A"</f>
        <v>19BCP12A &amp; 20BCP01A</v>
      </c>
      <c r="G489" s="2">
        <v>380</v>
      </c>
      <c r="H489" t="str">
        <f>"19BCP12A"</f>
        <v>19BCP12A</v>
      </c>
    </row>
    <row r="490" spans="1:8" x14ac:dyDescent="0.25">
      <c r="E490" t="str">
        <f>""</f>
        <v/>
      </c>
      <c r="F490" t="str">
        <f>""</f>
        <v/>
      </c>
      <c r="H490" t="str">
        <f>"20BCP01A"</f>
        <v>20BCP01A</v>
      </c>
    </row>
    <row r="491" spans="1:8" x14ac:dyDescent="0.25">
      <c r="E491" t="str">
        <f>"52421-21789 52421-"</f>
        <v>52421-21789 52421-</v>
      </c>
      <c r="F491" t="str">
        <f>"Funding Of FEMA"</f>
        <v>Funding Of FEMA</v>
      </c>
      <c r="G491" s="2">
        <v>365</v>
      </c>
      <c r="H491" t="str">
        <f>"Ad"</f>
        <v>Ad</v>
      </c>
    </row>
    <row r="492" spans="1:8" x14ac:dyDescent="0.25">
      <c r="E492" t="str">
        <f>"52421-21953"</f>
        <v>52421-21953</v>
      </c>
      <c r="F492" t="str">
        <f>"BLACKLANDS PUBLICATIONS INC"</f>
        <v>BLACKLANDS PUBLICATIONS INC</v>
      </c>
      <c r="G492" s="2">
        <v>95</v>
      </c>
      <c r="H492" t="str">
        <f>"FEB 2020 AUCTION AD"</f>
        <v>FEB 2020 AUCTION AD</v>
      </c>
    </row>
    <row r="493" spans="1:8" x14ac:dyDescent="0.25">
      <c r="A493" t="s">
        <v>128</v>
      </c>
      <c r="B493">
        <v>130773</v>
      </c>
      <c r="C493" s="2">
        <v>22.6</v>
      </c>
      <c r="D493" s="1">
        <v>43871</v>
      </c>
      <c r="E493" t="str">
        <f>"202001294896"</f>
        <v>202001294896</v>
      </c>
      <c r="F493" t="str">
        <f>"10/01-12/31 ARREST FEES"</f>
        <v>10/01-12/31 ARREST FEES</v>
      </c>
      <c r="G493" s="2">
        <v>22.6</v>
      </c>
      <c r="H493" t="str">
        <f>"10/01-12/31 ARREST FEES"</f>
        <v>10/01-12/31 ARREST FEES</v>
      </c>
    </row>
    <row r="494" spans="1:8" x14ac:dyDescent="0.25">
      <c r="A494" t="s">
        <v>129</v>
      </c>
      <c r="B494">
        <v>130731</v>
      </c>
      <c r="C494" s="2">
        <v>1121.8599999999999</v>
      </c>
      <c r="D494" s="1">
        <v>43868</v>
      </c>
      <c r="E494" t="str">
        <f>"202002055203"</f>
        <v>202002055203</v>
      </c>
      <c r="F494" t="str">
        <f>"ACCT#007-0008410-002 /01312020"</f>
        <v>ACCT#007-0008410-002 /01312020</v>
      </c>
      <c r="G494" s="2">
        <v>227.32</v>
      </c>
      <c r="H494" t="str">
        <f>"ACCT#007-0008410-002 /01312020"</f>
        <v>ACCT#007-0008410-002 /01312020</v>
      </c>
    </row>
    <row r="495" spans="1:8" x14ac:dyDescent="0.25">
      <c r="E495" t="str">
        <f>"202002055204"</f>
        <v>202002055204</v>
      </c>
      <c r="F495" t="str">
        <f>"ACCT#007-0011501-000 /01312020"</f>
        <v>ACCT#007-0011501-000 /01312020</v>
      </c>
      <c r="G495" s="2">
        <v>142.6</v>
      </c>
      <c r="H495" t="str">
        <f>"ACCT#007-0011501-000 /01312020"</f>
        <v>ACCT#007-0011501-000 /01312020</v>
      </c>
    </row>
    <row r="496" spans="1:8" x14ac:dyDescent="0.25">
      <c r="E496" t="str">
        <f>"202002055205"</f>
        <v>202002055205</v>
      </c>
      <c r="F496" t="str">
        <f>"ACCT#007-0011510-000 /01312020"</f>
        <v>ACCT#007-0011510-000 /01312020</v>
      </c>
      <c r="G496" s="2">
        <v>240.58</v>
      </c>
      <c r="H496" t="str">
        <f>"ACCT#007-0011510-000 /01312020"</f>
        <v>ACCT#007-0011510-000 /01312020</v>
      </c>
    </row>
    <row r="497" spans="1:8" x14ac:dyDescent="0.25">
      <c r="E497" t="str">
        <f>"202002055206"</f>
        <v>202002055206</v>
      </c>
      <c r="F497" t="str">
        <f>"ACCT#007-0011530-000 /01312020"</f>
        <v>ACCT#007-0011530-000 /01312020</v>
      </c>
      <c r="G497" s="2">
        <v>98.12</v>
      </c>
      <c r="H497" t="str">
        <f>"ACCT#007-0011530-000 /01312020"</f>
        <v>ACCT#007-0011530-000 /01312020</v>
      </c>
    </row>
    <row r="498" spans="1:8" x14ac:dyDescent="0.25">
      <c r="E498" t="str">
        <f>"202002055207"</f>
        <v>202002055207</v>
      </c>
      <c r="F498" t="str">
        <f>"ACCT#007-0011534-001 /01312020"</f>
        <v>ACCT#007-0011534-001 /01312020</v>
      </c>
      <c r="G498" s="2">
        <v>169.3</v>
      </c>
      <c r="H498" t="str">
        <f>"ACCT#007-0011534-001 /01312020"</f>
        <v>ACCT#007-0011534-001 /01312020</v>
      </c>
    </row>
    <row r="499" spans="1:8" x14ac:dyDescent="0.25">
      <c r="E499" t="str">
        <f>"202002055208"</f>
        <v>202002055208</v>
      </c>
      <c r="F499" t="str">
        <f>"ACCT#007-0011535-000 /01312020"</f>
        <v>ACCT#007-0011535-000 /01312020</v>
      </c>
      <c r="G499" s="2">
        <v>112.62</v>
      </c>
      <c r="H499" t="str">
        <f>"ACCT#007-0011535-000 /01312020"</f>
        <v>ACCT#007-0011535-000 /01312020</v>
      </c>
    </row>
    <row r="500" spans="1:8" x14ac:dyDescent="0.25">
      <c r="E500" t="str">
        <f>"202002055209"</f>
        <v>202002055209</v>
      </c>
      <c r="F500" t="str">
        <f>"ACCT#007-0011544-001 /01312020"</f>
        <v>ACCT#007-0011544-001 /01312020</v>
      </c>
      <c r="G500" s="2">
        <v>131.32</v>
      </c>
      <c r="H500" t="str">
        <f>"ACCT#007-0011544-001 /01312020"</f>
        <v>ACCT#007-0011544-001 /01312020</v>
      </c>
    </row>
    <row r="501" spans="1:8" x14ac:dyDescent="0.25">
      <c r="A501" t="s">
        <v>130</v>
      </c>
      <c r="B501">
        <v>130947</v>
      </c>
      <c r="C501" s="2">
        <v>90</v>
      </c>
      <c r="D501" s="1">
        <v>43885</v>
      </c>
      <c r="E501" t="str">
        <f>"202002195451"</f>
        <v>202002195451</v>
      </c>
      <c r="F501" t="str">
        <f>"PER DIEM"</f>
        <v>PER DIEM</v>
      </c>
      <c r="G501" s="2">
        <v>90</v>
      </c>
      <c r="H501" t="str">
        <f>"PER DIEM"</f>
        <v>PER DIEM</v>
      </c>
    </row>
    <row r="502" spans="1:8" x14ac:dyDescent="0.25">
      <c r="A502" t="s">
        <v>131</v>
      </c>
      <c r="B502">
        <v>130774</v>
      </c>
      <c r="C502" s="2">
        <v>105</v>
      </c>
      <c r="D502" s="1">
        <v>43871</v>
      </c>
      <c r="E502" t="str">
        <f>"202002055142"</f>
        <v>202002055142</v>
      </c>
      <c r="F502" t="str">
        <f>"PER DIEM"</f>
        <v>PER DIEM</v>
      </c>
      <c r="G502" s="2">
        <v>105</v>
      </c>
      <c r="H502" t="str">
        <f>"PER DIEM"</f>
        <v>PER DIEM</v>
      </c>
    </row>
    <row r="503" spans="1:8" x14ac:dyDescent="0.25">
      <c r="A503" t="s">
        <v>132</v>
      </c>
      <c r="B503">
        <v>130775</v>
      </c>
      <c r="C503" s="2">
        <v>100</v>
      </c>
      <c r="D503" s="1">
        <v>43871</v>
      </c>
      <c r="E503" t="str">
        <f>"202002045128"</f>
        <v>202002045128</v>
      </c>
      <c r="F503" t="str">
        <f>"SURRENDERED DOG"</f>
        <v>SURRENDERED DOG</v>
      </c>
      <c r="G503" s="2">
        <v>100</v>
      </c>
      <c r="H503" t="str">
        <f>"SURRENDERED DOG"</f>
        <v>SURRENDERED DOG</v>
      </c>
    </row>
    <row r="504" spans="1:8" x14ac:dyDescent="0.25">
      <c r="A504" t="s">
        <v>133</v>
      </c>
      <c r="B504">
        <v>130948</v>
      </c>
      <c r="C504" s="2">
        <v>6308.03</v>
      </c>
      <c r="D504" s="1">
        <v>43885</v>
      </c>
      <c r="E504" t="str">
        <f>"22465"</f>
        <v>22465</v>
      </c>
      <c r="F504" t="str">
        <f>"EXCELL ENVIRONMENTAL INC"</f>
        <v>EXCELL ENVIRONMENTAL INC</v>
      </c>
      <c r="G504" s="2">
        <v>6308.03</v>
      </c>
      <c r="H504" t="str">
        <f>"Fuel System Upgrade"</f>
        <v>Fuel System Upgrade</v>
      </c>
    </row>
    <row r="505" spans="1:8" x14ac:dyDescent="0.25">
      <c r="A505" t="s">
        <v>134</v>
      </c>
      <c r="B505">
        <v>130949</v>
      </c>
      <c r="C505" s="2">
        <v>216.96</v>
      </c>
      <c r="D505" s="1">
        <v>43885</v>
      </c>
      <c r="E505" t="str">
        <f>"202002195450"</f>
        <v>202002195450</v>
      </c>
      <c r="F505" t="str">
        <f>"LODGING"</f>
        <v>LODGING</v>
      </c>
      <c r="G505" s="2">
        <v>216.96</v>
      </c>
      <c r="H505" t="str">
        <f>"LODGING"</f>
        <v>LODGING</v>
      </c>
    </row>
    <row r="506" spans="1:8" x14ac:dyDescent="0.25">
      <c r="A506" t="s">
        <v>135</v>
      </c>
      <c r="B506">
        <v>2153</v>
      </c>
      <c r="C506" s="2">
        <v>7849.44</v>
      </c>
      <c r="D506" s="1">
        <v>43872</v>
      </c>
      <c r="E506" t="str">
        <f>"202001294899"</f>
        <v>202001294899</v>
      </c>
      <c r="F506" t="str">
        <f>"GRANT REIMBURSEMENT"</f>
        <v>GRANT REIMBURSEMENT</v>
      </c>
      <c r="G506" s="2">
        <v>7849.44</v>
      </c>
      <c r="H506" t="str">
        <f>"GRANT REIMBURSEMENT"</f>
        <v>GRANT REIMBURSEMENT</v>
      </c>
    </row>
    <row r="507" spans="1:8" x14ac:dyDescent="0.25">
      <c r="A507" t="s">
        <v>136</v>
      </c>
      <c r="B507">
        <v>130950</v>
      </c>
      <c r="C507" s="2">
        <v>7959</v>
      </c>
      <c r="D507" s="1">
        <v>43885</v>
      </c>
      <c r="E507" t="str">
        <f>"I-CD105355"</f>
        <v>I-CD105355</v>
      </c>
      <c r="F507" t="str">
        <f>"LIGHTS FOR DODGE 2500 4x2"</f>
        <v>LIGHTS FOR DODGE 2500 4x2</v>
      </c>
      <c r="G507" s="2">
        <v>2743</v>
      </c>
      <c r="H507" t="str">
        <f>"FN-4918"</f>
        <v>FN-4918</v>
      </c>
    </row>
    <row r="508" spans="1:8" x14ac:dyDescent="0.25">
      <c r="E508" t="str">
        <f>""</f>
        <v/>
      </c>
      <c r="F508" t="str">
        <f>""</f>
        <v/>
      </c>
      <c r="H508" t="str">
        <f>"FN-5316"</f>
        <v>FN-5316</v>
      </c>
    </row>
    <row r="509" spans="1:8" x14ac:dyDescent="0.25">
      <c r="E509" t="str">
        <f>""</f>
        <v/>
      </c>
      <c r="F509" t="str">
        <f>""</f>
        <v/>
      </c>
      <c r="H509" t="str">
        <f>"FSM-180-AW DRIVER"</f>
        <v>FSM-180-AW DRIVER</v>
      </c>
    </row>
    <row r="510" spans="1:8" x14ac:dyDescent="0.25">
      <c r="E510" t="str">
        <f>""</f>
        <v/>
      </c>
      <c r="F510" t="str">
        <f>""</f>
        <v/>
      </c>
      <c r="H510" t="str">
        <f>"FSM-180-BW PASSENGER"</f>
        <v>FSM-180-BW PASSENGER</v>
      </c>
    </row>
    <row r="511" spans="1:8" x14ac:dyDescent="0.25">
      <c r="E511" t="str">
        <f>""</f>
        <v/>
      </c>
      <c r="F511" t="str">
        <f>""</f>
        <v/>
      </c>
      <c r="H511" t="str">
        <f>"FSM-180-AW DRIVER"</f>
        <v>FSM-180-AW DRIVER</v>
      </c>
    </row>
    <row r="512" spans="1:8" x14ac:dyDescent="0.25">
      <c r="E512" t="str">
        <f>""</f>
        <v/>
      </c>
      <c r="F512" t="str">
        <f>""</f>
        <v/>
      </c>
      <c r="H512" t="str">
        <f>"FSM-180-BW PASSENGER"</f>
        <v>FSM-180-BW PASSENGER</v>
      </c>
    </row>
    <row r="513" spans="5:8" x14ac:dyDescent="0.25">
      <c r="E513" t="str">
        <f>""</f>
        <v/>
      </c>
      <c r="F513" t="str">
        <f>""</f>
        <v/>
      </c>
      <c r="H513" t="str">
        <f>"UMP-5019D DRIVER"</f>
        <v>UMP-5019D DRIVER</v>
      </c>
    </row>
    <row r="514" spans="5:8" x14ac:dyDescent="0.25">
      <c r="E514" t="str">
        <f>""</f>
        <v/>
      </c>
      <c r="F514" t="str">
        <f>""</f>
        <v/>
      </c>
      <c r="H514" t="str">
        <f>"UMP5019D- PASSENGER"</f>
        <v>UMP5019D- PASSENGER</v>
      </c>
    </row>
    <row r="515" spans="5:8" x14ac:dyDescent="0.25">
      <c r="E515" t="str">
        <f>""</f>
        <v/>
      </c>
      <c r="F515" t="str">
        <f>""</f>
        <v/>
      </c>
      <c r="H515" t="str">
        <f>"FDSM-OPTIC-COLOR DRI"</f>
        <v>FDSM-OPTIC-COLOR DRI</v>
      </c>
    </row>
    <row r="516" spans="5:8" x14ac:dyDescent="0.25">
      <c r="E516" t="str">
        <f>""</f>
        <v/>
      </c>
      <c r="F516" t="str">
        <f>""</f>
        <v/>
      </c>
      <c r="H516" t="str">
        <f>"FDSM-OPTIC-COLOR PAS"</f>
        <v>FDSM-OPTIC-COLOR PAS</v>
      </c>
    </row>
    <row r="517" spans="5:8" x14ac:dyDescent="0.25">
      <c r="E517" t="str">
        <f>""</f>
        <v/>
      </c>
      <c r="F517" t="str">
        <f>""</f>
        <v/>
      </c>
      <c r="H517" t="str">
        <f>"A-4600A"</f>
        <v>A-4600A</v>
      </c>
    </row>
    <row r="518" spans="5:8" x14ac:dyDescent="0.25">
      <c r="E518" t="str">
        <f>""</f>
        <v/>
      </c>
      <c r="F518" t="str">
        <f>""</f>
        <v/>
      </c>
      <c r="H518" t="str">
        <f>"A-4600B"</f>
        <v>A-4600B</v>
      </c>
    </row>
    <row r="519" spans="5:8" x14ac:dyDescent="0.25">
      <c r="E519" t="str">
        <f>""</f>
        <v/>
      </c>
      <c r="F519" t="str">
        <f>""</f>
        <v/>
      </c>
      <c r="H519" t="str">
        <f>"H-2219AW"</f>
        <v>H-2219AW</v>
      </c>
    </row>
    <row r="520" spans="5:8" x14ac:dyDescent="0.25">
      <c r="E520" t="str">
        <f>""</f>
        <v/>
      </c>
      <c r="F520" t="str">
        <f>""</f>
        <v/>
      </c>
      <c r="H520" t="str">
        <f>"H-2219BW"</f>
        <v>H-2219BW</v>
      </c>
    </row>
    <row r="521" spans="5:8" x14ac:dyDescent="0.25">
      <c r="E521" t="str">
        <f>""</f>
        <v/>
      </c>
      <c r="F521" t="str">
        <f>""</f>
        <v/>
      </c>
      <c r="H521" t="str">
        <f>"FSM-40-AW"</f>
        <v>FSM-40-AW</v>
      </c>
    </row>
    <row r="522" spans="5:8" x14ac:dyDescent="0.25">
      <c r="E522" t="str">
        <f>""</f>
        <v/>
      </c>
      <c r="F522" t="str">
        <f>""</f>
        <v/>
      </c>
      <c r="H522" t="str">
        <f>"FSM-40-BW"</f>
        <v>FSM-40-BW</v>
      </c>
    </row>
    <row r="523" spans="5:8" x14ac:dyDescent="0.25">
      <c r="E523" t="str">
        <f>""</f>
        <v/>
      </c>
      <c r="F523" t="str">
        <f>""</f>
        <v/>
      </c>
      <c r="H523" t="str">
        <f>"FN-4216"</f>
        <v>FN-4216</v>
      </c>
    </row>
    <row r="524" spans="5:8" x14ac:dyDescent="0.25">
      <c r="E524" t="str">
        <f>""</f>
        <v/>
      </c>
      <c r="F524" t="str">
        <f>""</f>
        <v/>
      </c>
      <c r="H524" t="str">
        <f>"C-5017"</f>
        <v>C-5017</v>
      </c>
    </row>
    <row r="525" spans="5:8" x14ac:dyDescent="0.25">
      <c r="E525" t="str">
        <f>""</f>
        <v/>
      </c>
      <c r="F525" t="str">
        <f>""</f>
        <v/>
      </c>
      <c r="H525" t="str">
        <f>"S-2009"</f>
        <v>S-2009</v>
      </c>
    </row>
    <row r="526" spans="5:8" x14ac:dyDescent="0.25">
      <c r="E526" t="str">
        <f>"I-CD105356"</f>
        <v>I-CD105356</v>
      </c>
      <c r="F526" t="str">
        <f>"Lights for Ram 2500 4X4"</f>
        <v>Lights for Ram 2500 4X4</v>
      </c>
      <c r="G526" s="2">
        <v>2743</v>
      </c>
      <c r="H526" t="str">
        <f>"FN-4918"</f>
        <v>FN-4918</v>
      </c>
    </row>
    <row r="527" spans="5:8" x14ac:dyDescent="0.25">
      <c r="E527" t="str">
        <f>""</f>
        <v/>
      </c>
      <c r="F527" t="str">
        <f>""</f>
        <v/>
      </c>
      <c r="H527" t="str">
        <f>"FN-5316"</f>
        <v>FN-5316</v>
      </c>
    </row>
    <row r="528" spans="5:8" x14ac:dyDescent="0.25">
      <c r="E528" t="str">
        <f>""</f>
        <v/>
      </c>
      <c r="F528" t="str">
        <f>""</f>
        <v/>
      </c>
      <c r="H528" t="str">
        <f>"FSM-180-AW- Grill"</f>
        <v>FSM-180-AW- Grill</v>
      </c>
    </row>
    <row r="529" spans="5:8" x14ac:dyDescent="0.25">
      <c r="E529" t="str">
        <f>""</f>
        <v/>
      </c>
      <c r="F529" t="str">
        <f>""</f>
        <v/>
      </c>
      <c r="H529" t="str">
        <f>"FSM-180BW- Driver"</f>
        <v>FSM-180BW- Driver</v>
      </c>
    </row>
    <row r="530" spans="5:8" x14ac:dyDescent="0.25">
      <c r="E530" t="str">
        <f>""</f>
        <v/>
      </c>
      <c r="F530" t="str">
        <f>""</f>
        <v/>
      </c>
      <c r="H530" t="str">
        <f>"FSM-180BW-dRIVER"</f>
        <v>FSM-180BW-dRIVER</v>
      </c>
    </row>
    <row r="531" spans="5:8" x14ac:dyDescent="0.25">
      <c r="E531" t="str">
        <f>""</f>
        <v/>
      </c>
      <c r="F531" t="str">
        <f>""</f>
        <v/>
      </c>
      <c r="H531" t="str">
        <f>"FSM-180BW-Passenger"</f>
        <v>FSM-180BW-Passenger</v>
      </c>
    </row>
    <row r="532" spans="5:8" x14ac:dyDescent="0.25">
      <c r="E532" t="str">
        <f>""</f>
        <v/>
      </c>
      <c r="F532" t="str">
        <f>""</f>
        <v/>
      </c>
      <c r="H532" t="str">
        <f>"UMP-5019D- Driver"</f>
        <v>UMP-5019D- Driver</v>
      </c>
    </row>
    <row r="533" spans="5:8" x14ac:dyDescent="0.25">
      <c r="E533" t="str">
        <f>""</f>
        <v/>
      </c>
      <c r="F533" t="str">
        <f>""</f>
        <v/>
      </c>
      <c r="H533" t="str">
        <f>"UMP5019D- Passenger"</f>
        <v>UMP5019D- Passenger</v>
      </c>
    </row>
    <row r="534" spans="5:8" x14ac:dyDescent="0.25">
      <c r="E534" t="str">
        <f>""</f>
        <v/>
      </c>
      <c r="F534" t="str">
        <f>""</f>
        <v/>
      </c>
      <c r="H534" t="str">
        <f>"FDSM-OPTIC-COLOR DRI"</f>
        <v>FDSM-OPTIC-COLOR DRI</v>
      </c>
    </row>
    <row r="535" spans="5:8" x14ac:dyDescent="0.25">
      <c r="E535" t="str">
        <f>""</f>
        <v/>
      </c>
      <c r="F535" t="str">
        <f>""</f>
        <v/>
      </c>
      <c r="H535" t="str">
        <f>"FDSM-OPTIC-COLOR-PAS"</f>
        <v>FDSM-OPTIC-COLOR-PAS</v>
      </c>
    </row>
    <row r="536" spans="5:8" x14ac:dyDescent="0.25">
      <c r="E536" t="str">
        <f>""</f>
        <v/>
      </c>
      <c r="F536" t="str">
        <f>""</f>
        <v/>
      </c>
      <c r="H536" t="str">
        <f>"A-4600A"</f>
        <v>A-4600A</v>
      </c>
    </row>
    <row r="537" spans="5:8" x14ac:dyDescent="0.25">
      <c r="E537" t="str">
        <f>""</f>
        <v/>
      </c>
      <c r="F537" t="str">
        <f>""</f>
        <v/>
      </c>
      <c r="H537" t="str">
        <f>"A-4600B"</f>
        <v>A-4600B</v>
      </c>
    </row>
    <row r="538" spans="5:8" x14ac:dyDescent="0.25">
      <c r="E538" t="str">
        <f>""</f>
        <v/>
      </c>
      <c r="F538" t="str">
        <f>""</f>
        <v/>
      </c>
      <c r="H538" t="str">
        <f>"H-2219AW"</f>
        <v>H-2219AW</v>
      </c>
    </row>
    <row r="539" spans="5:8" x14ac:dyDescent="0.25">
      <c r="E539" t="str">
        <f>""</f>
        <v/>
      </c>
      <c r="F539" t="str">
        <f>""</f>
        <v/>
      </c>
      <c r="H539" t="str">
        <f>"H-2219BW"</f>
        <v>H-2219BW</v>
      </c>
    </row>
    <row r="540" spans="5:8" x14ac:dyDescent="0.25">
      <c r="E540" t="str">
        <f>""</f>
        <v/>
      </c>
      <c r="F540" t="str">
        <f>""</f>
        <v/>
      </c>
      <c r="H540" t="str">
        <f>"FSM-40-AW"</f>
        <v>FSM-40-AW</v>
      </c>
    </row>
    <row r="541" spans="5:8" x14ac:dyDescent="0.25">
      <c r="E541" t="str">
        <f>""</f>
        <v/>
      </c>
      <c r="F541" t="str">
        <f>""</f>
        <v/>
      </c>
      <c r="H541" t="str">
        <f>"FSM-40-BW"</f>
        <v>FSM-40-BW</v>
      </c>
    </row>
    <row r="542" spans="5:8" x14ac:dyDescent="0.25">
      <c r="E542" t="str">
        <f>""</f>
        <v/>
      </c>
      <c r="F542" t="str">
        <f>""</f>
        <v/>
      </c>
      <c r="H542" t="str">
        <f>"FN-4216"</f>
        <v>FN-4216</v>
      </c>
    </row>
    <row r="543" spans="5:8" x14ac:dyDescent="0.25">
      <c r="E543" t="str">
        <f>""</f>
        <v/>
      </c>
      <c r="F543" t="str">
        <f>""</f>
        <v/>
      </c>
      <c r="H543" t="str">
        <f>"C-5017"</f>
        <v>C-5017</v>
      </c>
    </row>
    <row r="544" spans="5:8" x14ac:dyDescent="0.25">
      <c r="E544" t="str">
        <f>""</f>
        <v/>
      </c>
      <c r="F544" t="str">
        <f>""</f>
        <v/>
      </c>
      <c r="H544" t="str">
        <f>"S-2009"</f>
        <v>S-2009</v>
      </c>
    </row>
    <row r="545" spans="5:8" x14ac:dyDescent="0.25">
      <c r="E545" t="str">
        <f>"I-CD105847"</f>
        <v>I-CD105847</v>
      </c>
      <c r="F545" t="str">
        <f>"LIGHTS FOR PROMASTER van"</f>
        <v>LIGHTS FOR PROMASTER van</v>
      </c>
      <c r="G545" s="2">
        <v>2473</v>
      </c>
      <c r="H545" t="str">
        <f>"FSM-180-BW"</f>
        <v>FSM-180-BW</v>
      </c>
    </row>
    <row r="546" spans="5:8" x14ac:dyDescent="0.25">
      <c r="E546" t="str">
        <f>""</f>
        <v/>
      </c>
      <c r="F546" t="str">
        <f>""</f>
        <v/>
      </c>
      <c r="H546" t="str">
        <f>"FSM-180-AW"</f>
        <v>FSM-180-AW</v>
      </c>
    </row>
    <row r="547" spans="5:8" x14ac:dyDescent="0.25">
      <c r="E547" t="str">
        <f>""</f>
        <v/>
      </c>
      <c r="F547" t="str">
        <f>""</f>
        <v/>
      </c>
      <c r="H547" t="str">
        <f>"FN-0416"</f>
        <v>FN-0416</v>
      </c>
    </row>
    <row r="548" spans="5:8" x14ac:dyDescent="0.25">
      <c r="E548" t="str">
        <f>""</f>
        <v/>
      </c>
      <c r="F548" t="str">
        <f>""</f>
        <v/>
      </c>
      <c r="H548" t="str">
        <f>"FN-4016"</f>
        <v>FN-4016</v>
      </c>
    </row>
    <row r="549" spans="5:8" x14ac:dyDescent="0.25">
      <c r="E549" t="str">
        <f>""</f>
        <v/>
      </c>
      <c r="F549" t="str">
        <f>""</f>
        <v/>
      </c>
      <c r="H549" t="str">
        <f>"FDSM-180-BA"</f>
        <v>FDSM-180-BA</v>
      </c>
    </row>
    <row r="550" spans="5:8" x14ac:dyDescent="0.25">
      <c r="E550" t="str">
        <f>""</f>
        <v/>
      </c>
      <c r="F550" t="str">
        <f>""</f>
        <v/>
      </c>
      <c r="H550" t="str">
        <f>"FDSM-180-BA"</f>
        <v>FDSM-180-BA</v>
      </c>
    </row>
    <row r="551" spans="5:8" x14ac:dyDescent="0.25">
      <c r="E551" t="str">
        <f>""</f>
        <v/>
      </c>
      <c r="F551" t="str">
        <f>""</f>
        <v/>
      </c>
      <c r="H551" t="str">
        <f>"FSM-180-BW"</f>
        <v>FSM-180-BW</v>
      </c>
    </row>
    <row r="552" spans="5:8" x14ac:dyDescent="0.25">
      <c r="E552" t="str">
        <f>""</f>
        <v/>
      </c>
      <c r="F552" t="str">
        <f>""</f>
        <v/>
      </c>
      <c r="H552" t="str">
        <f>"FSM-180-AW"</f>
        <v>FSM-180-AW</v>
      </c>
    </row>
    <row r="553" spans="5:8" x14ac:dyDescent="0.25">
      <c r="E553" t="str">
        <f>""</f>
        <v/>
      </c>
      <c r="F553" t="str">
        <f>""</f>
        <v/>
      </c>
      <c r="H553" t="str">
        <f>"FSM-180-BW"</f>
        <v>FSM-180-BW</v>
      </c>
    </row>
    <row r="554" spans="5:8" x14ac:dyDescent="0.25">
      <c r="E554" t="str">
        <f>""</f>
        <v/>
      </c>
      <c r="F554" t="str">
        <f>""</f>
        <v/>
      </c>
      <c r="H554" t="str">
        <f>"FSM-180-A"</f>
        <v>FSM-180-A</v>
      </c>
    </row>
    <row r="555" spans="5:8" x14ac:dyDescent="0.25">
      <c r="E555" t="str">
        <f>""</f>
        <v/>
      </c>
      <c r="F555" t="str">
        <f>""</f>
        <v/>
      </c>
      <c r="H555" t="str">
        <f>"FSM-180-B"</f>
        <v>FSM-180-B</v>
      </c>
    </row>
    <row r="556" spans="5:8" x14ac:dyDescent="0.25">
      <c r="E556" t="str">
        <f>""</f>
        <v/>
      </c>
      <c r="F556" t="str">
        <f>""</f>
        <v/>
      </c>
      <c r="H556" t="str">
        <f>"FSM-180-A"</f>
        <v>FSM-180-A</v>
      </c>
    </row>
    <row r="557" spans="5:8" x14ac:dyDescent="0.25">
      <c r="E557" t="str">
        <f>""</f>
        <v/>
      </c>
      <c r="F557" t="str">
        <f>""</f>
        <v/>
      </c>
      <c r="H557" t="str">
        <f>"FN-0416"</f>
        <v>FN-0416</v>
      </c>
    </row>
    <row r="558" spans="5:8" x14ac:dyDescent="0.25">
      <c r="E558" t="str">
        <f>""</f>
        <v/>
      </c>
      <c r="F558" t="str">
        <f>""</f>
        <v/>
      </c>
      <c r="H558" t="str">
        <f>"FSM-40-BW"</f>
        <v>FSM-40-BW</v>
      </c>
    </row>
    <row r="559" spans="5:8" x14ac:dyDescent="0.25">
      <c r="E559" t="str">
        <f>""</f>
        <v/>
      </c>
      <c r="F559" t="str">
        <f>""</f>
        <v/>
      </c>
      <c r="H559" t="str">
        <f>"FSM-40-AW"</f>
        <v>FSM-40-AW</v>
      </c>
    </row>
    <row r="560" spans="5:8" x14ac:dyDescent="0.25">
      <c r="E560" t="str">
        <f>""</f>
        <v/>
      </c>
      <c r="F560" t="str">
        <f>""</f>
        <v/>
      </c>
      <c r="H560" t="str">
        <f>"FN-4216"</f>
        <v>FN-4216</v>
      </c>
    </row>
    <row r="561" spans="1:9" x14ac:dyDescent="0.25">
      <c r="E561" t="str">
        <f>""</f>
        <v/>
      </c>
      <c r="F561" t="str">
        <f>""</f>
        <v/>
      </c>
      <c r="H561" t="str">
        <f>"FN-4016"</f>
        <v>FN-4016</v>
      </c>
    </row>
    <row r="562" spans="1:9" x14ac:dyDescent="0.25">
      <c r="E562" t="str">
        <f>""</f>
        <v/>
      </c>
      <c r="F562" t="str">
        <f>""</f>
        <v/>
      </c>
      <c r="H562" t="str">
        <f>"H-2220"</f>
        <v>H-2220</v>
      </c>
    </row>
    <row r="563" spans="1:9" x14ac:dyDescent="0.25">
      <c r="E563" t="str">
        <f>""</f>
        <v/>
      </c>
      <c r="F563" t="str">
        <f>""</f>
        <v/>
      </c>
      <c r="H563" t="str">
        <f>"FSM-180-RW"</f>
        <v>FSM-180-RW</v>
      </c>
    </row>
    <row r="564" spans="1:9" x14ac:dyDescent="0.25">
      <c r="E564" t="str">
        <f>""</f>
        <v/>
      </c>
      <c r="F564" t="str">
        <f>""</f>
        <v/>
      </c>
      <c r="H564" t="str">
        <f>"FSM-180-RW"</f>
        <v>FSM-180-RW</v>
      </c>
    </row>
    <row r="565" spans="1:9" x14ac:dyDescent="0.25">
      <c r="E565" t="str">
        <f>""</f>
        <v/>
      </c>
      <c r="F565" t="str">
        <f>""</f>
        <v/>
      </c>
      <c r="H565" t="str">
        <f>"C-5017"</f>
        <v>C-5017</v>
      </c>
    </row>
    <row r="566" spans="1:9" x14ac:dyDescent="0.25">
      <c r="E566" t="str">
        <f>""</f>
        <v/>
      </c>
      <c r="F566" t="str">
        <f>""</f>
        <v/>
      </c>
      <c r="H566" t="str">
        <f>"S-2009"</f>
        <v>S-2009</v>
      </c>
    </row>
    <row r="567" spans="1:9" x14ac:dyDescent="0.25">
      <c r="A567" t="s">
        <v>137</v>
      </c>
      <c r="B567">
        <v>130776</v>
      </c>
      <c r="C567" s="2">
        <v>1197.27</v>
      </c>
      <c r="D567" s="1">
        <v>43871</v>
      </c>
      <c r="E567" t="str">
        <f>"7800799"</f>
        <v>7800799</v>
      </c>
      <c r="F567" t="str">
        <f>"CUST#306066/GEN SVCS"</f>
        <v>CUST#306066/GEN SVCS</v>
      </c>
      <c r="G567" s="2">
        <v>777.61</v>
      </c>
      <c r="H567" t="str">
        <f>"CUST#306066/GEN SVCS"</f>
        <v>CUST#306066/GEN SVCS</v>
      </c>
    </row>
    <row r="568" spans="1:9" x14ac:dyDescent="0.25">
      <c r="E568" t="str">
        <f>"7800799-1"</f>
        <v>7800799-1</v>
      </c>
      <c r="F568" t="str">
        <f>"CUST#306066"</f>
        <v>CUST#306066</v>
      </c>
      <c r="G568" s="2">
        <v>419.66</v>
      </c>
      <c r="H568" t="str">
        <f>"CUST#306066"</f>
        <v>CUST#306066</v>
      </c>
    </row>
    <row r="569" spans="1:9" x14ac:dyDescent="0.25">
      <c r="A569" t="s">
        <v>137</v>
      </c>
      <c r="B569">
        <v>130951</v>
      </c>
      <c r="C569" s="2">
        <v>28.35</v>
      </c>
      <c r="D569" s="1">
        <v>43885</v>
      </c>
      <c r="E569" t="str">
        <f>"7818256"</f>
        <v>7818256</v>
      </c>
      <c r="F569" t="str">
        <f>"CUST#306066/COOLING TOWER"</f>
        <v>CUST#306066/COOLING TOWER</v>
      </c>
      <c r="G569" s="2">
        <v>28.35</v>
      </c>
      <c r="H569" t="str">
        <f>"CUST#306066/COOLING TOWER"</f>
        <v>CUST#306066/COOLING TOWER</v>
      </c>
    </row>
    <row r="570" spans="1:9" x14ac:dyDescent="0.25">
      <c r="A570" t="s">
        <v>138</v>
      </c>
      <c r="B570">
        <v>130777</v>
      </c>
      <c r="C570" s="2">
        <v>219.12</v>
      </c>
      <c r="D570" s="1">
        <v>43871</v>
      </c>
      <c r="E570" t="str">
        <f>"44206083"</f>
        <v>44206083</v>
      </c>
      <c r="F570" t="str">
        <f>"ACCT#80975/PCT#1"</f>
        <v>ACCT#80975/PCT#1</v>
      </c>
      <c r="G570" s="2">
        <v>83.26</v>
      </c>
      <c r="H570" t="str">
        <f>"ACCT#80975/PCT#1"</f>
        <v>ACCT#80975/PCT#1</v>
      </c>
    </row>
    <row r="571" spans="1:9" x14ac:dyDescent="0.25">
      <c r="E571" t="str">
        <f>"44248930"</f>
        <v>44248930</v>
      </c>
      <c r="F571" t="str">
        <f>"ACCT#80975-001/PCT#3"</f>
        <v>ACCT#80975-001/PCT#3</v>
      </c>
      <c r="G571" s="2">
        <v>135.86000000000001</v>
      </c>
      <c r="H571" t="str">
        <f>"ACCT#80975-001/PCT#3"</f>
        <v>ACCT#80975-001/PCT#3</v>
      </c>
    </row>
    <row r="572" spans="1:9" x14ac:dyDescent="0.25">
      <c r="A572" t="s">
        <v>138</v>
      </c>
      <c r="B572">
        <v>130952</v>
      </c>
      <c r="C572" s="2">
        <v>668.57</v>
      </c>
      <c r="D572" s="1">
        <v>43885</v>
      </c>
      <c r="E572" t="str">
        <f>"45415688"</f>
        <v>45415688</v>
      </c>
      <c r="F572" t="str">
        <f>"ACCT#80975-001/PCT#3"</f>
        <v>ACCT#80975-001/PCT#3</v>
      </c>
      <c r="G572" s="2">
        <v>418.73</v>
      </c>
      <c r="H572" t="str">
        <f>"ACCT#80975-001/PCT#3"</f>
        <v>ACCT#80975-001/PCT#3</v>
      </c>
    </row>
    <row r="573" spans="1:9" x14ac:dyDescent="0.25">
      <c r="E573" t="str">
        <f>"45509749"</f>
        <v>45509749</v>
      </c>
      <c r="F573" t="str">
        <f>"ACCT#80975-001/PCT#2"</f>
        <v>ACCT#80975-001/PCT#2</v>
      </c>
      <c r="G573" s="2">
        <v>249.84</v>
      </c>
      <c r="H573" t="str">
        <f>"ACCT#80975-001/PCT#2"</f>
        <v>ACCT#80975-001/PCT#2</v>
      </c>
    </row>
    <row r="574" spans="1:9" x14ac:dyDescent="0.25">
      <c r="A574" t="s">
        <v>139</v>
      </c>
      <c r="B574">
        <v>130953</v>
      </c>
      <c r="C574" s="2">
        <v>50</v>
      </c>
      <c r="D574" s="1">
        <v>43885</v>
      </c>
      <c r="E574" t="s">
        <v>140</v>
      </c>
      <c r="F574" t="s">
        <v>141</v>
      </c>
      <c r="G574" s="2" t="str">
        <f>"RESTITUTION - D. CORKILL"</f>
        <v>RESTITUTION - D. CORKILL</v>
      </c>
      <c r="H574" t="str">
        <f>"210-0000"</f>
        <v>210-0000</v>
      </c>
      <c r="I574" t="str">
        <f>""</f>
        <v/>
      </c>
    </row>
    <row r="575" spans="1:9" x14ac:dyDescent="0.25">
      <c r="A575" t="s">
        <v>142</v>
      </c>
      <c r="B575">
        <v>130778</v>
      </c>
      <c r="C575" s="2">
        <v>4525</v>
      </c>
      <c r="D575" s="1">
        <v>43871</v>
      </c>
      <c r="E575" t="str">
        <f>"71266"</f>
        <v>71266</v>
      </c>
      <c r="F575" t="str">
        <f>"15 914  BILLING THROUGH 08/30"</f>
        <v>15 914  BILLING THROUGH 08/30</v>
      </c>
      <c r="G575" s="2">
        <v>4425</v>
      </c>
      <c r="H575" t="str">
        <f>"15 914  BILLING THROUGH 08/30"</f>
        <v>15 914  BILLING THROUGH 08/30</v>
      </c>
    </row>
    <row r="576" spans="1:9" x14ac:dyDescent="0.25">
      <c r="E576" t="str">
        <f>"71368"</f>
        <v>71368</v>
      </c>
      <c r="F576" t="str">
        <f>"15 914  BILLING THROUGH 10/25"</f>
        <v>15 914  BILLING THROUGH 10/25</v>
      </c>
      <c r="G576" s="2">
        <v>100</v>
      </c>
      <c r="H576" t="str">
        <f>"15 914  BILLING THROUGH 10/25"</f>
        <v>15 914  BILLING THROUGH 10/25</v>
      </c>
    </row>
    <row r="577" spans="1:8" x14ac:dyDescent="0.25">
      <c r="A577" t="s">
        <v>143</v>
      </c>
      <c r="B577">
        <v>2154</v>
      </c>
      <c r="C577" s="2">
        <v>500</v>
      </c>
      <c r="D577" s="1">
        <v>43872</v>
      </c>
      <c r="E577" t="str">
        <f>"202002034952"</f>
        <v>202002034952</v>
      </c>
      <c r="F577" t="str">
        <f>"3072020196"</f>
        <v>3072020196</v>
      </c>
      <c r="G577" s="2">
        <v>250</v>
      </c>
      <c r="H577" t="str">
        <f>"3072020196"</f>
        <v>3072020196</v>
      </c>
    </row>
    <row r="578" spans="1:8" x14ac:dyDescent="0.25">
      <c r="E578" t="str">
        <f>"202002045102"</f>
        <v>202002045102</v>
      </c>
      <c r="F578" t="str">
        <f>"56 969"</f>
        <v>56 969</v>
      </c>
      <c r="G578" s="2">
        <v>250</v>
      </c>
      <c r="H578" t="str">
        <f>"56 969"</f>
        <v>56 969</v>
      </c>
    </row>
    <row r="579" spans="1:8" x14ac:dyDescent="0.25">
      <c r="A579" t="s">
        <v>144</v>
      </c>
      <c r="B579">
        <v>2146</v>
      </c>
      <c r="C579" s="2">
        <v>166.75</v>
      </c>
      <c r="D579" s="1">
        <v>43872</v>
      </c>
      <c r="E579" t="str">
        <f>"202002044999"</f>
        <v>202002044999</v>
      </c>
      <c r="F579" t="str">
        <f>"MILEAGE REIMBURSEMENT"</f>
        <v>MILEAGE REIMBURSEMENT</v>
      </c>
      <c r="G579" s="2">
        <v>166.75</v>
      </c>
      <c r="H579" t="str">
        <f>"MILEAGE REIMBURSEMENT"</f>
        <v>MILEAGE REIMBURSEMENT</v>
      </c>
    </row>
    <row r="580" spans="1:8" x14ac:dyDescent="0.25">
      <c r="A580" t="s">
        <v>144</v>
      </c>
      <c r="B580">
        <v>2223</v>
      </c>
      <c r="C580" s="2">
        <v>160.43</v>
      </c>
      <c r="D580" s="1">
        <v>43886</v>
      </c>
      <c r="E580" t="str">
        <f>"202002185358"</f>
        <v>202002185358</v>
      </c>
      <c r="F580" t="str">
        <f>"MILEAGE REIMBURSEMENT"</f>
        <v>MILEAGE REIMBURSEMENT</v>
      </c>
      <c r="G580" s="2">
        <v>160.43</v>
      </c>
      <c r="H580" t="str">
        <f>"MILEAGE REIMBURSEMENT"</f>
        <v>MILEAGE REIMBURSEMENT</v>
      </c>
    </row>
    <row r="581" spans="1:8" x14ac:dyDescent="0.25">
      <c r="A581" t="s">
        <v>145</v>
      </c>
      <c r="B581">
        <v>2148</v>
      </c>
      <c r="C581" s="2">
        <v>835.77</v>
      </c>
      <c r="D581" s="1">
        <v>43872</v>
      </c>
      <c r="E581" t="str">
        <f>"33619AP"</f>
        <v>33619AP</v>
      </c>
      <c r="F581" t="str">
        <f>"ACCT#3325/PCT#2"</f>
        <v>ACCT#3325/PCT#2</v>
      </c>
      <c r="G581" s="2">
        <v>666.22</v>
      </c>
      <c r="H581" t="str">
        <f>"ACCT#3325/PCT#2"</f>
        <v>ACCT#3325/PCT#2</v>
      </c>
    </row>
    <row r="582" spans="1:8" x14ac:dyDescent="0.25">
      <c r="E582" t="str">
        <f>"33725AP"</f>
        <v>33725AP</v>
      </c>
      <c r="F582" t="str">
        <f>"BELT/PCT#3"</f>
        <v>BELT/PCT#3</v>
      </c>
      <c r="G582" s="2">
        <v>39.44</v>
      </c>
      <c r="H582" t="str">
        <f>"BELT/PCT#3"</f>
        <v>BELT/PCT#3</v>
      </c>
    </row>
    <row r="583" spans="1:8" x14ac:dyDescent="0.25">
      <c r="E583" t="str">
        <f>"33817AP"</f>
        <v>33817AP</v>
      </c>
      <c r="F583" t="str">
        <f>"ACCT#3324/PCT#3"</f>
        <v>ACCT#3324/PCT#3</v>
      </c>
      <c r="G583" s="2">
        <v>130.11000000000001</v>
      </c>
      <c r="H583" t="str">
        <f>"ACCT#3324/PCT#3"</f>
        <v>ACCT#3324/PCT#3</v>
      </c>
    </row>
    <row r="584" spans="1:8" x14ac:dyDescent="0.25">
      <c r="A584" t="s">
        <v>146</v>
      </c>
      <c r="B584">
        <v>2155</v>
      </c>
      <c r="C584" s="2">
        <v>81.92</v>
      </c>
      <c r="D584" s="1">
        <v>43872</v>
      </c>
      <c r="E584" t="str">
        <f>"GC110936"</f>
        <v>GC110936</v>
      </c>
      <c r="F584" t="str">
        <f>"INV GC110936"</f>
        <v>INV GC110936</v>
      </c>
      <c r="G584" s="2">
        <v>40.96</v>
      </c>
      <c r="H584" t="str">
        <f>"INV GC110936"</f>
        <v>INV GC110936</v>
      </c>
    </row>
    <row r="585" spans="1:8" x14ac:dyDescent="0.25">
      <c r="E585" t="str">
        <f>"GC110972"</f>
        <v>GC110972</v>
      </c>
      <c r="F585" t="str">
        <f>"INV GC110972"</f>
        <v>INV GC110972</v>
      </c>
      <c r="G585" s="2">
        <v>40.96</v>
      </c>
      <c r="H585" t="str">
        <f>"INV GC110972"</f>
        <v>INV GC110972</v>
      </c>
    </row>
    <row r="586" spans="1:8" x14ac:dyDescent="0.25">
      <c r="A586" t="s">
        <v>146</v>
      </c>
      <c r="B586">
        <v>2227</v>
      </c>
      <c r="C586" s="2">
        <v>163.19999999999999</v>
      </c>
      <c r="D586" s="1">
        <v>43886</v>
      </c>
      <c r="E586" t="str">
        <f>"111062"</f>
        <v>111062</v>
      </c>
      <c r="F586" t="str">
        <f>"WINDOW ENVELOPES/DEV SVCS"</f>
        <v>WINDOW ENVELOPES/DEV SVCS</v>
      </c>
      <c r="G586" s="2">
        <v>85.98</v>
      </c>
      <c r="H586" t="str">
        <f>"WINDOW ENVELOPES/DEV SVCS"</f>
        <v>WINDOW ENVELOPES/DEV SVCS</v>
      </c>
    </row>
    <row r="587" spans="1:8" x14ac:dyDescent="0.25">
      <c r="E587" t="str">
        <f>"111131"</f>
        <v>111131</v>
      </c>
      <c r="F587" t="str">
        <f>"BUSINESS CARDS / PCT#1"</f>
        <v>BUSINESS CARDS / PCT#1</v>
      </c>
      <c r="G587" s="2">
        <v>77.22</v>
      </c>
      <c r="H587" t="str">
        <f>"BUSINESS CARDS / PCT#1"</f>
        <v>BUSINESS CARDS / PCT#1</v>
      </c>
    </row>
    <row r="588" spans="1:8" x14ac:dyDescent="0.25">
      <c r="A588" t="s">
        <v>147</v>
      </c>
      <c r="B588">
        <v>130779</v>
      </c>
      <c r="C588" s="2">
        <v>36</v>
      </c>
      <c r="D588" s="1">
        <v>43871</v>
      </c>
      <c r="E588" t="str">
        <f>"014776898"</f>
        <v>014776898</v>
      </c>
      <c r="F588" t="str">
        <f>"INV 014776898"</f>
        <v>INV 014776898</v>
      </c>
      <c r="G588" s="2">
        <v>36</v>
      </c>
      <c r="H588" t="str">
        <f>"INV 014776898"</f>
        <v>INV 014776898</v>
      </c>
    </row>
    <row r="589" spans="1:8" x14ac:dyDescent="0.25">
      <c r="A589" t="s">
        <v>147</v>
      </c>
      <c r="B589">
        <v>130954</v>
      </c>
      <c r="C589" s="2">
        <v>779.45</v>
      </c>
      <c r="D589" s="1">
        <v>43885</v>
      </c>
      <c r="E589" t="str">
        <f>"014561335"</f>
        <v>014561335</v>
      </c>
      <c r="F589" t="str">
        <f>"INV 014561335"</f>
        <v>INV 014561335</v>
      </c>
      <c r="G589" s="2">
        <v>86.5</v>
      </c>
      <c r="H589" t="str">
        <f>"INV 014561335"</f>
        <v>INV 014561335</v>
      </c>
    </row>
    <row r="590" spans="1:8" x14ac:dyDescent="0.25">
      <c r="E590" t="str">
        <f>"014705438/24/42"</f>
        <v>014705438/24/42</v>
      </c>
      <c r="F590" t="str">
        <f>"INV 014705438/014742424/0"</f>
        <v>INV 014705438/014742424/0</v>
      </c>
      <c r="G590" s="2">
        <v>403.45</v>
      </c>
      <c r="H590" t="str">
        <f>"INV 014705438"</f>
        <v>INV 014705438</v>
      </c>
    </row>
    <row r="591" spans="1:8" x14ac:dyDescent="0.25">
      <c r="E591" t="str">
        <f>""</f>
        <v/>
      </c>
      <c r="F591" t="str">
        <f>""</f>
        <v/>
      </c>
      <c r="H591" t="str">
        <f>"INV 014742424"</f>
        <v>INV 014742424</v>
      </c>
    </row>
    <row r="592" spans="1:8" x14ac:dyDescent="0.25">
      <c r="E592" t="str">
        <f>""</f>
        <v/>
      </c>
      <c r="F592" t="str">
        <f>""</f>
        <v/>
      </c>
      <c r="H592" t="str">
        <f>"INV 014985042"</f>
        <v>INV 014985042</v>
      </c>
    </row>
    <row r="593" spans="1:8" x14ac:dyDescent="0.25">
      <c r="E593" t="str">
        <f>"014791356 01479144"</f>
        <v>014791356 01479144</v>
      </c>
      <c r="F593" t="str">
        <f>"INV 014791356/014791442"</f>
        <v>INV 014791356/014791442</v>
      </c>
      <c r="G593" s="2">
        <v>289.5</v>
      </c>
      <c r="H593" t="str">
        <f>"INV 014791356"</f>
        <v>INV 014791356</v>
      </c>
    </row>
    <row r="594" spans="1:8" x14ac:dyDescent="0.25">
      <c r="E594" t="str">
        <f>""</f>
        <v/>
      </c>
      <c r="F594" t="str">
        <f>""</f>
        <v/>
      </c>
      <c r="H594" t="str">
        <f>"INV 014791442"</f>
        <v>INV 014791442</v>
      </c>
    </row>
    <row r="595" spans="1:8" x14ac:dyDescent="0.25">
      <c r="A595" t="s">
        <v>148</v>
      </c>
      <c r="B595">
        <v>2172</v>
      </c>
      <c r="C595" s="2">
        <v>610.20000000000005</v>
      </c>
      <c r="D595" s="1">
        <v>43872</v>
      </c>
      <c r="E595" t="str">
        <f>"N62998"</f>
        <v>N62998</v>
      </c>
      <c r="F595" t="str">
        <f>"CUST#02260/ORD#S55490"</f>
        <v>CUST#02260/ORD#S55490</v>
      </c>
      <c r="G595" s="2">
        <v>610.20000000000005</v>
      </c>
      <c r="H595" t="str">
        <f>"CUST#02260/ORD#S55490"</f>
        <v>CUST#02260/ORD#S55490</v>
      </c>
    </row>
    <row r="596" spans="1:8" x14ac:dyDescent="0.25">
      <c r="A596" t="s">
        <v>149</v>
      </c>
      <c r="B596">
        <v>130780</v>
      </c>
      <c r="C596" s="2">
        <v>8653.0300000000007</v>
      </c>
      <c r="D596" s="1">
        <v>43871</v>
      </c>
      <c r="E596" t="str">
        <f>"9B"</f>
        <v>9B</v>
      </c>
      <c r="F596" t="str">
        <f>"15 914  11/15 - 01/22/2020"</f>
        <v>15 914  11/15 - 01/22/2020</v>
      </c>
      <c r="G596" s="2">
        <v>8653.0300000000007</v>
      </c>
      <c r="H596" t="str">
        <f>"15 914  11/15 - 01/22/2020"</f>
        <v>15 914  11/15 - 01/22/2020</v>
      </c>
    </row>
    <row r="597" spans="1:8" x14ac:dyDescent="0.25">
      <c r="A597" t="s">
        <v>150</v>
      </c>
      <c r="B597">
        <v>130781</v>
      </c>
      <c r="C597" s="2">
        <v>750</v>
      </c>
      <c r="D597" s="1">
        <v>43871</v>
      </c>
      <c r="E597" t="str">
        <f>"202002045022"</f>
        <v>202002045022</v>
      </c>
      <c r="F597" t="str">
        <f>"Agreement for Cleanup"</f>
        <v>Agreement for Cleanup</v>
      </c>
      <c r="G597" s="2">
        <v>750</v>
      </c>
      <c r="H597" t="str">
        <f>"Staffing"</f>
        <v>Staffing</v>
      </c>
    </row>
    <row r="598" spans="1:8" x14ac:dyDescent="0.25">
      <c r="E598" t="str">
        <f>""</f>
        <v/>
      </c>
      <c r="F598" t="str">
        <f>""</f>
        <v/>
      </c>
      <c r="H598" t="str">
        <f>"Trailer  Transport"</f>
        <v>Trailer  Transport</v>
      </c>
    </row>
    <row r="599" spans="1:8" x14ac:dyDescent="0.25">
      <c r="A599" t="s">
        <v>151</v>
      </c>
      <c r="B599">
        <v>130955</v>
      </c>
      <c r="C599" s="2">
        <v>417.81</v>
      </c>
      <c r="D599" s="1">
        <v>43885</v>
      </c>
      <c r="E599" t="str">
        <f>"0319456"</f>
        <v>0319456</v>
      </c>
      <c r="F599" t="str">
        <f>"JOB#019175/MARRIAGE LICENSE"</f>
        <v>JOB#019175/MARRIAGE LICENSE</v>
      </c>
      <c r="G599" s="2">
        <v>417.81</v>
      </c>
      <c r="H599" t="str">
        <f>"JOB#019175/MARRIAGE LICENSE"</f>
        <v>JOB#019175/MARRIAGE LICENSE</v>
      </c>
    </row>
    <row r="600" spans="1:8" x14ac:dyDescent="0.25">
      <c r="A600" t="s">
        <v>152</v>
      </c>
      <c r="B600">
        <v>0</v>
      </c>
      <c r="C600" s="2">
        <v>0</v>
      </c>
      <c r="D600" s="1">
        <v>43879</v>
      </c>
      <c r="E600" t="str">
        <f>"814780730"</f>
        <v>814780730</v>
      </c>
      <c r="F600" t="str">
        <f>"ACCT#814780730/GEN SVCS"</f>
        <v>ACCT#814780730/GEN SVCS</v>
      </c>
      <c r="G600" s="2">
        <v>-86.3</v>
      </c>
      <c r="H600" t="str">
        <f>"ACCT#814780730/GEN SVCS"</f>
        <v>ACCT#814780730/GEN SVCS</v>
      </c>
    </row>
    <row r="601" spans="1:8" x14ac:dyDescent="0.25">
      <c r="E601" t="str">
        <f>"9424302496"</f>
        <v>9424302496</v>
      </c>
      <c r="F601" t="str">
        <f>"ACCT#814780730/GEN SVCS"</f>
        <v>ACCT#814780730/GEN SVCS</v>
      </c>
      <c r="G601" s="2">
        <v>-86.3</v>
      </c>
      <c r="H601" t="str">
        <f>"ACCT#814780730/GEN SVCS"</f>
        <v>ACCT#814780730/GEN SVCS</v>
      </c>
    </row>
    <row r="602" spans="1:8" x14ac:dyDescent="0.25">
      <c r="E602" t="str">
        <f>"814780730R"</f>
        <v>814780730R</v>
      </c>
      <c r="F602" t="str">
        <f>"ACCT#814780730/GEN SVCS"</f>
        <v>ACCT#814780730/GEN SVCS</v>
      </c>
      <c r="G602" s="2">
        <v>86.3</v>
      </c>
      <c r="H602" t="str">
        <f>"ACCT#814780730/GEN SVCS"</f>
        <v>ACCT#814780730/GEN SVCS</v>
      </c>
    </row>
    <row r="603" spans="1:8" x14ac:dyDescent="0.25">
      <c r="E603" t="str">
        <f>"9424302496R"</f>
        <v>9424302496R</v>
      </c>
      <c r="F603" t="str">
        <f>"ACCT#814780730/GEN SVCS"</f>
        <v>ACCT#814780730/GEN SVCS</v>
      </c>
      <c r="G603" s="2">
        <v>86.3</v>
      </c>
      <c r="H603" t="str">
        <f>"ACCT#814780730/GEN SVCS"</f>
        <v>ACCT#814780730/GEN SVCS</v>
      </c>
    </row>
    <row r="604" spans="1:8" x14ac:dyDescent="0.25">
      <c r="A604" t="s">
        <v>152</v>
      </c>
      <c r="B604">
        <v>130956</v>
      </c>
      <c r="C604" s="2">
        <v>63.1</v>
      </c>
      <c r="D604" s="1">
        <v>43885</v>
      </c>
      <c r="E604" t="str">
        <f>"9441074995"</f>
        <v>9441074995</v>
      </c>
      <c r="F604" t="str">
        <f>"INV 9441074995/UNIT MRAP"</f>
        <v>INV 9441074995/UNIT MRAP</v>
      </c>
      <c r="G604" s="2">
        <v>63.1</v>
      </c>
      <c r="H604" t="str">
        <f>"INV 9441074995/UNIT MRAP"</f>
        <v>INV 9441074995/UNIT MRAP</v>
      </c>
    </row>
    <row r="605" spans="1:8" x14ac:dyDescent="0.25">
      <c r="A605" t="s">
        <v>153</v>
      </c>
      <c r="B605">
        <v>2156</v>
      </c>
      <c r="C605" s="2">
        <v>4674.87</v>
      </c>
      <c r="D605" s="1">
        <v>43872</v>
      </c>
      <c r="E605" t="str">
        <f>"0749319"</f>
        <v>0749319</v>
      </c>
      <c r="F605" t="str">
        <f>"INV 0749319"</f>
        <v>INV 0749319</v>
      </c>
      <c r="G605" s="2">
        <v>33</v>
      </c>
      <c r="H605" t="str">
        <f>"INV 0749319"</f>
        <v>INV 0749319</v>
      </c>
    </row>
    <row r="606" spans="1:8" x14ac:dyDescent="0.25">
      <c r="E606" t="str">
        <f>"0749345"</f>
        <v>0749345</v>
      </c>
      <c r="F606" t="str">
        <f>"INV 0749345"</f>
        <v>INV 0749345</v>
      </c>
      <c r="G606" s="2">
        <v>1966.5</v>
      </c>
      <c r="H606" t="str">
        <f>"INV 0749345"</f>
        <v>INV 0749345</v>
      </c>
    </row>
    <row r="607" spans="1:8" x14ac:dyDescent="0.25">
      <c r="E607" t="str">
        <f>"0749411"</f>
        <v>0749411</v>
      </c>
      <c r="F607" t="str">
        <f>"INV 0749411"</f>
        <v>INV 0749411</v>
      </c>
      <c r="G607" s="2">
        <v>850</v>
      </c>
      <c r="H607" t="str">
        <f>"INV 0749411"</f>
        <v>INV 0749411</v>
      </c>
    </row>
    <row r="608" spans="1:8" x14ac:dyDescent="0.25">
      <c r="E608" t="str">
        <f>""</f>
        <v/>
      </c>
      <c r="F608" t="str">
        <f>""</f>
        <v/>
      </c>
      <c r="H608" t="str">
        <f>"INV 0749411"</f>
        <v>INV 0749411</v>
      </c>
    </row>
    <row r="609" spans="1:8" x14ac:dyDescent="0.25">
      <c r="E609" t="str">
        <f>"0749835"</f>
        <v>0749835</v>
      </c>
      <c r="F609" t="str">
        <f>"INV 0749835"</f>
        <v>INV 0749835</v>
      </c>
      <c r="G609" s="2">
        <v>850</v>
      </c>
      <c r="H609" t="str">
        <f>"INV 0749835"</f>
        <v>INV 0749835</v>
      </c>
    </row>
    <row r="610" spans="1:8" x14ac:dyDescent="0.25">
      <c r="E610" t="str">
        <f>""</f>
        <v/>
      </c>
      <c r="F610" t="str">
        <f>""</f>
        <v/>
      </c>
      <c r="H610" t="str">
        <f>"INV 0749835"</f>
        <v>INV 0749835</v>
      </c>
    </row>
    <row r="611" spans="1:8" x14ac:dyDescent="0.25">
      <c r="E611" t="str">
        <f>"0750056"</f>
        <v>0750056</v>
      </c>
      <c r="F611" t="str">
        <f>"INV 0750056"</f>
        <v>INV 0750056</v>
      </c>
      <c r="G611" s="2">
        <v>850</v>
      </c>
      <c r="H611" t="str">
        <f>"INV 0750056"</f>
        <v>INV 0750056</v>
      </c>
    </row>
    <row r="612" spans="1:8" x14ac:dyDescent="0.25">
      <c r="E612" t="str">
        <f>""</f>
        <v/>
      </c>
      <c r="F612" t="str">
        <f>""</f>
        <v/>
      </c>
      <c r="H612" t="str">
        <f>"INV 0750056"</f>
        <v>INV 0750056</v>
      </c>
    </row>
    <row r="613" spans="1:8" x14ac:dyDescent="0.25">
      <c r="E613" t="str">
        <f>"INV0748047"</f>
        <v>INV0748047</v>
      </c>
      <c r="F613" t="str">
        <f>"INV0748047"</f>
        <v>INV0748047</v>
      </c>
      <c r="G613" s="2">
        <v>125.37</v>
      </c>
      <c r="H613" t="str">
        <f>"INV0748047"</f>
        <v>INV0748047</v>
      </c>
    </row>
    <row r="614" spans="1:8" x14ac:dyDescent="0.25">
      <c r="A614" t="s">
        <v>153</v>
      </c>
      <c r="B614">
        <v>2228</v>
      </c>
      <c r="C614" s="2">
        <v>7408.56</v>
      </c>
      <c r="D614" s="1">
        <v>43886</v>
      </c>
      <c r="E614" t="str">
        <f>"0749752 0751529"</f>
        <v>0749752 0751529</v>
      </c>
      <c r="F614" t="str">
        <f>"INV 0749752/0751529"</f>
        <v>INV 0749752/0751529</v>
      </c>
      <c r="G614" s="2">
        <v>7408.56</v>
      </c>
      <c r="H614" t="str">
        <f>"INV 0749752"</f>
        <v>INV 0749752</v>
      </c>
    </row>
    <row r="615" spans="1:8" x14ac:dyDescent="0.25">
      <c r="E615" t="str">
        <f>""</f>
        <v/>
      </c>
      <c r="F615" t="str">
        <f>""</f>
        <v/>
      </c>
      <c r="H615" t="str">
        <f>"INV 0751529"</f>
        <v>INV 0751529</v>
      </c>
    </row>
    <row r="616" spans="1:8" x14ac:dyDescent="0.25">
      <c r="A616" t="s">
        <v>154</v>
      </c>
      <c r="B616">
        <v>130957</v>
      </c>
      <c r="C616" s="2">
        <v>170</v>
      </c>
      <c r="D616" s="1">
        <v>43885</v>
      </c>
      <c r="E616" t="str">
        <f>"12826"</f>
        <v>12826</v>
      </c>
      <c r="F616" t="str">
        <f>"SERVICE"</f>
        <v>SERVICE</v>
      </c>
      <c r="G616" s="2">
        <v>170</v>
      </c>
      <c r="H616" t="str">
        <f>"SERVICE"</f>
        <v>SERVICE</v>
      </c>
    </row>
    <row r="617" spans="1:8" x14ac:dyDescent="0.25">
      <c r="A617" t="s">
        <v>155</v>
      </c>
      <c r="B617">
        <v>2169</v>
      </c>
      <c r="C617" s="2">
        <v>43.08</v>
      </c>
      <c r="D617" s="1">
        <v>43872</v>
      </c>
      <c r="E617" t="str">
        <f>"1803630 1806476"</f>
        <v>1803630 1806476</v>
      </c>
      <c r="F617" t="str">
        <f>"INV 1803630"</f>
        <v>INV 1803630</v>
      </c>
      <c r="G617" s="2">
        <v>43.08</v>
      </c>
      <c r="H617" t="str">
        <f>"INV 1803630"</f>
        <v>INV 1803630</v>
      </c>
    </row>
    <row r="618" spans="1:8" x14ac:dyDescent="0.25">
      <c r="E618" t="str">
        <f>""</f>
        <v/>
      </c>
      <c r="F618" t="str">
        <f>""</f>
        <v/>
      </c>
      <c r="H618" t="str">
        <f>"INV 1806476"</f>
        <v>INV 1806476</v>
      </c>
    </row>
    <row r="619" spans="1:8" x14ac:dyDescent="0.25">
      <c r="A619" t="s">
        <v>156</v>
      </c>
      <c r="B619">
        <v>130958</v>
      </c>
      <c r="C619" s="2">
        <v>36684</v>
      </c>
      <c r="D619" s="1">
        <v>43885</v>
      </c>
      <c r="E619" t="str">
        <f>"17762"</f>
        <v>17762</v>
      </c>
      <c r="F619" t="str">
        <f>"Emergency repair"</f>
        <v>Emergency repair</v>
      </c>
      <c r="G619" s="2">
        <v>36684</v>
      </c>
      <c r="H619" t="str">
        <f>"payment"</f>
        <v>payment</v>
      </c>
    </row>
    <row r="620" spans="1:8" x14ac:dyDescent="0.25">
      <c r="A620" t="s">
        <v>157</v>
      </c>
      <c r="B620">
        <v>130959</v>
      </c>
      <c r="C620" s="2">
        <v>784.16</v>
      </c>
      <c r="D620" s="1">
        <v>43885</v>
      </c>
      <c r="E620" t="str">
        <f>"202002195428"</f>
        <v>202002195428</v>
      </c>
      <c r="F620" t="str">
        <f>"MILEAGE REIMBURSEMENT"</f>
        <v>MILEAGE REIMBURSEMENT</v>
      </c>
      <c r="G620" s="2">
        <v>784.16</v>
      </c>
      <c r="H620" t="str">
        <f>"MILEAGE REIMBURSEMENT"</f>
        <v>MILEAGE REIMBURSEMENT</v>
      </c>
    </row>
    <row r="621" spans="1:8" x14ac:dyDescent="0.25">
      <c r="A621" t="s">
        <v>158</v>
      </c>
      <c r="B621">
        <v>2167</v>
      </c>
      <c r="C621" s="2">
        <v>59487.75</v>
      </c>
      <c r="D621" s="1">
        <v>43872</v>
      </c>
      <c r="E621" t="str">
        <f>"10030521"</f>
        <v>10030521</v>
      </c>
      <c r="F621" t="str">
        <f>"PROJ#032285.008"</f>
        <v>PROJ#032285.008</v>
      </c>
      <c r="G621" s="2">
        <v>25846</v>
      </c>
      <c r="H621" t="str">
        <f>"PROJ#032285.008"</f>
        <v>PROJ#032285.008</v>
      </c>
    </row>
    <row r="622" spans="1:8" x14ac:dyDescent="0.25">
      <c r="E622" t="str">
        <f>"10031532"</f>
        <v>10031532</v>
      </c>
      <c r="F622" t="str">
        <f>"PROJ#032285.008"</f>
        <v>PROJ#032285.008</v>
      </c>
      <c r="G622" s="2">
        <v>33641.75</v>
      </c>
      <c r="H622" t="str">
        <f>"PROJ#032285.008"</f>
        <v>PROJ#032285.008</v>
      </c>
    </row>
    <row r="623" spans="1:8" x14ac:dyDescent="0.25">
      <c r="A623" t="s">
        <v>158</v>
      </c>
      <c r="B623">
        <v>2240</v>
      </c>
      <c r="C623" s="2">
        <v>25957.5</v>
      </c>
      <c r="D623" s="1">
        <v>43886</v>
      </c>
      <c r="E623" t="str">
        <f>"10033702"</f>
        <v>10033702</v>
      </c>
      <c r="F623" t="str">
        <f>"PROJ#035837.001"</f>
        <v>PROJ#035837.001</v>
      </c>
      <c r="G623" s="2">
        <v>25957.5</v>
      </c>
      <c r="H623" t="str">
        <f>"PROJ#035837.001"</f>
        <v>PROJ#035837.001</v>
      </c>
    </row>
    <row r="624" spans="1:8" x14ac:dyDescent="0.25">
      <c r="A624" t="s">
        <v>159</v>
      </c>
      <c r="B624">
        <v>130782</v>
      </c>
      <c r="C624" s="2">
        <v>1387.5</v>
      </c>
      <c r="D624" s="1">
        <v>43871</v>
      </c>
      <c r="E624" t="str">
        <f>"202002055196"</f>
        <v>202002055196</v>
      </c>
      <c r="F624" t="str">
        <f>"15 915"</f>
        <v>15 915</v>
      </c>
      <c r="G624" s="2">
        <v>1387.5</v>
      </c>
    </row>
    <row r="625" spans="1:9" x14ac:dyDescent="0.25">
      <c r="A625" t="s">
        <v>159</v>
      </c>
      <c r="B625">
        <v>130782</v>
      </c>
      <c r="C625" s="2">
        <v>1387.5</v>
      </c>
      <c r="D625" s="1">
        <v>43888</v>
      </c>
      <c r="E625" t="str">
        <f>"CHECK"</f>
        <v>CHECK</v>
      </c>
      <c r="F625" t="str">
        <f>""</f>
        <v/>
      </c>
      <c r="G625" s="2">
        <v>1387.5</v>
      </c>
    </row>
    <row r="626" spans="1:9" x14ac:dyDescent="0.25">
      <c r="A626" t="s">
        <v>160</v>
      </c>
      <c r="B626">
        <v>130960</v>
      </c>
      <c r="C626" s="2">
        <v>346.75</v>
      </c>
      <c r="D626" s="1">
        <v>43885</v>
      </c>
      <c r="E626" t="str">
        <f>"02062000"</f>
        <v>02062000</v>
      </c>
      <c r="F626" t="str">
        <f>"17-18617 REPORTER'S RECORD"</f>
        <v>17-18617 REPORTER'S RECORD</v>
      </c>
      <c r="G626" s="2">
        <v>304.75</v>
      </c>
      <c r="H626" t="str">
        <f>"17-18617 REPORTER'S RECORD"</f>
        <v>17-18617 REPORTER'S RECORD</v>
      </c>
    </row>
    <row r="627" spans="1:9" x14ac:dyDescent="0.25">
      <c r="E627" t="str">
        <f>"28012000"</f>
        <v>28012000</v>
      </c>
      <c r="F627" t="str">
        <f>"REPORTER'S RECORD - COPY"</f>
        <v>REPORTER'S RECORD - COPY</v>
      </c>
      <c r="G627" s="2">
        <v>42</v>
      </c>
      <c r="H627" t="str">
        <f>"REPORTER'S RECORD - COPY"</f>
        <v>REPORTER'S RECORD - COPY</v>
      </c>
    </row>
    <row r="628" spans="1:9" x14ac:dyDescent="0.25">
      <c r="A628" t="s">
        <v>161</v>
      </c>
      <c r="B628">
        <v>130783</v>
      </c>
      <c r="C628" s="2">
        <v>550</v>
      </c>
      <c r="D628" s="1">
        <v>43871</v>
      </c>
      <c r="E628" t="str">
        <f>"INV818744"</f>
        <v>INV818744</v>
      </c>
      <c r="F628" t="str">
        <f>"INV818744"</f>
        <v>INV818744</v>
      </c>
      <c r="G628" s="2">
        <v>550</v>
      </c>
      <c r="H628" t="str">
        <f>"INV818744"</f>
        <v>INV818744</v>
      </c>
    </row>
    <row r="629" spans="1:9" x14ac:dyDescent="0.25">
      <c r="A629" t="s">
        <v>161</v>
      </c>
      <c r="B629">
        <v>130961</v>
      </c>
      <c r="C629" s="2">
        <v>1525</v>
      </c>
      <c r="D629" s="1">
        <v>43885</v>
      </c>
      <c r="E629" t="str">
        <f>"INV818839 INV81859"</f>
        <v>INV818839 INV81859</v>
      </c>
      <c r="F629" t="str">
        <f>"INV818839"</f>
        <v>INV818839</v>
      </c>
      <c r="G629" s="2">
        <v>1525</v>
      </c>
      <c r="H629" t="str">
        <f>"INV818839"</f>
        <v>INV818839</v>
      </c>
    </row>
    <row r="630" spans="1:9" x14ac:dyDescent="0.25">
      <c r="E630" t="str">
        <f>""</f>
        <v/>
      </c>
      <c r="F630" t="str">
        <f>""</f>
        <v/>
      </c>
      <c r="H630" t="str">
        <f>"INV818590"</f>
        <v>INV818590</v>
      </c>
    </row>
    <row r="631" spans="1:9" x14ac:dyDescent="0.25">
      <c r="E631" t="str">
        <f>""</f>
        <v/>
      </c>
      <c r="F631" t="str">
        <f>""</f>
        <v/>
      </c>
      <c r="H631" t="str">
        <f>"INV819110"</f>
        <v>INV819110</v>
      </c>
    </row>
    <row r="632" spans="1:9" x14ac:dyDescent="0.25">
      <c r="A632" t="s">
        <v>162</v>
      </c>
      <c r="B632">
        <v>130962</v>
      </c>
      <c r="C632" s="2">
        <v>498</v>
      </c>
      <c r="D632" s="1">
        <v>43885</v>
      </c>
      <c r="E632" t="str">
        <f>"045350"</f>
        <v>045350</v>
      </c>
      <c r="F632" t="str">
        <f>"SCHEDULE OF FINES"</f>
        <v>SCHEDULE OF FINES</v>
      </c>
      <c r="G632" s="2">
        <v>498</v>
      </c>
      <c r="H632" t="str">
        <f>"SCHEDULE OF FINES"</f>
        <v>SCHEDULE OF FINES</v>
      </c>
    </row>
    <row r="633" spans="1:9" x14ac:dyDescent="0.25">
      <c r="E633" t="str">
        <f>""</f>
        <v/>
      </c>
      <c r="F633" t="str">
        <f>""</f>
        <v/>
      </c>
      <c r="H633" t="str">
        <f>"SCHEDULE OF FINES"</f>
        <v>SCHEDULE OF FINES</v>
      </c>
    </row>
    <row r="634" spans="1:9" x14ac:dyDescent="0.25">
      <c r="E634" t="str">
        <f>""</f>
        <v/>
      </c>
      <c r="F634" t="str">
        <f>""</f>
        <v/>
      </c>
      <c r="H634" t="str">
        <f>"SCHEDULE OF FINES"</f>
        <v>SCHEDULE OF FINES</v>
      </c>
    </row>
    <row r="635" spans="1:9" x14ac:dyDescent="0.25">
      <c r="E635" t="str">
        <f>""</f>
        <v/>
      </c>
      <c r="F635" t="str">
        <f>""</f>
        <v/>
      </c>
      <c r="H635" t="str">
        <f>"SCHEDULE OF FINES"</f>
        <v>SCHEDULE OF FINES</v>
      </c>
    </row>
    <row r="636" spans="1:9" x14ac:dyDescent="0.25">
      <c r="A636" t="s">
        <v>163</v>
      </c>
      <c r="B636">
        <v>130784</v>
      </c>
      <c r="C636" s="2">
        <v>265.10000000000002</v>
      </c>
      <c r="D636" s="1">
        <v>43871</v>
      </c>
      <c r="E636" t="str">
        <f>"0006413716-IN"</f>
        <v>0006413716-IN</v>
      </c>
      <c r="F636" t="str">
        <f>"INV 0006413716-IN"</f>
        <v>INV 0006413716-IN</v>
      </c>
      <c r="G636" s="2">
        <v>265.10000000000002</v>
      </c>
      <c r="H636" t="str">
        <f>"INV 0006413716-IN"</f>
        <v>INV 0006413716-IN</v>
      </c>
    </row>
    <row r="637" spans="1:9" x14ac:dyDescent="0.25">
      <c r="A637" t="s">
        <v>164</v>
      </c>
      <c r="B637">
        <v>130963</v>
      </c>
      <c r="C637" s="2">
        <v>100</v>
      </c>
      <c r="D637" s="1">
        <v>43885</v>
      </c>
      <c r="E637" t="s">
        <v>165</v>
      </c>
      <c r="F637" t="s">
        <v>166</v>
      </c>
      <c r="G637" s="2" t="str">
        <f>"RESTITUTION - M. FELTS"</f>
        <v>RESTITUTION - M. FELTS</v>
      </c>
      <c r="H637" t="str">
        <f>"210-0000"</f>
        <v>210-0000</v>
      </c>
      <c r="I637" t="str">
        <f>""</f>
        <v/>
      </c>
    </row>
    <row r="638" spans="1:9" x14ac:dyDescent="0.25">
      <c r="A638" t="s">
        <v>167</v>
      </c>
      <c r="B638">
        <v>130785</v>
      </c>
      <c r="C638" s="2">
        <v>732.35</v>
      </c>
      <c r="D638" s="1">
        <v>43871</v>
      </c>
      <c r="E638" t="str">
        <f>"J1672046955"</f>
        <v>J1672046955</v>
      </c>
      <c r="F638" t="str">
        <f>"ACCT#0001706994"</f>
        <v>ACCT#0001706994</v>
      </c>
      <c r="G638" s="2">
        <v>-128</v>
      </c>
      <c r="H638" t="str">
        <f>"ACCT#0001706994"</f>
        <v>ACCT#0001706994</v>
      </c>
    </row>
    <row r="639" spans="1:9" x14ac:dyDescent="0.25">
      <c r="E639" t="str">
        <f>" J06811278A1"</f>
        <v xml:space="preserve"> J06811278A1</v>
      </c>
      <c r="F639" t="str">
        <f>"ACCT#0001706994"</f>
        <v>ACCT#0001706994</v>
      </c>
      <c r="G639" s="2">
        <v>6.78</v>
      </c>
      <c r="H639" t="str">
        <f>"ACCT#0001706994"</f>
        <v>ACCT#0001706994</v>
      </c>
    </row>
    <row r="640" spans="1:9" x14ac:dyDescent="0.25">
      <c r="E640" t="str">
        <f>"J07608024A3"</f>
        <v>J07608024A3</v>
      </c>
      <c r="F640" t="str">
        <f>"ACCT#0001706994"</f>
        <v>ACCT#0001706994</v>
      </c>
      <c r="G640" s="2">
        <v>305.97000000000003</v>
      </c>
      <c r="H640" t="str">
        <f>"ACCT#0001706994"</f>
        <v>ACCT#0001706994</v>
      </c>
    </row>
    <row r="641" spans="1:8" x14ac:dyDescent="0.25">
      <c r="E641" t="str">
        <f>"J11420811D2"</f>
        <v>J11420811D2</v>
      </c>
      <c r="F641" t="str">
        <f>"ACCT#0001706994"</f>
        <v>ACCT#0001706994</v>
      </c>
      <c r="G641" s="2">
        <v>241.6</v>
      </c>
      <c r="H641" t="str">
        <f>"ACCT#0001706994"</f>
        <v>ACCT#0001706994</v>
      </c>
    </row>
    <row r="642" spans="1:8" x14ac:dyDescent="0.25">
      <c r="E642" t="str">
        <f>"J1562180144"</f>
        <v>J1562180144</v>
      </c>
      <c r="F642" t="str">
        <f>"ACCT#0001706994"</f>
        <v>ACCT#0001706994</v>
      </c>
      <c r="G642" s="2">
        <v>306</v>
      </c>
      <c r="H642" t="str">
        <f>"ACCT#0001706994"</f>
        <v>ACCT#0001706994</v>
      </c>
    </row>
    <row r="643" spans="1:8" x14ac:dyDescent="0.25">
      <c r="A643" t="s">
        <v>168</v>
      </c>
      <c r="B643">
        <v>130786</v>
      </c>
      <c r="C643" s="2">
        <v>156.84</v>
      </c>
      <c r="D643" s="1">
        <v>43871</v>
      </c>
      <c r="E643" t="str">
        <f>"10755574"</f>
        <v>10755574</v>
      </c>
      <c r="F643" t="str">
        <f>"CUST#3324/PCT#4"</f>
        <v>CUST#3324/PCT#4</v>
      </c>
      <c r="G643" s="2">
        <v>156.84</v>
      </c>
      <c r="H643" t="str">
        <f>"CUST#3324/PCT#4"</f>
        <v>CUST#3324/PCT#4</v>
      </c>
    </row>
    <row r="644" spans="1:8" x14ac:dyDescent="0.25">
      <c r="A644" t="s">
        <v>169</v>
      </c>
      <c r="B644">
        <v>130964</v>
      </c>
      <c r="C644" s="2">
        <v>500</v>
      </c>
      <c r="D644" s="1">
        <v>43885</v>
      </c>
      <c r="E644" t="str">
        <f>"202002195445"</f>
        <v>202002195445</v>
      </c>
      <c r="F644" t="str">
        <f>"TRAINING 05/18/20"</f>
        <v>TRAINING 05/18/20</v>
      </c>
      <c r="G644" s="2">
        <v>500</v>
      </c>
      <c r="H644" t="str">
        <f>"TRAINING J. ASTON"</f>
        <v>TRAINING J. ASTON</v>
      </c>
    </row>
    <row r="645" spans="1:8" x14ac:dyDescent="0.25">
      <c r="E645" t="str">
        <f>""</f>
        <v/>
      </c>
      <c r="F645" t="str">
        <f>""</f>
        <v/>
      </c>
      <c r="H645" t="str">
        <f>"TRAINING J. SAVANNAH"</f>
        <v>TRAINING J. SAVANNAH</v>
      </c>
    </row>
    <row r="646" spans="1:8" x14ac:dyDescent="0.25">
      <c r="A646" t="s">
        <v>170</v>
      </c>
      <c r="B646">
        <v>2230</v>
      </c>
      <c r="C646" s="2">
        <v>650</v>
      </c>
      <c r="D646" s="1">
        <v>43886</v>
      </c>
      <c r="E646" t="str">
        <f>"202002195449"</f>
        <v>202002195449</v>
      </c>
      <c r="F646" t="str">
        <f>"BASCOM L HODGES JR"</f>
        <v>BASCOM L HODGES JR</v>
      </c>
      <c r="G646" s="2">
        <v>650</v>
      </c>
      <c r="H646" t="str">
        <f>""</f>
        <v/>
      </c>
    </row>
    <row r="647" spans="1:8" x14ac:dyDescent="0.25">
      <c r="A647" t="s">
        <v>171</v>
      </c>
      <c r="B647">
        <v>130787</v>
      </c>
      <c r="C647" s="2">
        <v>1050</v>
      </c>
      <c r="D647" s="1">
        <v>43871</v>
      </c>
      <c r="E647" t="str">
        <f>"202002034953"</f>
        <v>202002034953</v>
      </c>
      <c r="F647" t="str">
        <f>"20-20054"</f>
        <v>20-20054</v>
      </c>
      <c r="G647" s="2">
        <v>175</v>
      </c>
      <c r="H647" t="str">
        <f>"20-20054"</f>
        <v>20-20054</v>
      </c>
    </row>
    <row r="648" spans="1:8" x14ac:dyDescent="0.25">
      <c r="E648" t="str">
        <f>"202002034954"</f>
        <v>202002034954</v>
      </c>
      <c r="F648" t="str">
        <f>"18-19336"</f>
        <v>18-19336</v>
      </c>
      <c r="G648" s="2">
        <v>175</v>
      </c>
      <c r="H648" t="str">
        <f>"18-19336"</f>
        <v>18-19336</v>
      </c>
    </row>
    <row r="649" spans="1:8" x14ac:dyDescent="0.25">
      <c r="E649" t="str">
        <f>"202002034955"</f>
        <v>202002034955</v>
      </c>
      <c r="F649" t="str">
        <f>"19-19786"</f>
        <v>19-19786</v>
      </c>
      <c r="G649" s="2">
        <v>250</v>
      </c>
      <c r="H649" t="str">
        <f>"19-19786"</f>
        <v>19-19786</v>
      </c>
    </row>
    <row r="650" spans="1:8" x14ac:dyDescent="0.25">
      <c r="E650" t="str">
        <f>"202002045103"</f>
        <v>202002045103</v>
      </c>
      <c r="F650" t="str">
        <f>"57 080"</f>
        <v>57 080</v>
      </c>
      <c r="G650" s="2">
        <v>250</v>
      </c>
      <c r="H650" t="str">
        <f>"57 080"</f>
        <v>57 080</v>
      </c>
    </row>
    <row r="651" spans="1:8" x14ac:dyDescent="0.25">
      <c r="E651" t="str">
        <f>"202002045104"</f>
        <v>202002045104</v>
      </c>
      <c r="F651" t="str">
        <f>"19-19786"</f>
        <v>19-19786</v>
      </c>
      <c r="G651" s="2">
        <v>100</v>
      </c>
      <c r="H651" t="str">
        <f>"19-19786"</f>
        <v>19-19786</v>
      </c>
    </row>
    <row r="652" spans="1:8" x14ac:dyDescent="0.25">
      <c r="E652" t="str">
        <f>"202002045105"</f>
        <v>202002045105</v>
      </c>
      <c r="F652" t="str">
        <f>"03-8150"</f>
        <v>03-8150</v>
      </c>
      <c r="G652" s="2">
        <v>100</v>
      </c>
      <c r="H652" t="str">
        <f>"03-8150"</f>
        <v>03-8150</v>
      </c>
    </row>
    <row r="653" spans="1:8" x14ac:dyDescent="0.25">
      <c r="A653" t="s">
        <v>171</v>
      </c>
      <c r="B653">
        <v>130965</v>
      </c>
      <c r="C653" s="2">
        <v>650</v>
      </c>
      <c r="D653" s="1">
        <v>43885</v>
      </c>
      <c r="E653" t="str">
        <f>"202002195388"</f>
        <v>202002195388</v>
      </c>
      <c r="F653" t="str">
        <f>"19-19456"</f>
        <v>19-19456</v>
      </c>
      <c r="G653" s="2">
        <v>150</v>
      </c>
      <c r="H653" t="str">
        <f>"19-19456"</f>
        <v>19-19456</v>
      </c>
    </row>
    <row r="654" spans="1:8" x14ac:dyDescent="0.25">
      <c r="E654" t="str">
        <f>"202002195389"</f>
        <v>202002195389</v>
      </c>
      <c r="F654" t="str">
        <f>"20-20098"</f>
        <v>20-20098</v>
      </c>
      <c r="G654" s="2">
        <v>75</v>
      </c>
      <c r="H654" t="str">
        <f>"20-20098"</f>
        <v>20-20098</v>
      </c>
    </row>
    <row r="655" spans="1:8" x14ac:dyDescent="0.25">
      <c r="E655" t="str">
        <f>"202002195390"</f>
        <v>202002195390</v>
      </c>
      <c r="F655" t="str">
        <f>"20-20087"</f>
        <v>20-20087</v>
      </c>
      <c r="G655" s="2">
        <v>250</v>
      </c>
      <c r="H655" t="str">
        <f>"20-20087"</f>
        <v>20-20087</v>
      </c>
    </row>
    <row r="656" spans="1:8" x14ac:dyDescent="0.25">
      <c r="E656" t="str">
        <f>"202002195391"</f>
        <v>202002195391</v>
      </c>
      <c r="F656" t="str">
        <f>"19-19591"</f>
        <v>19-19591</v>
      </c>
      <c r="G656" s="2">
        <v>175</v>
      </c>
      <c r="H656" t="str">
        <f>"19-19591"</f>
        <v>19-19591</v>
      </c>
    </row>
    <row r="657" spans="1:8" x14ac:dyDescent="0.25">
      <c r="A657" t="s">
        <v>172</v>
      </c>
      <c r="B657">
        <v>2157</v>
      </c>
      <c r="C657" s="2">
        <v>1271.04</v>
      </c>
      <c r="D657" s="1">
        <v>43872</v>
      </c>
      <c r="E657" t="str">
        <f>"PCMA0042273"</f>
        <v>PCMA0042273</v>
      </c>
      <c r="F657" t="str">
        <f>"CUST#0129050/PCT#1"</f>
        <v>CUST#0129050/PCT#1</v>
      </c>
      <c r="G657" s="2">
        <v>-65.819999999999993</v>
      </c>
      <c r="H657" t="str">
        <f>"CUST#0129050/PCT#1"</f>
        <v>CUST#0129050/PCT#1</v>
      </c>
    </row>
    <row r="658" spans="1:8" x14ac:dyDescent="0.25">
      <c r="E658" t="str">
        <f>"PIM60015145"</f>
        <v>PIM60015145</v>
      </c>
      <c r="F658" t="str">
        <f>"CUST#0129200/PCT#4"</f>
        <v>CUST#0129200/PCT#4</v>
      </c>
      <c r="G658" s="2">
        <v>111.09</v>
      </c>
      <c r="H658" t="str">
        <f>"CUST#0129200/PCT#4"</f>
        <v>CUST#0129200/PCT#4</v>
      </c>
    </row>
    <row r="659" spans="1:8" x14ac:dyDescent="0.25">
      <c r="E659" t="str">
        <f>"PIMA0323948"</f>
        <v>PIMA0323948</v>
      </c>
      <c r="F659" t="str">
        <f>"CUST#0129150/PCT#3"</f>
        <v>CUST#0129150/PCT#3</v>
      </c>
      <c r="G659" s="2">
        <v>143.13999999999999</v>
      </c>
      <c r="H659" t="str">
        <f>"CUST#0129150/PCT#3"</f>
        <v>CUST#0129150/PCT#3</v>
      </c>
    </row>
    <row r="660" spans="1:8" x14ac:dyDescent="0.25">
      <c r="E660" t="str">
        <f>"PIMA0324598"</f>
        <v>PIMA0324598</v>
      </c>
      <c r="F660" t="str">
        <f>"CUST#0129050/PCT#1"</f>
        <v>CUST#0129050/PCT#1</v>
      </c>
      <c r="G660" s="2">
        <v>132.63</v>
      </c>
      <c r="H660" t="str">
        <f>"CUST#0129050/PCT#1"</f>
        <v>CUST#0129050/PCT#1</v>
      </c>
    </row>
    <row r="661" spans="1:8" x14ac:dyDescent="0.25">
      <c r="E661" t="str">
        <f>"WIMA0130275"</f>
        <v>WIMA0130275</v>
      </c>
      <c r="F661" t="str">
        <f>"CUST#0129200/PCT#4"</f>
        <v>CUST#0129200/PCT#4</v>
      </c>
      <c r="G661" s="2">
        <v>950</v>
      </c>
      <c r="H661" t="str">
        <f>"CUST#0129200/PCT#4"</f>
        <v>CUST#0129200/PCT#4</v>
      </c>
    </row>
    <row r="662" spans="1:8" x14ac:dyDescent="0.25">
      <c r="A662" t="s">
        <v>172</v>
      </c>
      <c r="B662">
        <v>2229</v>
      </c>
      <c r="C662" s="2">
        <v>356.99</v>
      </c>
      <c r="D662" s="1">
        <v>43886</v>
      </c>
      <c r="E662" t="str">
        <f>"PIMA0325157"</f>
        <v>PIMA0325157</v>
      </c>
      <c r="F662" t="str">
        <f>"CUST#0129050/PCT#1"</f>
        <v>CUST#0129050/PCT#1</v>
      </c>
      <c r="G662" s="2">
        <v>122.83</v>
      </c>
      <c r="H662" t="str">
        <f>"CUST#0129050/PCT#1"</f>
        <v>CUST#0129050/PCT#1</v>
      </c>
    </row>
    <row r="663" spans="1:8" x14ac:dyDescent="0.25">
      <c r="E663" t="str">
        <f>"PIMA0325158"</f>
        <v>PIMA0325158</v>
      </c>
      <c r="F663" t="str">
        <f>"CUST#0129050/PCT#1"</f>
        <v>CUST#0129050/PCT#1</v>
      </c>
      <c r="G663" s="2">
        <v>145.76</v>
      </c>
      <c r="H663" t="str">
        <f>"CUST#0129050/PCT#1"</f>
        <v>CUST#0129050/PCT#1</v>
      </c>
    </row>
    <row r="664" spans="1:8" x14ac:dyDescent="0.25">
      <c r="E664" t="str">
        <f>"PIMA0325159"</f>
        <v>PIMA0325159</v>
      </c>
      <c r="F664" t="str">
        <f>"CUST#0129050/PCT#1"</f>
        <v>CUST#0129050/PCT#1</v>
      </c>
      <c r="G664" s="2">
        <v>88.4</v>
      </c>
      <c r="H664" t="str">
        <f>"CUST#0129050/PCT#1"</f>
        <v>CUST#0129050/PCT#1</v>
      </c>
    </row>
    <row r="665" spans="1:8" x14ac:dyDescent="0.25">
      <c r="A665" t="s">
        <v>173</v>
      </c>
      <c r="B665">
        <v>130788</v>
      </c>
      <c r="C665" s="2">
        <v>1951.25</v>
      </c>
      <c r="D665" s="1">
        <v>43871</v>
      </c>
      <c r="E665" t="str">
        <f>"202002055154"</f>
        <v>202002055154</v>
      </c>
      <c r="F665" t="str">
        <f>"acct# 0130"</f>
        <v>acct# 0130</v>
      </c>
      <c r="G665" s="2">
        <v>1951.25</v>
      </c>
      <c r="H665" t="str">
        <f>"inv# 9533623"</f>
        <v>inv# 9533623</v>
      </c>
    </row>
    <row r="666" spans="1:8" x14ac:dyDescent="0.25">
      <c r="E666" t="str">
        <f>""</f>
        <v/>
      </c>
      <c r="F666" t="str">
        <f>""</f>
        <v/>
      </c>
      <c r="H666" t="str">
        <f>"inv# 3020882"</f>
        <v>inv# 3020882</v>
      </c>
    </row>
    <row r="667" spans="1:8" x14ac:dyDescent="0.25">
      <c r="E667" t="str">
        <f>""</f>
        <v/>
      </c>
      <c r="F667" t="str">
        <f>""</f>
        <v/>
      </c>
      <c r="H667" t="str">
        <f>"inv# 5533820"</f>
        <v>inv# 5533820</v>
      </c>
    </row>
    <row r="668" spans="1:8" x14ac:dyDescent="0.25">
      <c r="E668" t="str">
        <f>""</f>
        <v/>
      </c>
      <c r="F668" t="str">
        <f>""</f>
        <v/>
      </c>
      <c r="H668" t="str">
        <f>"inv# 8450771"</f>
        <v>inv# 8450771</v>
      </c>
    </row>
    <row r="669" spans="1:8" x14ac:dyDescent="0.25">
      <c r="E669" t="str">
        <f>""</f>
        <v/>
      </c>
      <c r="F669" t="str">
        <f>""</f>
        <v/>
      </c>
      <c r="H669" t="str">
        <f>"inv# 8632780"</f>
        <v>inv# 8632780</v>
      </c>
    </row>
    <row r="670" spans="1:8" x14ac:dyDescent="0.25">
      <c r="E670" t="str">
        <f>""</f>
        <v/>
      </c>
      <c r="F670" t="str">
        <f>""</f>
        <v/>
      </c>
      <c r="H670" t="str">
        <f>"inv# 5143159"</f>
        <v>inv# 5143159</v>
      </c>
    </row>
    <row r="671" spans="1:8" x14ac:dyDescent="0.25">
      <c r="E671" t="str">
        <f>""</f>
        <v/>
      </c>
      <c r="F671" t="str">
        <f>""</f>
        <v/>
      </c>
      <c r="H671" t="str">
        <f>"inv# 4014436"</f>
        <v>inv# 4014436</v>
      </c>
    </row>
    <row r="672" spans="1:8" x14ac:dyDescent="0.25">
      <c r="E672" t="str">
        <f>""</f>
        <v/>
      </c>
      <c r="F672" t="str">
        <f>""</f>
        <v/>
      </c>
      <c r="H672" t="str">
        <f>"inv# 1091614"</f>
        <v>inv# 1091614</v>
      </c>
    </row>
    <row r="673" spans="1:8" x14ac:dyDescent="0.25">
      <c r="E673" t="str">
        <f>""</f>
        <v/>
      </c>
      <c r="F673" t="str">
        <f>""</f>
        <v/>
      </c>
      <c r="H673" t="str">
        <f>"inv# 1514217"</f>
        <v>inv# 1514217</v>
      </c>
    </row>
    <row r="674" spans="1:8" x14ac:dyDescent="0.25">
      <c r="E674" t="str">
        <f>""</f>
        <v/>
      </c>
      <c r="F674" t="str">
        <f>""</f>
        <v/>
      </c>
      <c r="H674" t="str">
        <f>"inv# 1010486"</f>
        <v>inv# 1010486</v>
      </c>
    </row>
    <row r="675" spans="1:8" x14ac:dyDescent="0.25">
      <c r="E675" t="str">
        <f>""</f>
        <v/>
      </c>
      <c r="F675" t="str">
        <f>""</f>
        <v/>
      </c>
      <c r="H675" t="str">
        <f>"inv# 1091616"</f>
        <v>inv# 1091616</v>
      </c>
    </row>
    <row r="676" spans="1:8" x14ac:dyDescent="0.25">
      <c r="E676" t="str">
        <f>""</f>
        <v/>
      </c>
      <c r="F676" t="str">
        <f>""</f>
        <v/>
      </c>
      <c r="H676" t="str">
        <f>"inv# 1091615"</f>
        <v>inv# 1091615</v>
      </c>
    </row>
    <row r="677" spans="1:8" x14ac:dyDescent="0.25">
      <c r="E677" t="str">
        <f>""</f>
        <v/>
      </c>
      <c r="F677" t="str">
        <f>""</f>
        <v/>
      </c>
      <c r="H677" t="str">
        <f>"inv# 1091616"</f>
        <v>inv# 1091616</v>
      </c>
    </row>
    <row r="678" spans="1:8" x14ac:dyDescent="0.25">
      <c r="E678" t="str">
        <f>""</f>
        <v/>
      </c>
      <c r="F678" t="str">
        <f>""</f>
        <v/>
      </c>
      <c r="H678" t="str">
        <f>"inv# 8082231"</f>
        <v>inv# 8082231</v>
      </c>
    </row>
    <row r="679" spans="1:8" x14ac:dyDescent="0.25">
      <c r="E679" t="str">
        <f>""</f>
        <v/>
      </c>
      <c r="F679" t="str">
        <f>""</f>
        <v/>
      </c>
      <c r="H679" t="str">
        <f>"inv# 5105037"</f>
        <v>inv# 5105037</v>
      </c>
    </row>
    <row r="680" spans="1:8" x14ac:dyDescent="0.25">
      <c r="E680" t="str">
        <f>""</f>
        <v/>
      </c>
      <c r="F680" t="str">
        <f>""</f>
        <v/>
      </c>
      <c r="H680" t="str">
        <f>"inv# 1090582"</f>
        <v>inv# 1090582</v>
      </c>
    </row>
    <row r="681" spans="1:8" x14ac:dyDescent="0.25">
      <c r="E681" t="str">
        <f>""</f>
        <v/>
      </c>
      <c r="F681" t="str">
        <f>""</f>
        <v/>
      </c>
      <c r="H681" t="str">
        <f>"inv# 972785"</f>
        <v>inv# 972785</v>
      </c>
    </row>
    <row r="682" spans="1:8" x14ac:dyDescent="0.25">
      <c r="E682" t="str">
        <f>""</f>
        <v/>
      </c>
      <c r="F682" t="str">
        <f>""</f>
        <v/>
      </c>
      <c r="H682" t="str">
        <f>"inv# 540909"</f>
        <v>inv# 540909</v>
      </c>
    </row>
    <row r="683" spans="1:8" x14ac:dyDescent="0.25">
      <c r="E683" t="str">
        <f>""</f>
        <v/>
      </c>
      <c r="F683" t="str">
        <f>""</f>
        <v/>
      </c>
      <c r="H683" t="str">
        <f>"inv# 5534367"</f>
        <v>inv# 5534367</v>
      </c>
    </row>
    <row r="684" spans="1:8" x14ac:dyDescent="0.25">
      <c r="E684" t="str">
        <f>""</f>
        <v/>
      </c>
      <c r="F684" t="str">
        <f>""</f>
        <v/>
      </c>
      <c r="H684" t="str">
        <f>"inv# 9020379"</f>
        <v>inv# 9020379</v>
      </c>
    </row>
    <row r="685" spans="1:8" x14ac:dyDescent="0.25">
      <c r="E685" t="str">
        <f>""</f>
        <v/>
      </c>
      <c r="F685" t="str">
        <f>""</f>
        <v/>
      </c>
      <c r="H685" t="str">
        <f>"inv# 5014313"</f>
        <v>inv# 5014313</v>
      </c>
    </row>
    <row r="686" spans="1:8" x14ac:dyDescent="0.25">
      <c r="E686" t="str">
        <f>""</f>
        <v/>
      </c>
      <c r="F686" t="str">
        <f>""</f>
        <v/>
      </c>
      <c r="H686" t="str">
        <f>"inv# 1021071"</f>
        <v>inv# 1021071</v>
      </c>
    </row>
    <row r="687" spans="1:8" x14ac:dyDescent="0.25">
      <c r="E687" t="str">
        <f>""</f>
        <v/>
      </c>
      <c r="F687" t="str">
        <f>""</f>
        <v/>
      </c>
      <c r="H687" t="str">
        <f>"inv# 2510140"</f>
        <v>inv# 2510140</v>
      </c>
    </row>
    <row r="688" spans="1:8" x14ac:dyDescent="0.25">
      <c r="A688" t="s">
        <v>174</v>
      </c>
      <c r="B688">
        <v>130966</v>
      </c>
      <c r="C688" s="2">
        <v>215</v>
      </c>
      <c r="D688" s="1">
        <v>43885</v>
      </c>
      <c r="E688" t="str">
        <f>"0551416683"</f>
        <v>0551416683</v>
      </c>
      <c r="F688" t="str">
        <f>"CUST#212645/PCT#1"</f>
        <v>CUST#212645/PCT#1</v>
      </c>
      <c r="G688" s="2">
        <v>215</v>
      </c>
      <c r="H688" t="str">
        <f>"CUST#212645/PCT#1"</f>
        <v>CUST#212645/PCT#1</v>
      </c>
    </row>
    <row r="689" spans="1:8" x14ac:dyDescent="0.25">
      <c r="A689" t="s">
        <v>175</v>
      </c>
      <c r="B689">
        <v>130967</v>
      </c>
      <c r="C689" s="2">
        <v>1448</v>
      </c>
      <c r="D689" s="1">
        <v>43885</v>
      </c>
      <c r="E689" t="str">
        <f>"2535"</f>
        <v>2535</v>
      </c>
      <c r="F689" t="str">
        <f>"VACCINATIONS"</f>
        <v>VACCINATIONS</v>
      </c>
      <c r="G689" s="2">
        <v>1448</v>
      </c>
      <c r="H689" t="str">
        <f>"VACCINATIONS"</f>
        <v>VACCINATIONS</v>
      </c>
    </row>
    <row r="690" spans="1:8" x14ac:dyDescent="0.25">
      <c r="A690" t="s">
        <v>176</v>
      </c>
      <c r="B690">
        <v>130789</v>
      </c>
      <c r="C690" s="2">
        <v>465</v>
      </c>
      <c r="D690" s="1">
        <v>43871</v>
      </c>
      <c r="E690" t="str">
        <f>"SL2020-01_00004"</f>
        <v>SL2020-01_00004</v>
      </c>
      <c r="F690" t="str">
        <f>"SHELTERLUV SOFTWARE"</f>
        <v>SHELTERLUV SOFTWARE</v>
      </c>
      <c r="G690" s="2">
        <v>465</v>
      </c>
      <c r="H690" t="str">
        <f>"SHELTERLUV SOFTWARE"</f>
        <v>SHELTERLUV SOFTWARE</v>
      </c>
    </row>
    <row r="691" spans="1:8" x14ac:dyDescent="0.25">
      <c r="A691" t="s">
        <v>177</v>
      </c>
      <c r="B691">
        <v>130790</v>
      </c>
      <c r="C691" s="2">
        <v>173.22</v>
      </c>
      <c r="D691" s="1">
        <v>43871</v>
      </c>
      <c r="E691" t="str">
        <f>"14213"</f>
        <v>14213</v>
      </c>
      <c r="F691" t="str">
        <f>"INV 14213"</f>
        <v>INV 14213</v>
      </c>
      <c r="G691" s="2">
        <v>173.22</v>
      </c>
      <c r="H691" t="str">
        <f>"INV 14213"</f>
        <v>INV 14213</v>
      </c>
    </row>
    <row r="692" spans="1:8" x14ac:dyDescent="0.25">
      <c r="A692" t="s">
        <v>178</v>
      </c>
      <c r="B692">
        <v>2131</v>
      </c>
      <c r="C692" s="2">
        <v>535.62</v>
      </c>
      <c r="D692" s="1">
        <v>43872</v>
      </c>
      <c r="E692" t="str">
        <f>"202619"</f>
        <v>202619</v>
      </c>
      <c r="F692" t="str">
        <f>"WIRE BRAID/PCT#1"</f>
        <v>WIRE BRAID/PCT#1</v>
      </c>
      <c r="G692" s="2">
        <v>535.62</v>
      </c>
      <c r="H692" t="str">
        <f>"WIRE BRAID/PCT#1"</f>
        <v>WIRE BRAID/PCT#1</v>
      </c>
    </row>
    <row r="693" spans="1:8" x14ac:dyDescent="0.25">
      <c r="A693" t="s">
        <v>178</v>
      </c>
      <c r="B693">
        <v>2200</v>
      </c>
      <c r="C693" s="2">
        <v>87.23</v>
      </c>
      <c r="D693" s="1">
        <v>43886</v>
      </c>
      <c r="E693" t="str">
        <f>"202771"</f>
        <v>202771</v>
      </c>
      <c r="F693" t="str">
        <f>"WIRE BRAID HOSE/ELBOW/PCT#3"</f>
        <v>WIRE BRAID HOSE/ELBOW/PCT#3</v>
      </c>
      <c r="G693" s="2">
        <v>28</v>
      </c>
      <c r="H693" t="str">
        <f>"WIRE BRAID HOSE/ELBOW/PCT#3"</f>
        <v>WIRE BRAID HOSE/ELBOW/PCT#3</v>
      </c>
    </row>
    <row r="694" spans="1:8" x14ac:dyDescent="0.25">
      <c r="E694" t="str">
        <f>"202819"</f>
        <v>202819</v>
      </c>
      <c r="F694" t="str">
        <f>"AIR BRAKE/PCT#3"</f>
        <v>AIR BRAKE/PCT#3</v>
      </c>
      <c r="G694" s="2">
        <v>59.23</v>
      </c>
      <c r="H694" t="str">
        <f>"AIR BRAKE/PCT#3"</f>
        <v>AIR BRAKE/PCT#3</v>
      </c>
    </row>
    <row r="695" spans="1:8" x14ac:dyDescent="0.25">
      <c r="A695" t="s">
        <v>179</v>
      </c>
      <c r="B695">
        <v>2112</v>
      </c>
      <c r="C695" s="2">
        <v>721.2</v>
      </c>
      <c r="D695" s="1">
        <v>43872</v>
      </c>
      <c r="E695" t="str">
        <f>"W3417500"</f>
        <v>W3417500</v>
      </c>
      <c r="F695" t="str">
        <f>"INV W3417500"</f>
        <v>INV W3417500</v>
      </c>
      <c r="G695" s="2">
        <v>187.2</v>
      </c>
      <c r="H695" t="str">
        <f>"INV W3417500"</f>
        <v>INV W3417500</v>
      </c>
    </row>
    <row r="696" spans="1:8" x14ac:dyDescent="0.25">
      <c r="E696" t="str">
        <f>"W3420600"</f>
        <v>W3420600</v>
      </c>
      <c r="F696" t="str">
        <f>"INV W3420600"</f>
        <v>INV W3420600</v>
      </c>
      <c r="G696" s="2">
        <v>534</v>
      </c>
      <c r="H696" t="str">
        <f>"INV W3420600"</f>
        <v>INV W3420600</v>
      </c>
    </row>
    <row r="697" spans="1:8" x14ac:dyDescent="0.25">
      <c r="A697" t="s">
        <v>179</v>
      </c>
      <c r="B697">
        <v>2184</v>
      </c>
      <c r="C697" s="2">
        <v>93.6</v>
      </c>
      <c r="D697" s="1">
        <v>43886</v>
      </c>
      <c r="E697" t="str">
        <f>"W3417501"</f>
        <v>W3417501</v>
      </c>
      <c r="F697" t="str">
        <f>"INV W3417501"</f>
        <v>INV W3417501</v>
      </c>
      <c r="G697" s="2">
        <v>93.6</v>
      </c>
      <c r="H697" t="str">
        <f>"INV W3417501"</f>
        <v>INV W3417501</v>
      </c>
    </row>
    <row r="698" spans="1:8" x14ac:dyDescent="0.25">
      <c r="A698" t="s">
        <v>180</v>
      </c>
      <c r="B698">
        <v>2205</v>
      </c>
      <c r="C698" s="2">
        <v>260</v>
      </c>
      <c r="D698" s="1">
        <v>43886</v>
      </c>
      <c r="E698" t="str">
        <f>"3390807"</f>
        <v>3390807</v>
      </c>
      <c r="F698" t="str">
        <f>"ORDER 3390807"</f>
        <v>ORDER 3390807</v>
      </c>
      <c r="G698" s="2">
        <v>260</v>
      </c>
      <c r="H698" t="str">
        <f>"ORDER 3390807"</f>
        <v>ORDER 3390807</v>
      </c>
    </row>
    <row r="699" spans="1:8" x14ac:dyDescent="0.25">
      <c r="A699" t="s">
        <v>181</v>
      </c>
      <c r="B699">
        <v>2165</v>
      </c>
      <c r="C699" s="2">
        <v>2624</v>
      </c>
      <c r="D699" s="1">
        <v>43872</v>
      </c>
      <c r="E699" t="str">
        <f>"69194"</f>
        <v>69194</v>
      </c>
      <c r="F699" t="str">
        <f>"REGISTRATION FEE 2020 IHS CUST"</f>
        <v>REGISTRATION FEE 2020 IHS CUST</v>
      </c>
      <c r="G699" s="2">
        <v>194</v>
      </c>
      <c r="H699" t="str">
        <f>"REGISTRATION FEE 2020 IHS CUST"</f>
        <v>REGISTRATION FEE 2020 IHS CUST</v>
      </c>
    </row>
    <row r="700" spans="1:8" x14ac:dyDescent="0.25">
      <c r="E700" t="str">
        <f>"69224"</f>
        <v>69224</v>
      </c>
      <c r="F700" t="str">
        <f>"PROFESSIONAL SVCS-MARCH 2020"</f>
        <v>PROFESSIONAL SVCS-MARCH 2020</v>
      </c>
      <c r="G700" s="2">
        <v>2430</v>
      </c>
      <c r="H700" t="str">
        <f>"PROFESSIONAL SVCS-MARCH 2020"</f>
        <v>PROFESSIONAL SVCS-MARCH 2020</v>
      </c>
    </row>
    <row r="701" spans="1:8" x14ac:dyDescent="0.25">
      <c r="E701" t="str">
        <f>""</f>
        <v/>
      </c>
      <c r="F701" t="str">
        <f>""</f>
        <v/>
      </c>
      <c r="H701" t="str">
        <f>"PROFESSIONAL SVCS-MARCH 2020"</f>
        <v>PROFESSIONAL SVCS-MARCH 2020</v>
      </c>
    </row>
    <row r="702" spans="1:8" x14ac:dyDescent="0.25">
      <c r="A702" t="s">
        <v>182</v>
      </c>
      <c r="B702">
        <v>130968</v>
      </c>
      <c r="C702" s="2">
        <v>132.69999999999999</v>
      </c>
      <c r="D702" s="1">
        <v>43885</v>
      </c>
      <c r="E702" t="str">
        <f>"3018205785"</f>
        <v>3018205785</v>
      </c>
      <c r="F702" t="str">
        <f>"CUST#13717/REF#256266281/PCT#3"</f>
        <v>CUST#13717/REF#256266281/PCT#3</v>
      </c>
      <c r="G702" s="2">
        <v>132.69999999999999</v>
      </c>
      <c r="H702" t="str">
        <f>"CUST#13717/REF#256266281/PCT#3"</f>
        <v>CUST#13717/REF#256266281/PCT#3</v>
      </c>
    </row>
    <row r="703" spans="1:8" x14ac:dyDescent="0.25">
      <c r="A703" t="s">
        <v>183</v>
      </c>
      <c r="B703">
        <v>130791</v>
      </c>
      <c r="C703" s="2">
        <v>79.03</v>
      </c>
      <c r="D703" s="1">
        <v>43871</v>
      </c>
      <c r="E703" t="str">
        <f>"CJNG257"</f>
        <v>CJNG257</v>
      </c>
      <c r="F703" t="str">
        <f>"CUST ID:AX773/COUNTY CLERK"</f>
        <v>CUST ID:AX773/COUNTY CLERK</v>
      </c>
      <c r="G703" s="2">
        <v>79.03</v>
      </c>
      <c r="H703" t="str">
        <f>"CUST ID:AX773/COUNTY CLERK"</f>
        <v>CUST ID:AX773/COUNTY CLERK</v>
      </c>
    </row>
    <row r="704" spans="1:8" x14ac:dyDescent="0.25">
      <c r="A704" t="s">
        <v>184</v>
      </c>
      <c r="B704">
        <v>2176</v>
      </c>
      <c r="C704" s="2">
        <v>650</v>
      </c>
      <c r="D704" s="1">
        <v>43872</v>
      </c>
      <c r="E704" t="str">
        <f>"202002034981"</f>
        <v>202002034981</v>
      </c>
      <c r="F704" t="str">
        <f>"20-20049"</f>
        <v>20-20049</v>
      </c>
      <c r="G704" s="2">
        <v>100</v>
      </c>
      <c r="H704" t="str">
        <f>"20-20049"</f>
        <v>20-20049</v>
      </c>
    </row>
    <row r="705" spans="1:9" x14ac:dyDescent="0.25">
      <c r="E705" t="str">
        <f>"202002034982"</f>
        <v>202002034982</v>
      </c>
      <c r="F705" t="str">
        <f>"20-20054"</f>
        <v>20-20054</v>
      </c>
      <c r="G705" s="2">
        <v>100</v>
      </c>
      <c r="H705" t="str">
        <f>"20-20054"</f>
        <v>20-20054</v>
      </c>
    </row>
    <row r="706" spans="1:9" x14ac:dyDescent="0.25">
      <c r="E706" t="str">
        <f>"202002045125"</f>
        <v>202002045125</v>
      </c>
      <c r="F706" t="str">
        <f>"56 873"</f>
        <v>56 873</v>
      </c>
      <c r="G706" s="2">
        <v>250</v>
      </c>
      <c r="H706" t="str">
        <f>"56 873"</f>
        <v>56 873</v>
      </c>
    </row>
    <row r="707" spans="1:9" x14ac:dyDescent="0.25">
      <c r="E707" t="str">
        <f>"202002055179"</f>
        <v>202002055179</v>
      </c>
      <c r="F707" t="str">
        <f>"16-17913"</f>
        <v>16-17913</v>
      </c>
      <c r="G707" s="2">
        <v>100</v>
      </c>
      <c r="H707" t="str">
        <f>"16-17913"</f>
        <v>16-17913</v>
      </c>
    </row>
    <row r="708" spans="1:9" x14ac:dyDescent="0.25">
      <c r="E708" t="str">
        <f>"202002055180"</f>
        <v>202002055180</v>
      </c>
      <c r="F708" t="str">
        <f>"19-19465"</f>
        <v>19-19465</v>
      </c>
      <c r="G708" s="2">
        <v>100</v>
      </c>
      <c r="H708" t="str">
        <f>"19-19465"</f>
        <v>19-19465</v>
      </c>
    </row>
    <row r="709" spans="1:9" x14ac:dyDescent="0.25">
      <c r="A709" t="s">
        <v>184</v>
      </c>
      <c r="B709">
        <v>2246</v>
      </c>
      <c r="C709" s="2">
        <v>1310.87</v>
      </c>
      <c r="D709" s="1">
        <v>43886</v>
      </c>
      <c r="E709" t="s">
        <v>165</v>
      </c>
      <c r="F709" t="s">
        <v>185</v>
      </c>
      <c r="G709" s="2" t="str">
        <f>"AD LITEM FEE"</f>
        <v>AD LITEM FEE</v>
      </c>
      <c r="H709" t="str">
        <f>"995-4110"</f>
        <v>995-4110</v>
      </c>
      <c r="I709" t="str">
        <f>""</f>
        <v/>
      </c>
    </row>
    <row r="710" spans="1:9" x14ac:dyDescent="0.25">
      <c r="E710" t="str">
        <f>"11862"</f>
        <v>11862</v>
      </c>
      <c r="F710" t="str">
        <f>"AD LITEM FEE"</f>
        <v>AD LITEM FEE</v>
      </c>
      <c r="G710" s="2">
        <v>35.869999999999997</v>
      </c>
      <c r="H710" t="str">
        <f>"AD LITEM FEE"</f>
        <v>AD LITEM FEE</v>
      </c>
    </row>
    <row r="711" spans="1:9" x14ac:dyDescent="0.25">
      <c r="E711" t="str">
        <f>"12197"</f>
        <v>12197</v>
      </c>
      <c r="F711" t="str">
        <f>"AD LITEM FEE"</f>
        <v>AD LITEM FEE</v>
      </c>
      <c r="G711" s="2">
        <v>300</v>
      </c>
      <c r="H711" t="str">
        <f>"AD LITEM FEE"</f>
        <v>AD LITEM FEE</v>
      </c>
    </row>
    <row r="712" spans="1:9" x14ac:dyDescent="0.25">
      <c r="E712" t="str">
        <f>"12561"</f>
        <v>12561</v>
      </c>
      <c r="F712" t="str">
        <f>"AD LITEM"</f>
        <v>AD LITEM</v>
      </c>
      <c r="G712" s="2">
        <v>150</v>
      </c>
      <c r="H712" t="str">
        <f>"AD LITEM"</f>
        <v>AD LITEM</v>
      </c>
    </row>
    <row r="713" spans="1:9" x14ac:dyDescent="0.25">
      <c r="E713" t="str">
        <f>"202002115257"</f>
        <v>202002115257</v>
      </c>
      <c r="F713" t="str">
        <f>"57 222  57 223"</f>
        <v>57 222  57 223</v>
      </c>
      <c r="G713" s="2">
        <v>375</v>
      </c>
      <c r="H713" t="str">
        <f>"57 222  57 223"</f>
        <v>57 222  57 223</v>
      </c>
    </row>
    <row r="714" spans="1:9" x14ac:dyDescent="0.25">
      <c r="E714" t="str">
        <f>"202002195409"</f>
        <v>202002195409</v>
      </c>
      <c r="F714" t="str">
        <f>"N/A"</f>
        <v>N/A</v>
      </c>
      <c r="G714" s="2">
        <v>100</v>
      </c>
      <c r="H714" t="str">
        <f>"N/A"</f>
        <v>N/A</v>
      </c>
    </row>
    <row r="715" spans="1:9" x14ac:dyDescent="0.25">
      <c r="E715" t="str">
        <f>"202002195419"</f>
        <v>202002195419</v>
      </c>
      <c r="F715" t="str">
        <f>"20-20110"</f>
        <v>20-20110</v>
      </c>
      <c r="G715" s="2">
        <v>100</v>
      </c>
      <c r="H715" t="str">
        <f>"20-20110"</f>
        <v>20-20110</v>
      </c>
    </row>
    <row r="716" spans="1:9" x14ac:dyDescent="0.25">
      <c r="E716" t="str">
        <f>"202002195420"</f>
        <v>202002195420</v>
      </c>
      <c r="F716" t="str">
        <f>"18-19190"</f>
        <v>18-19190</v>
      </c>
      <c r="G716" s="2">
        <v>100</v>
      </c>
      <c r="H716" t="str">
        <f>"18-19190"</f>
        <v>18-19190</v>
      </c>
    </row>
    <row r="717" spans="1:9" x14ac:dyDescent="0.25">
      <c r="A717" t="s">
        <v>186</v>
      </c>
      <c r="B717">
        <v>130969</v>
      </c>
      <c r="C717" s="2">
        <v>74081.350000000006</v>
      </c>
      <c r="D717" s="1">
        <v>43885</v>
      </c>
      <c r="E717" t="str">
        <f>"1197"</f>
        <v>1197</v>
      </c>
      <c r="F717" t="str">
        <f>"INV 1197"</f>
        <v>INV 1197</v>
      </c>
      <c r="G717" s="2">
        <v>8571.9500000000007</v>
      </c>
      <c r="H717" t="str">
        <f>"INV 1197"</f>
        <v>INV 1197</v>
      </c>
    </row>
    <row r="718" spans="1:9" x14ac:dyDescent="0.25">
      <c r="E718" t="str">
        <f>"1198"</f>
        <v>1198</v>
      </c>
      <c r="F718" t="str">
        <f>"INV 1198"</f>
        <v>INV 1198</v>
      </c>
      <c r="G718" s="2">
        <v>65434.400000000001</v>
      </c>
      <c r="H718" t="str">
        <f>"INV 1198"</f>
        <v>INV 1198</v>
      </c>
    </row>
    <row r="719" spans="1:9" x14ac:dyDescent="0.25">
      <c r="E719" t="str">
        <f>"1205"</f>
        <v>1205</v>
      </c>
      <c r="F719" t="str">
        <f>"INV 1205 / UNIT 1663"</f>
        <v>INV 1205 / UNIT 1663</v>
      </c>
      <c r="G719" s="2">
        <v>75</v>
      </c>
      <c r="H719" t="str">
        <f>"INV 1205"</f>
        <v>INV 1205</v>
      </c>
    </row>
    <row r="720" spans="1:9" x14ac:dyDescent="0.25">
      <c r="A720" t="s">
        <v>187</v>
      </c>
      <c r="B720">
        <v>130792</v>
      </c>
      <c r="C720" s="2">
        <v>2911.51</v>
      </c>
      <c r="D720" s="1">
        <v>43871</v>
      </c>
      <c r="E720" t="str">
        <f>"P00433  P00485"</f>
        <v>P00433  P00485</v>
      </c>
      <c r="F720" t="str">
        <f>"ACCT#8850283308/PCT#2"</f>
        <v>ACCT#8850283308/PCT#2</v>
      </c>
      <c r="G720" s="2">
        <v>779.83</v>
      </c>
      <c r="H720" t="str">
        <f>"ACCT#8850283308/PCT#2"</f>
        <v>ACCT#8850283308/PCT#2</v>
      </c>
    </row>
    <row r="721" spans="1:9" x14ac:dyDescent="0.25">
      <c r="E721" t="str">
        <f>"W07975"</f>
        <v>W07975</v>
      </c>
      <c r="F721" t="str">
        <f>"ACCT#8850283308/PCT#1"</f>
        <v>ACCT#8850283308/PCT#1</v>
      </c>
      <c r="G721" s="2">
        <v>2131.6799999999998</v>
      </c>
      <c r="H721" t="str">
        <f>"ACCT#8850283308/PCT#1"</f>
        <v>ACCT#8850283308/PCT#1</v>
      </c>
    </row>
    <row r="722" spans="1:9" x14ac:dyDescent="0.25">
      <c r="A722" t="s">
        <v>188</v>
      </c>
      <c r="B722">
        <v>130793</v>
      </c>
      <c r="C722" s="2">
        <v>90.85</v>
      </c>
      <c r="D722" s="1">
        <v>43871</v>
      </c>
      <c r="E722" t="str">
        <f>"202001284829"</f>
        <v>202001284829</v>
      </c>
      <c r="F722" t="str">
        <f>"MILEAGE REIMBURSEMENT"</f>
        <v>MILEAGE REIMBURSEMENT</v>
      </c>
      <c r="G722" s="2">
        <v>90.85</v>
      </c>
      <c r="H722" t="str">
        <f>"MILEAGE REIMBURSEMENT"</f>
        <v>MILEAGE REIMBURSEMENT</v>
      </c>
    </row>
    <row r="723" spans="1:9" x14ac:dyDescent="0.25">
      <c r="A723" t="s">
        <v>189</v>
      </c>
      <c r="B723">
        <v>130970</v>
      </c>
      <c r="C723" s="2">
        <v>85</v>
      </c>
      <c r="D723" s="1">
        <v>43885</v>
      </c>
      <c r="E723" t="str">
        <f>"202002135325"</f>
        <v>202002135325</v>
      </c>
      <c r="F723" t="str">
        <f>"FERAL HOG"</f>
        <v>FERAL HOG</v>
      </c>
      <c r="G723" s="2">
        <v>85</v>
      </c>
      <c r="H723" t="str">
        <f>"FERAL HOG"</f>
        <v>FERAL HOG</v>
      </c>
    </row>
    <row r="724" spans="1:9" x14ac:dyDescent="0.25">
      <c r="A724" t="s">
        <v>190</v>
      </c>
      <c r="B724">
        <v>130794</v>
      </c>
      <c r="C724" s="2">
        <v>198.95</v>
      </c>
      <c r="D724" s="1">
        <v>43871</v>
      </c>
      <c r="E724" t="str">
        <f>"202002055156"</f>
        <v>202002055156</v>
      </c>
      <c r="F724" t="str">
        <f>"REIMBURSE MILEAGE"</f>
        <v>REIMBURSE MILEAGE</v>
      </c>
      <c r="G724" s="2">
        <v>198.95</v>
      </c>
      <c r="H724" t="str">
        <f>"REIMBURSE MILEAGE"</f>
        <v>REIMBURSE MILEAGE</v>
      </c>
    </row>
    <row r="725" spans="1:9" x14ac:dyDescent="0.25">
      <c r="A725" t="s">
        <v>191</v>
      </c>
      <c r="B725">
        <v>130971</v>
      </c>
      <c r="C725" s="2">
        <v>90</v>
      </c>
      <c r="D725" s="1">
        <v>43885</v>
      </c>
      <c r="E725" t="str">
        <f>"202002195452"</f>
        <v>202002195452</v>
      </c>
      <c r="F725" t="str">
        <f>"PER DIEM"</f>
        <v>PER DIEM</v>
      </c>
      <c r="G725" s="2">
        <v>90</v>
      </c>
      <c r="H725" t="str">
        <f>"PER DIEM"</f>
        <v>PER DIEM</v>
      </c>
    </row>
    <row r="726" spans="1:9" x14ac:dyDescent="0.25">
      <c r="A726" t="s">
        <v>192</v>
      </c>
      <c r="B726">
        <v>130972</v>
      </c>
      <c r="C726" s="2">
        <v>2.5</v>
      </c>
      <c r="D726" s="1">
        <v>43885</v>
      </c>
      <c r="E726" t="s">
        <v>193</v>
      </c>
      <c r="F726" t="s">
        <v>194</v>
      </c>
      <c r="G726" s="2" t="str">
        <f>"OVERPAYMENT"</f>
        <v>OVERPAYMENT</v>
      </c>
      <c r="H726" t="str">
        <f>"341-7000"</f>
        <v>341-7000</v>
      </c>
      <c r="I726" t="str">
        <f>""</f>
        <v/>
      </c>
    </row>
    <row r="727" spans="1:9" x14ac:dyDescent="0.25">
      <c r="A727" t="s">
        <v>195</v>
      </c>
      <c r="B727">
        <v>130795</v>
      </c>
      <c r="C727" s="2">
        <v>2712.5</v>
      </c>
      <c r="D727" s="1">
        <v>43871</v>
      </c>
      <c r="E727" t="str">
        <f>"202001284822"</f>
        <v>202001284822</v>
      </c>
      <c r="F727" t="str">
        <f>"423-4991"</f>
        <v>423-4991</v>
      </c>
      <c r="G727" s="2">
        <v>850</v>
      </c>
      <c r="H727" t="str">
        <f>"423-4991"</f>
        <v>423-4991</v>
      </c>
    </row>
    <row r="728" spans="1:9" x14ac:dyDescent="0.25">
      <c r="E728" t="str">
        <f>"202002034956"</f>
        <v>202002034956</v>
      </c>
      <c r="F728" t="str">
        <f>"411129"</f>
        <v>411129</v>
      </c>
      <c r="G728" s="2">
        <v>250</v>
      </c>
      <c r="H728" t="str">
        <f>"411129"</f>
        <v>411129</v>
      </c>
    </row>
    <row r="729" spans="1:9" x14ac:dyDescent="0.25">
      <c r="E729" t="str">
        <f>"202002034957"</f>
        <v>202002034957</v>
      </c>
      <c r="F729" t="str">
        <f>"AC2019-1223A 9225-355-7702"</f>
        <v>AC2019-1223A 9225-355-7702</v>
      </c>
      <c r="G729" s="2">
        <v>250</v>
      </c>
      <c r="H729" t="str">
        <f>"AC2019-1223A 9225-355-7702"</f>
        <v>AC2019-1223A 9225-355-7702</v>
      </c>
    </row>
    <row r="730" spans="1:9" x14ac:dyDescent="0.25">
      <c r="E730" t="str">
        <f>"202002034958"</f>
        <v>202002034958</v>
      </c>
      <c r="F730" t="str">
        <f>"19-19632"</f>
        <v>19-19632</v>
      </c>
      <c r="G730" s="2">
        <v>112.5</v>
      </c>
      <c r="H730" t="str">
        <f>"19-19632"</f>
        <v>19-19632</v>
      </c>
    </row>
    <row r="731" spans="1:9" x14ac:dyDescent="0.25">
      <c r="E731" t="str">
        <f>"202002034959"</f>
        <v>202002034959</v>
      </c>
      <c r="F731" t="str">
        <f>"19-19864"</f>
        <v>19-19864</v>
      </c>
      <c r="G731" s="2">
        <v>150</v>
      </c>
      <c r="H731" t="str">
        <f>"19-19864"</f>
        <v>19-19864</v>
      </c>
    </row>
    <row r="732" spans="1:9" x14ac:dyDescent="0.25">
      <c r="E732" t="str">
        <f>"202002034960"</f>
        <v>202002034960</v>
      </c>
      <c r="F732" t="str">
        <f>"19-19963"</f>
        <v>19-19963</v>
      </c>
      <c r="G732" s="2">
        <v>75</v>
      </c>
      <c r="H732" t="str">
        <f>"19-19963"</f>
        <v>19-19963</v>
      </c>
    </row>
    <row r="733" spans="1:9" x14ac:dyDescent="0.25">
      <c r="E733" t="str">
        <f>"202002045106"</f>
        <v>202002045106</v>
      </c>
      <c r="F733" t="str">
        <f>"19-19537"</f>
        <v>19-19537</v>
      </c>
      <c r="G733" s="2">
        <v>250</v>
      </c>
      <c r="H733" t="str">
        <f>"19-19537"</f>
        <v>19-19537</v>
      </c>
    </row>
    <row r="734" spans="1:9" x14ac:dyDescent="0.25">
      <c r="E734" t="str">
        <f>"202002045107"</f>
        <v>202002045107</v>
      </c>
      <c r="F734" t="str">
        <f>"19-19963"</f>
        <v>19-19963</v>
      </c>
      <c r="G734" s="2">
        <v>175</v>
      </c>
      <c r="H734" t="str">
        <f>"19-19963"</f>
        <v>19-19963</v>
      </c>
    </row>
    <row r="735" spans="1:9" x14ac:dyDescent="0.25">
      <c r="E735" t="str">
        <f>"202002045108"</f>
        <v>202002045108</v>
      </c>
      <c r="F735" t="str">
        <f>"DC-PC-194134"</f>
        <v>DC-PC-194134</v>
      </c>
      <c r="G735" s="2">
        <v>100</v>
      </c>
      <c r="H735" t="str">
        <f>"DC-PC-194134"</f>
        <v>DC-PC-194134</v>
      </c>
    </row>
    <row r="736" spans="1:9" x14ac:dyDescent="0.25">
      <c r="E736" t="str">
        <f>"202002045109"</f>
        <v>202002045109</v>
      </c>
      <c r="F736" t="str">
        <f>"00201907140/925-355-673-4001/2"</f>
        <v>00201907140/925-355-673-4001/2</v>
      </c>
      <c r="G736" s="2">
        <v>250</v>
      </c>
      <c r="H736" t="str">
        <f>"00201907140/925-355-673-4001/2"</f>
        <v>00201907140/925-355-673-4001/2</v>
      </c>
    </row>
    <row r="737" spans="1:8" x14ac:dyDescent="0.25">
      <c r="E737" t="str">
        <f>"202002045111"</f>
        <v>202002045111</v>
      </c>
      <c r="F737" t="str">
        <f>"JP110262019C"</f>
        <v>JP110262019C</v>
      </c>
      <c r="G737" s="2">
        <v>250</v>
      </c>
      <c r="H737" t="str">
        <f>"JP110262019C"</f>
        <v>JP110262019C</v>
      </c>
    </row>
    <row r="738" spans="1:8" x14ac:dyDescent="0.25">
      <c r="A738" t="s">
        <v>196</v>
      </c>
      <c r="B738">
        <v>130796</v>
      </c>
      <c r="C738" s="2">
        <v>19698.36</v>
      </c>
      <c r="D738" s="1">
        <v>43871</v>
      </c>
      <c r="E738" t="str">
        <f>"201702550"</f>
        <v>201702550</v>
      </c>
      <c r="F738" t="str">
        <f>"SCAAP FY 19"</f>
        <v>SCAAP FY 19</v>
      </c>
      <c r="G738" s="2">
        <v>19698.36</v>
      </c>
      <c r="H738" t="str">
        <f>"SCAAP FY 19"</f>
        <v>SCAAP FY 19</v>
      </c>
    </row>
    <row r="739" spans="1:8" x14ac:dyDescent="0.25">
      <c r="A739" t="s">
        <v>197</v>
      </c>
      <c r="B739">
        <v>130797</v>
      </c>
      <c r="C739" s="2">
        <v>105</v>
      </c>
      <c r="D739" s="1">
        <v>43871</v>
      </c>
      <c r="E739" t="str">
        <f>"202002055141"</f>
        <v>202002055141</v>
      </c>
      <c r="F739" t="str">
        <f>"PER DIEM"</f>
        <v>PER DIEM</v>
      </c>
      <c r="G739" s="2">
        <v>105</v>
      </c>
      <c r="H739" t="str">
        <f>"PER DIEM"</f>
        <v>PER DIEM</v>
      </c>
    </row>
    <row r="740" spans="1:8" x14ac:dyDescent="0.25">
      <c r="A740" t="s">
        <v>198</v>
      </c>
      <c r="B740">
        <v>2168</v>
      </c>
      <c r="C740" s="2">
        <v>1900</v>
      </c>
      <c r="D740" s="1">
        <v>43872</v>
      </c>
      <c r="E740" t="str">
        <f>"202001304916"</f>
        <v>202001304916</v>
      </c>
      <c r="F740" t="str">
        <f>"16976"</f>
        <v>16976</v>
      </c>
      <c r="G740" s="2">
        <v>400</v>
      </c>
      <c r="H740" t="str">
        <f>"16976"</f>
        <v>16976</v>
      </c>
    </row>
    <row r="741" spans="1:8" x14ac:dyDescent="0.25">
      <c r="E741" t="str">
        <f>"202002034961"</f>
        <v>202002034961</v>
      </c>
      <c r="F741" t="str">
        <f>"20190244B"</f>
        <v>20190244B</v>
      </c>
      <c r="G741" s="2">
        <v>250</v>
      </c>
      <c r="H741" t="str">
        <f>"20190244B"</f>
        <v>20190244B</v>
      </c>
    </row>
    <row r="742" spans="1:8" x14ac:dyDescent="0.25">
      <c r="E742" t="str">
        <f>"202002034962"</f>
        <v>202002034962</v>
      </c>
      <c r="F742" t="str">
        <f>"41114914"</f>
        <v>41114914</v>
      </c>
      <c r="G742" s="2">
        <v>250</v>
      </c>
      <c r="H742" t="str">
        <f>"41114914"</f>
        <v>41114914</v>
      </c>
    </row>
    <row r="743" spans="1:8" x14ac:dyDescent="0.25">
      <c r="E743" t="str">
        <f>"202002034963"</f>
        <v>202002034963</v>
      </c>
      <c r="F743" t="str">
        <f>"AC-2017-1213"</f>
        <v>AC-2017-1213</v>
      </c>
      <c r="G743" s="2">
        <v>250</v>
      </c>
      <c r="H743" t="str">
        <f>"AC-2017-1213"</f>
        <v>AC-2017-1213</v>
      </c>
    </row>
    <row r="744" spans="1:8" x14ac:dyDescent="0.25">
      <c r="E744" t="str">
        <f>"202002034964"</f>
        <v>202002034964</v>
      </c>
      <c r="F744" t="str">
        <f>"17102 71"</f>
        <v>17102 71</v>
      </c>
      <c r="G744" s="2">
        <v>250</v>
      </c>
      <c r="H744" t="str">
        <f>"17102 71"</f>
        <v>17102 71</v>
      </c>
    </row>
    <row r="745" spans="1:8" x14ac:dyDescent="0.25">
      <c r="E745" t="str">
        <f>"202002034965"</f>
        <v>202002034965</v>
      </c>
      <c r="F745" t="str">
        <f>"BC 20181205B"</f>
        <v>BC 20181205B</v>
      </c>
      <c r="G745" s="2">
        <v>250</v>
      </c>
      <c r="H745" t="str">
        <f>"BC 20181205B"</f>
        <v>BC 20181205B</v>
      </c>
    </row>
    <row r="746" spans="1:8" x14ac:dyDescent="0.25">
      <c r="E746" t="str">
        <f>"202002045112"</f>
        <v>202002045112</v>
      </c>
      <c r="F746" t="str">
        <f>"57179"</f>
        <v>57179</v>
      </c>
      <c r="G746" s="2">
        <v>250</v>
      </c>
      <c r="H746" t="str">
        <f>"57179"</f>
        <v>57179</v>
      </c>
    </row>
    <row r="747" spans="1:8" x14ac:dyDescent="0.25">
      <c r="A747" t="s">
        <v>198</v>
      </c>
      <c r="B747">
        <v>2241</v>
      </c>
      <c r="C747" s="2">
        <v>2000</v>
      </c>
      <c r="D747" s="1">
        <v>43886</v>
      </c>
      <c r="E747" t="str">
        <f>"202002115248"</f>
        <v>202002115248</v>
      </c>
      <c r="F747" t="str">
        <f>"17006"</f>
        <v>17006</v>
      </c>
      <c r="G747" s="2">
        <v>400</v>
      </c>
      <c r="H747" t="str">
        <f>"17006"</f>
        <v>17006</v>
      </c>
    </row>
    <row r="748" spans="1:8" x14ac:dyDescent="0.25">
      <c r="E748" t="str">
        <f>"202002115249"</f>
        <v>202002115249</v>
      </c>
      <c r="F748" t="str">
        <f>"16228"</f>
        <v>16228</v>
      </c>
      <c r="G748" s="2">
        <v>400</v>
      </c>
      <c r="H748" t="str">
        <f>"16228"</f>
        <v>16228</v>
      </c>
    </row>
    <row r="749" spans="1:8" x14ac:dyDescent="0.25">
      <c r="E749" t="str">
        <f>"202002115256"</f>
        <v>202002115256</v>
      </c>
      <c r="F749" t="str">
        <f>"57217"</f>
        <v>57217</v>
      </c>
      <c r="G749" s="2">
        <v>250</v>
      </c>
      <c r="H749" t="str">
        <f>"57217"</f>
        <v>57217</v>
      </c>
    </row>
    <row r="750" spans="1:8" x14ac:dyDescent="0.25">
      <c r="E750" t="str">
        <f>"202002115267"</f>
        <v>202002115267</v>
      </c>
      <c r="F750" t="str">
        <f>"20190201B"</f>
        <v>20190201B</v>
      </c>
      <c r="G750" s="2">
        <v>400</v>
      </c>
      <c r="H750" t="str">
        <f>"20190201B"</f>
        <v>20190201B</v>
      </c>
    </row>
    <row r="751" spans="1:8" x14ac:dyDescent="0.25">
      <c r="E751" t="str">
        <f>"202002115268"</f>
        <v>202002115268</v>
      </c>
      <c r="F751" t="str">
        <f>"409268-5"</f>
        <v>409268-5</v>
      </c>
      <c r="G751" s="2">
        <v>150</v>
      </c>
      <c r="H751" t="str">
        <f>"409268-5"</f>
        <v>409268-5</v>
      </c>
    </row>
    <row r="752" spans="1:8" x14ac:dyDescent="0.25">
      <c r="E752" t="str">
        <f>"202002145340"</f>
        <v>202002145340</v>
      </c>
      <c r="F752" t="str">
        <f>"AC-2020-0204"</f>
        <v>AC-2020-0204</v>
      </c>
      <c r="G752" s="2">
        <v>400</v>
      </c>
      <c r="H752" t="str">
        <f>"AC-2020-0204"</f>
        <v>AC-2020-0204</v>
      </c>
    </row>
    <row r="753" spans="1:9" x14ac:dyDescent="0.25">
      <c r="A753" t="s">
        <v>199</v>
      </c>
      <c r="B753">
        <v>130973</v>
      </c>
      <c r="C753" s="2">
        <v>25</v>
      </c>
      <c r="D753" s="1">
        <v>43885</v>
      </c>
      <c r="E753" t="s">
        <v>200</v>
      </c>
      <c r="F753" t="s">
        <v>201</v>
      </c>
      <c r="G753" s="2" t="str">
        <f>"RESTITUTION - JOHNY HOFFMAN"</f>
        <v>RESTITUTION - JOHNY HOFFMAN</v>
      </c>
      <c r="H753" t="str">
        <f>"210-0000"</f>
        <v>210-0000</v>
      </c>
      <c r="I753" t="str">
        <f>""</f>
        <v/>
      </c>
    </row>
    <row r="754" spans="1:9" x14ac:dyDescent="0.25">
      <c r="A754" t="s">
        <v>202</v>
      </c>
      <c r="B754">
        <v>130974</v>
      </c>
      <c r="C754" s="2">
        <v>60</v>
      </c>
      <c r="D754" s="1">
        <v>43885</v>
      </c>
      <c r="E754" t="str">
        <f>"202002195437"</f>
        <v>202002195437</v>
      </c>
      <c r="F754" t="str">
        <f>"REFUND"</f>
        <v>REFUND</v>
      </c>
      <c r="G754" s="2">
        <v>60</v>
      </c>
      <c r="H754" t="str">
        <f>"REFUND"</f>
        <v>REFUND</v>
      </c>
    </row>
    <row r="755" spans="1:9" x14ac:dyDescent="0.25">
      <c r="A755" t="s">
        <v>203</v>
      </c>
      <c r="B755">
        <v>130798</v>
      </c>
      <c r="C755" s="2">
        <v>160110</v>
      </c>
      <c r="D755" s="1">
        <v>43871</v>
      </c>
      <c r="E755" t="str">
        <f>"202002055192"</f>
        <v>202002055192</v>
      </c>
      <c r="F755" t="str">
        <f>"15-914  11/1 - 11/30/2019"</f>
        <v>15-914  11/1 - 11/30/2019</v>
      </c>
      <c r="G755" s="2">
        <v>47216.25</v>
      </c>
      <c r="H755" t="str">
        <f>"15-914"</f>
        <v>15-914</v>
      </c>
    </row>
    <row r="756" spans="1:9" x14ac:dyDescent="0.25">
      <c r="E756" t="str">
        <f>"202002055193"</f>
        <v>202002055193</v>
      </c>
      <c r="F756" t="str">
        <f>"15-914  09/01 - 09/30/2019"</f>
        <v>15-914  09/01 - 09/30/2019</v>
      </c>
      <c r="G756" s="2">
        <v>45056.25</v>
      </c>
      <c r="H756" t="str">
        <f>"15-914  09/01 - 09/30/2019"</f>
        <v>15-914  09/01 - 09/30/2019</v>
      </c>
    </row>
    <row r="757" spans="1:9" x14ac:dyDescent="0.25">
      <c r="E757" t="str">
        <f>"202002055194"</f>
        <v>202002055194</v>
      </c>
      <c r="F757" t="str">
        <f>"15-914  10/01 - 10/31/2019"</f>
        <v>15-914  10/01 - 10/31/2019</v>
      </c>
      <c r="G757" s="2">
        <v>57802.5</v>
      </c>
      <c r="H757" t="str">
        <f>"15-914  10/01 - 10/31/2019"</f>
        <v>15-914  10/01 - 10/31/2019</v>
      </c>
    </row>
    <row r="758" spans="1:9" x14ac:dyDescent="0.25">
      <c r="E758" t="str">
        <f>"202002055195"</f>
        <v>202002055195</v>
      </c>
      <c r="F758" t="str">
        <f>"15-914  12/01 - 12/31/2019"</f>
        <v>15-914  12/01 - 12/31/2019</v>
      </c>
      <c r="G758" s="2">
        <v>10035</v>
      </c>
      <c r="H758" t="str">
        <f>"15-914  12/01 - 12/31/2019"</f>
        <v>15-914  12/01 - 12/31/2019</v>
      </c>
    </row>
    <row r="759" spans="1:9" x14ac:dyDescent="0.25">
      <c r="A759" t="s">
        <v>204</v>
      </c>
      <c r="B759">
        <v>130799</v>
      </c>
      <c r="C759" s="2">
        <v>531.37</v>
      </c>
      <c r="D759" s="1">
        <v>43871</v>
      </c>
      <c r="E759" t="str">
        <f>"5150"</f>
        <v>5150</v>
      </c>
      <c r="F759" t="str">
        <f>"REPAIRS/PCT#3"</f>
        <v>REPAIRS/PCT#3</v>
      </c>
      <c r="G759" s="2">
        <v>531.37</v>
      </c>
      <c r="H759" t="str">
        <f>"REPAIRS/PCT#3"</f>
        <v>REPAIRS/PCT#3</v>
      </c>
    </row>
    <row r="760" spans="1:9" x14ac:dyDescent="0.25">
      <c r="A760" t="s">
        <v>205</v>
      </c>
      <c r="B760">
        <v>130975</v>
      </c>
      <c r="C760" s="2">
        <v>285</v>
      </c>
      <c r="D760" s="1">
        <v>43885</v>
      </c>
      <c r="E760" t="str">
        <f>"924834"</f>
        <v>924834</v>
      </c>
      <c r="F760" t="str">
        <f>"TRASH PICK UP/PCT#1"</f>
        <v>TRASH PICK UP/PCT#1</v>
      </c>
      <c r="G760" s="2">
        <v>285</v>
      </c>
      <c r="H760" t="str">
        <f>"TRASH PICK UP/PCT#1"</f>
        <v>TRASH PICK UP/PCT#1</v>
      </c>
    </row>
    <row r="761" spans="1:9" x14ac:dyDescent="0.25">
      <c r="A761" t="s">
        <v>206</v>
      </c>
      <c r="B761">
        <v>130800</v>
      </c>
      <c r="C761" s="2">
        <v>260</v>
      </c>
      <c r="D761" s="1">
        <v>43871</v>
      </c>
      <c r="E761" t="str">
        <f>"924830"</f>
        <v>924830</v>
      </c>
      <c r="F761" t="str">
        <f>"TRASH P/U/PCT#1"</f>
        <v>TRASH P/U/PCT#1</v>
      </c>
      <c r="G761" s="2">
        <v>260</v>
      </c>
      <c r="H761" t="str">
        <f>"TRASH P/U/PCT#1"</f>
        <v>TRASH P/U/PCT#1</v>
      </c>
    </row>
    <row r="762" spans="1:9" x14ac:dyDescent="0.25">
      <c r="A762" t="s">
        <v>207</v>
      </c>
      <c r="B762">
        <v>2158</v>
      </c>
      <c r="C762" s="2">
        <v>2717</v>
      </c>
      <c r="D762" s="1">
        <v>43872</v>
      </c>
      <c r="E762" t="str">
        <f>"282"</f>
        <v>282</v>
      </c>
      <c r="F762" t="str">
        <f>"TOWER RENT"</f>
        <v>TOWER RENT</v>
      </c>
      <c r="G762" s="2">
        <v>2717</v>
      </c>
      <c r="H762" t="str">
        <f>"TOWER RENT"</f>
        <v>TOWER RENT</v>
      </c>
    </row>
    <row r="763" spans="1:9" x14ac:dyDescent="0.25">
      <c r="A763" t="s">
        <v>208</v>
      </c>
      <c r="B763">
        <v>130801</v>
      </c>
      <c r="C763" s="2">
        <v>210</v>
      </c>
      <c r="D763" s="1">
        <v>43871</v>
      </c>
      <c r="E763" t="str">
        <f>"2382"</f>
        <v>2382</v>
      </c>
      <c r="F763" t="str">
        <f>"PORTABLE TOILET/HANDICAP"</f>
        <v>PORTABLE TOILET/HANDICAP</v>
      </c>
      <c r="G763" s="2">
        <v>210</v>
      </c>
      <c r="H763" t="str">
        <f>"PORTABLE TOILET/HANDICAP"</f>
        <v>PORTABLE TOILET/HANDICAP</v>
      </c>
    </row>
    <row r="764" spans="1:9" x14ac:dyDescent="0.25">
      <c r="A764" t="s">
        <v>209</v>
      </c>
      <c r="B764">
        <v>2134</v>
      </c>
      <c r="C764" s="2">
        <v>99</v>
      </c>
      <c r="D764" s="1">
        <v>43872</v>
      </c>
      <c r="E764" t="str">
        <f>"274238"</f>
        <v>274238</v>
      </c>
      <c r="F764" t="str">
        <f>"QRTLY FIRE PROT MONITOR SVC"</f>
        <v>QRTLY FIRE PROT MONITOR SVC</v>
      </c>
      <c r="G764" s="2">
        <v>99</v>
      </c>
      <c r="H764" t="str">
        <f>"QRTLY FIRE PROT MONITOR SVC"</f>
        <v>QRTLY FIRE PROT MONITOR SVC</v>
      </c>
    </row>
    <row r="765" spans="1:9" x14ac:dyDescent="0.25">
      <c r="A765" t="s">
        <v>210</v>
      </c>
      <c r="B765">
        <v>130802</v>
      </c>
      <c r="C765" s="2">
        <v>462.87</v>
      </c>
      <c r="D765" s="1">
        <v>43871</v>
      </c>
      <c r="E765" t="str">
        <f>"X301068497:01"</f>
        <v>X301068497:01</v>
      </c>
      <c r="F765" t="str">
        <f>"ACCT#104992/PCT#1"</f>
        <v>ACCT#104992/PCT#1</v>
      </c>
      <c r="G765" s="2">
        <v>297.08</v>
      </c>
      <c r="H765" t="str">
        <f>"ACCT#104992/PCT#1"</f>
        <v>ACCT#104992/PCT#1</v>
      </c>
    </row>
    <row r="766" spans="1:9" x14ac:dyDescent="0.25">
      <c r="E766" t="str">
        <f>"X301068501:01"</f>
        <v>X301068501:01</v>
      </c>
      <c r="F766" t="str">
        <f>"ACCT#104992/PCT#1"</f>
        <v>ACCT#104992/PCT#1</v>
      </c>
      <c r="G766" s="2">
        <v>165.79</v>
      </c>
      <c r="H766" t="str">
        <f>"ACCT#104992/PCT#1"</f>
        <v>ACCT#104992/PCT#1</v>
      </c>
    </row>
    <row r="767" spans="1:9" x14ac:dyDescent="0.25">
      <c r="A767" t="s">
        <v>210</v>
      </c>
      <c r="B767">
        <v>130976</v>
      </c>
      <c r="C767" s="2">
        <v>3733.2</v>
      </c>
      <c r="D767" s="1">
        <v>43885</v>
      </c>
      <c r="E767" t="str">
        <f>"R301010218:01"</f>
        <v>R301010218:01</v>
      </c>
      <c r="F767" t="str">
        <f>"ACCT#104992/PCT#1"</f>
        <v>ACCT#104992/PCT#1</v>
      </c>
      <c r="G767" s="2">
        <v>3434.24</v>
      </c>
      <c r="H767" t="str">
        <f>"ACCT#104992/PCT#1"</f>
        <v>ACCT#104992/PCT#1</v>
      </c>
    </row>
    <row r="768" spans="1:9" x14ac:dyDescent="0.25">
      <c r="E768" t="str">
        <f>"X301070186:01"</f>
        <v>X301070186:01</v>
      </c>
      <c r="F768" t="str">
        <f>"PARTS/PCT#2"</f>
        <v>PARTS/PCT#2</v>
      </c>
      <c r="G768" s="2">
        <v>298.95999999999998</v>
      </c>
      <c r="H768" t="str">
        <f>"PARTS/PCT#2"</f>
        <v>PARTS/PCT#2</v>
      </c>
    </row>
    <row r="769" spans="1:8" x14ac:dyDescent="0.25">
      <c r="A769" t="s">
        <v>211</v>
      </c>
      <c r="B769">
        <v>130977</v>
      </c>
      <c r="C769" s="2">
        <v>2578.8200000000002</v>
      </c>
      <c r="D769" s="1">
        <v>43885</v>
      </c>
      <c r="E769" t="str">
        <f>"202002115277"</f>
        <v>202002115277</v>
      </c>
      <c r="F769" t="str">
        <f>"ACCT#1645/WILDFIRE MITIGATION"</f>
        <v>ACCT#1645/WILDFIRE MITIGATION</v>
      </c>
      <c r="G769" s="2">
        <v>122.38</v>
      </c>
      <c r="H769" t="str">
        <f>"ACCT#1645/WILDFIRE MITIGATION"</f>
        <v>ACCT#1645/WILDFIRE MITIGATION</v>
      </c>
    </row>
    <row r="770" spans="1:8" x14ac:dyDescent="0.25">
      <c r="E770" t="str">
        <f>"202002115281"</f>
        <v>202002115281</v>
      </c>
      <c r="F770" t="str">
        <f>"ACCT#1650/GEN SVCS"</f>
        <v>ACCT#1650/GEN SVCS</v>
      </c>
      <c r="G770" s="2">
        <v>60.17</v>
      </c>
      <c r="H770" t="str">
        <f>"ACCT#1650/GEN SVCS"</f>
        <v>ACCT#1650/GEN SVCS</v>
      </c>
    </row>
    <row r="771" spans="1:8" x14ac:dyDescent="0.25">
      <c r="E771" t="str">
        <f>"202002125286"</f>
        <v>202002125286</v>
      </c>
      <c r="F771" t="str">
        <f>"ACCT#1650/PCT#1"</f>
        <v>ACCT#1650/PCT#1</v>
      </c>
      <c r="G771" s="2">
        <v>1612.99</v>
      </c>
      <c r="H771" t="str">
        <f>"ACCT#1650/PCT#1"</f>
        <v>ACCT#1650/PCT#1</v>
      </c>
    </row>
    <row r="772" spans="1:8" x14ac:dyDescent="0.25">
      <c r="E772" t="str">
        <f>"202002135315"</f>
        <v>202002135315</v>
      </c>
      <c r="F772" t="str">
        <f>"ACCT#1800/PCT#4"</f>
        <v>ACCT#1800/PCT#4</v>
      </c>
      <c r="G772" s="2">
        <v>317.89999999999998</v>
      </c>
      <c r="H772" t="str">
        <f>"ACCT#1800/PCT#4"</f>
        <v>ACCT#1800/PCT#4</v>
      </c>
    </row>
    <row r="773" spans="1:8" x14ac:dyDescent="0.25">
      <c r="E773" t="str">
        <f>"202002135316"</f>
        <v>202002135316</v>
      </c>
      <c r="F773" t="str">
        <f>"ACCT#1750/PCT#3"</f>
        <v>ACCT#1750/PCT#3</v>
      </c>
      <c r="G773" s="2">
        <v>465.38</v>
      </c>
      <c r="H773" t="str">
        <f>"ACCT#1750/PCT#3"</f>
        <v>ACCT#1750/PCT#3</v>
      </c>
    </row>
    <row r="774" spans="1:8" x14ac:dyDescent="0.25">
      <c r="A774" t="s">
        <v>212</v>
      </c>
      <c r="B774">
        <v>130803</v>
      </c>
      <c r="C774" s="2">
        <v>2656.58</v>
      </c>
      <c r="D774" s="1">
        <v>43871</v>
      </c>
      <c r="E774" t="str">
        <f>"01225896"</f>
        <v>01225896</v>
      </c>
      <c r="F774" t="str">
        <f>"INV 01225896"</f>
        <v>INV 01225896</v>
      </c>
      <c r="G774" s="2">
        <v>2656.58</v>
      </c>
      <c r="H774" t="str">
        <f>"INV 01225896"</f>
        <v>INV 01225896</v>
      </c>
    </row>
    <row r="775" spans="1:8" x14ac:dyDescent="0.25">
      <c r="E775" t="str">
        <f>""</f>
        <v/>
      </c>
      <c r="F775" t="str">
        <f>""</f>
        <v/>
      </c>
      <c r="H775" t="str">
        <f>"INV 01296436"</f>
        <v>INV 01296436</v>
      </c>
    </row>
    <row r="776" spans="1:8" x14ac:dyDescent="0.25">
      <c r="A776" t="s">
        <v>212</v>
      </c>
      <c r="B776">
        <v>130978</v>
      </c>
      <c r="C776" s="2">
        <v>2055.7399999999998</v>
      </c>
      <c r="D776" s="1">
        <v>43885</v>
      </c>
      <c r="E776" t="str">
        <f>"02056639 02056640"</f>
        <v>02056639 02056640</v>
      </c>
      <c r="F776" t="str">
        <f>"INV 02056639"</f>
        <v>INV 02056639</v>
      </c>
      <c r="G776" s="2">
        <v>2055.7399999999998</v>
      </c>
      <c r="H776" t="str">
        <f>"INV 02056639"</f>
        <v>INV 02056639</v>
      </c>
    </row>
    <row r="777" spans="1:8" x14ac:dyDescent="0.25">
      <c r="E777" t="str">
        <f>""</f>
        <v/>
      </c>
      <c r="F777" t="str">
        <f>""</f>
        <v/>
      </c>
      <c r="H777" t="str">
        <f>"INV 02056640"</f>
        <v>INV 02056640</v>
      </c>
    </row>
    <row r="778" spans="1:8" x14ac:dyDescent="0.25">
      <c r="E778" t="str">
        <f>""</f>
        <v/>
      </c>
      <c r="F778" t="str">
        <f>""</f>
        <v/>
      </c>
      <c r="H778" t="str">
        <f>"INV 02127635"</f>
        <v>INV 02127635</v>
      </c>
    </row>
    <row r="779" spans="1:8" x14ac:dyDescent="0.25">
      <c r="E779" t="str">
        <f>""</f>
        <v/>
      </c>
      <c r="F779" t="str">
        <f>""</f>
        <v/>
      </c>
      <c r="H779" t="str">
        <f>"INV 02132217"</f>
        <v>INV 02132217</v>
      </c>
    </row>
    <row r="780" spans="1:8" x14ac:dyDescent="0.25">
      <c r="A780" t="s">
        <v>213</v>
      </c>
      <c r="B780">
        <v>130804</v>
      </c>
      <c r="C780" s="2">
        <v>10389.879999999999</v>
      </c>
      <c r="D780" s="1">
        <v>43871</v>
      </c>
      <c r="E780" t="str">
        <f>"202002045024"</f>
        <v>202002045024</v>
      </c>
      <c r="F780" t="str">
        <f>"INV# 472149"</f>
        <v>INV# 472149</v>
      </c>
      <c r="G780" s="2">
        <v>10389.879999999999</v>
      </c>
      <c r="H780" t="str">
        <f>"FI2511D"</f>
        <v>FI2511D</v>
      </c>
    </row>
    <row r="781" spans="1:8" x14ac:dyDescent="0.25">
      <c r="E781" t="str">
        <f>""</f>
        <v/>
      </c>
      <c r="F781" t="str">
        <f>""</f>
        <v/>
      </c>
      <c r="H781" t="str">
        <f>"TRIM IMPELLER"</f>
        <v>TRIM IMPELLER</v>
      </c>
    </row>
    <row r="782" spans="1:8" x14ac:dyDescent="0.25">
      <c r="E782" t="str">
        <f>""</f>
        <v/>
      </c>
      <c r="F782" t="str">
        <f>""</f>
        <v/>
      </c>
      <c r="H782" t="str">
        <f>"SD040030-5"</f>
        <v>SD040030-5</v>
      </c>
    </row>
    <row r="783" spans="1:8" x14ac:dyDescent="0.25">
      <c r="E783" t="str">
        <f>""</f>
        <v/>
      </c>
      <c r="F783" t="str">
        <f>""</f>
        <v/>
      </c>
      <c r="H783" t="str">
        <f>"2.5x4FLEXINC"</f>
        <v>2.5x4FLEXINC</v>
      </c>
    </row>
    <row r="784" spans="1:8" x14ac:dyDescent="0.25">
      <c r="E784" t="str">
        <f>""</f>
        <v/>
      </c>
      <c r="F784" t="str">
        <f>""</f>
        <v/>
      </c>
      <c r="H784" t="str">
        <f>"4FLEX"</f>
        <v>4FLEX</v>
      </c>
    </row>
    <row r="785" spans="1:8" x14ac:dyDescent="0.25">
      <c r="E785" t="str">
        <f>""</f>
        <v/>
      </c>
      <c r="F785" t="str">
        <f>""</f>
        <v/>
      </c>
      <c r="H785" t="str">
        <f>"MPV040-4"</f>
        <v>MPV040-4</v>
      </c>
    </row>
    <row r="786" spans="1:8" x14ac:dyDescent="0.25">
      <c r="E786" t="str">
        <f>""</f>
        <v/>
      </c>
      <c r="F786" t="str">
        <f>""</f>
        <v/>
      </c>
      <c r="H786" t="str">
        <f>"BV-0400"</f>
        <v>BV-0400</v>
      </c>
    </row>
    <row r="787" spans="1:8" x14ac:dyDescent="0.25">
      <c r="E787" t="str">
        <f>""</f>
        <v/>
      </c>
      <c r="F787" t="str">
        <f>""</f>
        <v/>
      </c>
      <c r="H787" t="str">
        <f>"SHIPPING"</f>
        <v>SHIPPING</v>
      </c>
    </row>
    <row r="788" spans="1:8" x14ac:dyDescent="0.25">
      <c r="A788" t="s">
        <v>214</v>
      </c>
      <c r="B788">
        <v>2147</v>
      </c>
      <c r="C788" s="2">
        <v>150</v>
      </c>
      <c r="D788" s="1">
        <v>43872</v>
      </c>
      <c r="E788" t="str">
        <f>"202001304932"</f>
        <v>202001304932</v>
      </c>
      <c r="F788" t="str">
        <f>"CLEANING SVCS 01/24/PCT#2"</f>
        <v>CLEANING SVCS 01/24/PCT#2</v>
      </c>
      <c r="G788" s="2">
        <v>150</v>
      </c>
      <c r="H788" t="str">
        <f>"CLEANING SVCS 01/24/PCT#2"</f>
        <v>CLEANING SVCS 01/24/PCT#2</v>
      </c>
    </row>
    <row r="789" spans="1:8" x14ac:dyDescent="0.25">
      <c r="A789" t="s">
        <v>215</v>
      </c>
      <c r="B789">
        <v>130979</v>
      </c>
      <c r="C789" s="2">
        <v>395</v>
      </c>
      <c r="D789" s="1">
        <v>43885</v>
      </c>
      <c r="E789" t="str">
        <f>"202002115279"</f>
        <v>202002115279</v>
      </c>
      <c r="F789" t="str">
        <f>"TRAVEL REIMBURSEMENT-MEALS/LOD"</f>
        <v>TRAVEL REIMBURSEMENT-MEALS/LOD</v>
      </c>
      <c r="G789" s="2">
        <v>395</v>
      </c>
      <c r="H789" t="str">
        <f>"TRAVEL REIMBURSEMENT-MEALS/LOD"</f>
        <v>TRAVEL REIMBURSEMENT-MEALS/LOD</v>
      </c>
    </row>
    <row r="790" spans="1:8" x14ac:dyDescent="0.25">
      <c r="A790" t="s">
        <v>216</v>
      </c>
      <c r="B790">
        <v>130980</v>
      </c>
      <c r="C790" s="2">
        <v>181</v>
      </c>
      <c r="D790" s="1">
        <v>43885</v>
      </c>
      <c r="E790" t="str">
        <f>"202002205462"</f>
        <v>202002205462</v>
      </c>
      <c r="F790" t="str">
        <f>"TIRE SVCS/PCT#4"</f>
        <v>TIRE SVCS/PCT#4</v>
      </c>
      <c r="G790" s="2">
        <v>181</v>
      </c>
      <c r="H790" t="str">
        <f>"TIRE SVCS/PCT#4"</f>
        <v>TIRE SVCS/PCT#4</v>
      </c>
    </row>
    <row r="791" spans="1:8" x14ac:dyDescent="0.25">
      <c r="A791" t="s">
        <v>217</v>
      </c>
      <c r="B791">
        <v>130805</v>
      </c>
      <c r="C791" s="2">
        <v>38.61</v>
      </c>
      <c r="D791" s="1">
        <v>43871</v>
      </c>
      <c r="E791" t="str">
        <f>"0558508837"</f>
        <v>0558508837</v>
      </c>
      <c r="F791" t="str">
        <f>"INV 0558508837"</f>
        <v>INV 0558508837</v>
      </c>
      <c r="G791" s="2">
        <v>38.61</v>
      </c>
      <c r="H791" t="str">
        <f>"INV 0558508837"</f>
        <v>INV 0558508837</v>
      </c>
    </row>
    <row r="792" spans="1:8" x14ac:dyDescent="0.25">
      <c r="A792" t="s">
        <v>218</v>
      </c>
      <c r="B792">
        <v>130981</v>
      </c>
      <c r="C792" s="2">
        <v>1082.0999999999999</v>
      </c>
      <c r="D792" s="1">
        <v>43885</v>
      </c>
      <c r="E792" t="str">
        <f>"1211621-20200131"</f>
        <v>1211621-20200131</v>
      </c>
      <c r="F792" t="str">
        <f>"BILL ID#1211621/HEALTH SERVICE"</f>
        <v>BILL ID#1211621/HEALTH SERVICE</v>
      </c>
      <c r="G792" s="2">
        <v>523.25</v>
      </c>
      <c r="H792" t="str">
        <f>"BILL ID#1211621/HEALTH SERVICE"</f>
        <v>BILL ID#1211621/HEALTH SERVICE</v>
      </c>
    </row>
    <row r="793" spans="1:8" x14ac:dyDescent="0.25">
      <c r="E793" t="str">
        <f>"1361725-20200131"</f>
        <v>1361725-20200131</v>
      </c>
      <c r="F793" t="str">
        <f>"BILL ID#1361725/INDIGENT HEALT"</f>
        <v>BILL ID#1361725/INDIGENT HEALT</v>
      </c>
      <c r="G793" s="2">
        <v>150</v>
      </c>
      <c r="H793" t="str">
        <f>"BILL ID#1361725/INDIGENT HEALT"</f>
        <v>BILL ID#1361725/INDIGENT HEALT</v>
      </c>
    </row>
    <row r="794" spans="1:8" x14ac:dyDescent="0.25">
      <c r="E794" t="str">
        <f>"1394645-20200131"</f>
        <v>1394645-20200131</v>
      </c>
      <c r="F794" t="str">
        <f>"BILL ID#1394645/COUNTY CLERK"</f>
        <v>BILL ID#1394645/COUNTY CLERK</v>
      </c>
      <c r="G794" s="2">
        <v>78.349999999999994</v>
      </c>
      <c r="H794" t="str">
        <f>"BILL ID#1394645/COUNTY CLERK"</f>
        <v>BILL ID#1394645/COUNTY CLERK</v>
      </c>
    </row>
    <row r="795" spans="1:8" x14ac:dyDescent="0.25">
      <c r="E795" t="str">
        <f>"1420944-20200131"</f>
        <v>1420944-20200131</v>
      </c>
      <c r="F795" t="str">
        <f>"BILL ID:1420944/SHERIFF'S OFF"</f>
        <v>BILL ID:1420944/SHERIFF'S OFF</v>
      </c>
      <c r="G795" s="2">
        <v>330.5</v>
      </c>
      <c r="H795" t="str">
        <f>"BILLING ID:1420944/SHERIFF OFF"</f>
        <v>BILLING ID:1420944/SHERIFF OFF</v>
      </c>
    </row>
    <row r="796" spans="1:8" x14ac:dyDescent="0.25">
      <c r="A796" t="s">
        <v>219</v>
      </c>
      <c r="B796">
        <v>130806</v>
      </c>
      <c r="C796" s="2">
        <v>1663.33</v>
      </c>
      <c r="D796" s="1">
        <v>43871</v>
      </c>
      <c r="E796" t="str">
        <f>"1749577"</f>
        <v>1749577</v>
      </c>
      <c r="F796" t="str">
        <f>"ACCT#15717/601 COOL WATER"</f>
        <v>ACCT#15717/601 COOL WATER</v>
      </c>
      <c r="G796" s="2">
        <v>1663.33</v>
      </c>
      <c r="H796" t="str">
        <f>"ACCT#15717/601 COOL WATER"</f>
        <v>ACCT#15717/601 COOL WATER</v>
      </c>
    </row>
    <row r="797" spans="1:8" x14ac:dyDescent="0.25">
      <c r="A797" t="s">
        <v>220</v>
      </c>
      <c r="B797">
        <v>2235</v>
      </c>
      <c r="C797" s="2">
        <v>280.26</v>
      </c>
      <c r="D797" s="1">
        <v>43886</v>
      </c>
      <c r="E797" t="str">
        <f>"202002145329"</f>
        <v>202002145329</v>
      </c>
      <c r="F797" t="str">
        <f>"FNB CHARGE FOR CHECKS"</f>
        <v>FNB CHARGE FOR CHECKS</v>
      </c>
      <c r="G797" s="2">
        <v>280.26</v>
      </c>
      <c r="H797" t="str">
        <f>"FNB CHARGE FOR CHECKS"</f>
        <v>FNB CHARGE FOR CHECKS</v>
      </c>
    </row>
    <row r="798" spans="1:8" x14ac:dyDescent="0.25">
      <c r="A798" t="s">
        <v>221</v>
      </c>
      <c r="B798">
        <v>2162</v>
      </c>
      <c r="C798" s="2">
        <v>119</v>
      </c>
      <c r="D798" s="1">
        <v>43872</v>
      </c>
      <c r="E798" t="str">
        <f>"202001294888"</f>
        <v>202001294888</v>
      </c>
      <c r="F798" t="str">
        <f>"VEHICEL REGISTRATION-GEN SVCS"</f>
        <v>VEHICEL REGISTRATION-GEN SVCS</v>
      </c>
      <c r="G798" s="2">
        <v>7.5</v>
      </c>
      <c r="H798" t="str">
        <f>"VEHICEL REGISTRATION-GEN SVCS"</f>
        <v>VEHICEL REGISTRATION-GEN SVCS</v>
      </c>
    </row>
    <row r="799" spans="1:8" x14ac:dyDescent="0.25">
      <c r="E799" t="str">
        <f>"202001294904"</f>
        <v>202001294904</v>
      </c>
      <c r="F799" t="str">
        <f>"REGISTRATIONS/PCT#4"</f>
        <v>REGISTRATIONS/PCT#4</v>
      </c>
      <c r="G799" s="2">
        <v>51.5</v>
      </c>
      <c r="H799" t="str">
        <f>"REGISTRATIONS/PCT#4"</f>
        <v>REGISTRATIONS/PCT#4</v>
      </c>
    </row>
    <row r="800" spans="1:8" x14ac:dyDescent="0.25">
      <c r="E800" t="str">
        <f>"202002045018"</f>
        <v>202002045018</v>
      </c>
      <c r="F800" t="str">
        <f>"VEHICLE REGISTRATIONS/PCT#2"</f>
        <v>VEHICLE REGISTRATIONS/PCT#2</v>
      </c>
      <c r="G800" s="2">
        <v>15</v>
      </c>
      <c r="H800" t="str">
        <f>"VEHICLE REGISTRATIONS/PCT#2"</f>
        <v>VEHICLE REGISTRATIONS/PCT#2</v>
      </c>
    </row>
    <row r="801" spans="1:8" x14ac:dyDescent="0.25">
      <c r="E801" t="str">
        <f>"202002045098"</f>
        <v>202002045098</v>
      </c>
      <c r="F801" t="str">
        <f>"VEHICLE REGISTRATIONS/SHERIFF"</f>
        <v>VEHICLE REGISTRATIONS/SHERIFF</v>
      </c>
      <c r="G801" s="2">
        <v>30</v>
      </c>
      <c r="H801" t="str">
        <f>"VEHICLE REGISTRATIONS/SHERIFF"</f>
        <v>VEHICLE REGISTRATIONS/SHERIFF</v>
      </c>
    </row>
    <row r="802" spans="1:8" x14ac:dyDescent="0.25">
      <c r="E802" t="str">
        <f>"202002055146"</f>
        <v>202002055146</v>
      </c>
      <c r="F802" t="str">
        <f>"VEHICLE REGISTRATION/PCT#1"</f>
        <v>VEHICLE REGISTRATION/PCT#1</v>
      </c>
      <c r="G802" s="2">
        <v>7.5</v>
      </c>
      <c r="H802" t="str">
        <f>"VEHICLE REGISTRATION/PCT#1"</f>
        <v>VEHICLE REGISTRATION/PCT#1</v>
      </c>
    </row>
    <row r="803" spans="1:8" x14ac:dyDescent="0.25">
      <c r="E803" t="str">
        <f>"202002055186"</f>
        <v>202002055186</v>
      </c>
      <c r="F803" t="str">
        <f>"TITLE TRANSFER/PCT#3"</f>
        <v>TITLE TRANSFER/PCT#3</v>
      </c>
      <c r="G803" s="2">
        <v>7.5</v>
      </c>
      <c r="H803" t="str">
        <f>"TITLE TRANSFER/PCT#3"</f>
        <v>TITLE TRANSFER/PCT#3</v>
      </c>
    </row>
    <row r="804" spans="1:8" x14ac:dyDescent="0.25">
      <c r="A804" t="s">
        <v>221</v>
      </c>
      <c r="B804">
        <v>2236</v>
      </c>
      <c r="C804" s="2">
        <v>185.5</v>
      </c>
      <c r="D804" s="1">
        <v>43886</v>
      </c>
      <c r="E804" t="str">
        <f>"202002115278"</f>
        <v>202002115278</v>
      </c>
      <c r="F804" t="str">
        <f>"VEHICLE REGISTRATION"</f>
        <v>VEHICLE REGISTRATION</v>
      </c>
      <c r="G804" s="2">
        <v>7.5</v>
      </c>
      <c r="H804" t="str">
        <f>"VEHICLE REGISTRATION"</f>
        <v>VEHICLE REGISTRATION</v>
      </c>
    </row>
    <row r="805" spans="1:8" x14ac:dyDescent="0.25">
      <c r="E805" t="str">
        <f>"202002135311"</f>
        <v>202002135311</v>
      </c>
      <c r="F805" t="str">
        <f>"1999 FORD REGISTRATION/DEV SVC"</f>
        <v>1999 FORD REGISTRATION/DEV SVC</v>
      </c>
      <c r="G805" s="2">
        <v>7.5</v>
      </c>
      <c r="H805" t="str">
        <f>"1999 FORD REGISTRATION/DEV SVC"</f>
        <v>1999 FORD REGISTRATION/DEV SVC</v>
      </c>
    </row>
    <row r="806" spans="1:8" x14ac:dyDescent="0.25">
      <c r="E806" t="str">
        <f>"202002135328"</f>
        <v>202002135328</v>
      </c>
      <c r="F806" t="str">
        <f>"2007 FRHT/2007 FRHT/PCT#4"</f>
        <v>2007 FRHT/2007 FRHT/PCT#4</v>
      </c>
      <c r="G806" s="2">
        <v>44</v>
      </c>
      <c r="H806" t="str">
        <f>"2007 FRHT/2007 FRHT/PCT#4"</f>
        <v>2007 FRHT/2007 FRHT/PCT#4</v>
      </c>
    </row>
    <row r="807" spans="1:8" x14ac:dyDescent="0.25">
      <c r="E807" t="str">
        <f>"202002145356"</f>
        <v>202002145356</v>
      </c>
      <c r="F807" t="str">
        <f>"1999 CPS/2012 FRHT/PCT#4"</f>
        <v>1999 CPS/2012 FRHT/PCT#4</v>
      </c>
      <c r="G807" s="2">
        <v>44</v>
      </c>
      <c r="H807" t="str">
        <f>"VEHICLE REGISTRATIONS/PCT#4"</f>
        <v>VEHICLE REGISTRATIONS/PCT#4</v>
      </c>
    </row>
    <row r="808" spans="1:8" x14ac:dyDescent="0.25">
      <c r="E808" t="str">
        <f>"202002195427"</f>
        <v>202002195427</v>
      </c>
      <c r="F808" t="str">
        <f>"VEHICLE REGISTRATION-GEN SVCS"</f>
        <v>VEHICLE REGISTRATION-GEN SVCS</v>
      </c>
      <c r="G808" s="2">
        <v>7.5</v>
      </c>
      <c r="H808" t="str">
        <f>"VEHICLE REGISTRATION-GEN SVCS"</f>
        <v>VEHICLE REGISTRATION-GEN SVCS</v>
      </c>
    </row>
    <row r="809" spans="1:8" x14ac:dyDescent="0.25">
      <c r="E809" t="str">
        <f>"202002195430"</f>
        <v>202002195430</v>
      </c>
      <c r="F809" t="str">
        <f>"VEHICLE REGISTRATIONS/SHERIFF"</f>
        <v>VEHICLE REGISTRATIONS/SHERIFF</v>
      </c>
      <c r="G809" s="2">
        <v>75</v>
      </c>
      <c r="H809" t="str">
        <f>"VEHICLE REGISTRATIONS/SHERIFF"</f>
        <v>VEHICLE REGISTRATIONS/SHERIFF</v>
      </c>
    </row>
    <row r="810" spans="1:8" x14ac:dyDescent="0.25">
      <c r="A810" t="s">
        <v>221</v>
      </c>
      <c r="B810">
        <v>130982</v>
      </c>
      <c r="C810" s="2">
        <v>234.99</v>
      </c>
      <c r="D810" s="1">
        <v>43885</v>
      </c>
      <c r="E810" t="str">
        <f>"202002145330"</f>
        <v>202002145330</v>
      </c>
      <c r="F810" t="str">
        <f>"FNB CHARGE FOR CHECKS"</f>
        <v>FNB CHARGE FOR CHECKS</v>
      </c>
      <c r="G810" s="2">
        <v>234.99</v>
      </c>
      <c r="H810" t="str">
        <f>"FNB CHARGE FOR CHECKS"</f>
        <v>FNB CHARGE FOR CHECKS</v>
      </c>
    </row>
    <row r="811" spans="1:8" x14ac:dyDescent="0.25">
      <c r="A811" t="s">
        <v>222</v>
      </c>
      <c r="B811">
        <v>130807</v>
      </c>
      <c r="C811" s="2">
        <v>750</v>
      </c>
      <c r="D811" s="1">
        <v>43871</v>
      </c>
      <c r="E811" t="str">
        <f>"202002045113"</f>
        <v>202002045113</v>
      </c>
      <c r="F811" t="str">
        <f>"56 956"</f>
        <v>56 956</v>
      </c>
      <c r="G811" s="2">
        <v>250</v>
      </c>
      <c r="H811" t="str">
        <f>"56 956"</f>
        <v>56 956</v>
      </c>
    </row>
    <row r="812" spans="1:8" x14ac:dyDescent="0.25">
      <c r="E812" t="str">
        <f>"202002045114"</f>
        <v>202002045114</v>
      </c>
      <c r="F812" t="str">
        <f>"56 547"</f>
        <v>56 547</v>
      </c>
      <c r="G812" s="2">
        <v>250</v>
      </c>
      <c r="H812" t="str">
        <f>"56 547"</f>
        <v>56 547</v>
      </c>
    </row>
    <row r="813" spans="1:8" x14ac:dyDescent="0.25">
      <c r="E813" t="str">
        <f>"202002045115"</f>
        <v>202002045115</v>
      </c>
      <c r="F813" t="str">
        <f>"56 306"</f>
        <v>56 306</v>
      </c>
      <c r="G813" s="2">
        <v>250</v>
      </c>
      <c r="H813" t="str">
        <f>"56 306"</f>
        <v>56 306</v>
      </c>
    </row>
    <row r="814" spans="1:8" x14ac:dyDescent="0.25">
      <c r="A814" t="s">
        <v>223</v>
      </c>
      <c r="B814">
        <v>2139</v>
      </c>
      <c r="C814" s="2">
        <v>32150.9</v>
      </c>
      <c r="D814" s="1">
        <v>43872</v>
      </c>
      <c r="E814" t="str">
        <f>"202002055199"</f>
        <v>202002055199</v>
      </c>
      <c r="F814" t="str">
        <f>"GRANT REIMBURSEMENT"</f>
        <v>GRANT REIMBURSEMENT</v>
      </c>
      <c r="G814" s="2">
        <v>32150.9</v>
      </c>
      <c r="H814" t="str">
        <f>"GRANT REIMBURSEMENT"</f>
        <v>GRANT REIMBURSEMENT</v>
      </c>
    </row>
    <row r="815" spans="1:8" x14ac:dyDescent="0.25">
      <c r="A815" t="s">
        <v>224</v>
      </c>
      <c r="B815">
        <v>130983</v>
      </c>
      <c r="C815" s="2">
        <v>88.27</v>
      </c>
      <c r="D815" s="1">
        <v>43885</v>
      </c>
      <c r="E815" t="str">
        <f>"202002185373"</f>
        <v>202002185373</v>
      </c>
      <c r="F815" t="str">
        <f>"INDIGENT HEALTH"</f>
        <v>INDIGENT HEALTH</v>
      </c>
      <c r="G815" s="2">
        <v>88.27</v>
      </c>
      <c r="H815" t="str">
        <f>"INDIGENT HEALTH"</f>
        <v>INDIGENT HEALTH</v>
      </c>
    </row>
    <row r="816" spans="1:8" x14ac:dyDescent="0.25">
      <c r="A816" t="s">
        <v>225</v>
      </c>
      <c r="B816">
        <v>2143</v>
      </c>
      <c r="C816" s="2">
        <v>754</v>
      </c>
      <c r="D816" s="1">
        <v>43872</v>
      </c>
      <c r="E816" t="str">
        <f>"202002045007"</f>
        <v>202002045007</v>
      </c>
      <c r="F816" t="str">
        <f>"TRASH REMOVAL 01/27-01/31 / P4"</f>
        <v>TRASH REMOVAL 01/27-01/31 / P4</v>
      </c>
      <c r="G816" s="2">
        <v>292.5</v>
      </c>
      <c r="H816" t="str">
        <f>"TRASH REMOVAL 01/27-01/31 / P4"</f>
        <v>TRASH REMOVAL 01/27-01/31 / P4</v>
      </c>
    </row>
    <row r="817" spans="1:8" x14ac:dyDescent="0.25">
      <c r="E817" t="str">
        <f>"202002045008"</f>
        <v>202002045008</v>
      </c>
      <c r="F817" t="str">
        <f>"TRASH REMOVAL 02/03-02/07 / P4"</f>
        <v>TRASH REMOVAL 02/03-02/07 / P4</v>
      </c>
      <c r="G817" s="2">
        <v>461.5</v>
      </c>
      <c r="H817" t="str">
        <f>"TRASH REMOVAL 02/03-02/07 / P4"</f>
        <v>TRASH REMOVAL 02/03-02/07 / P4</v>
      </c>
    </row>
    <row r="818" spans="1:8" x14ac:dyDescent="0.25">
      <c r="A818" t="s">
        <v>225</v>
      </c>
      <c r="B818">
        <v>2218</v>
      </c>
      <c r="C818" s="2">
        <v>780</v>
      </c>
      <c r="D818" s="1">
        <v>43886</v>
      </c>
      <c r="E818" t="str">
        <f>"202002185387"</f>
        <v>202002185387</v>
      </c>
      <c r="F818" t="str">
        <f>"TRASH REMOVAL 02/10-02/21/P4"</f>
        <v>TRASH REMOVAL 02/10-02/21/P4</v>
      </c>
      <c r="G818" s="2">
        <v>780</v>
      </c>
      <c r="H818" t="str">
        <f>"TRASH REMOVAL 02/10-02/21/P4"</f>
        <v>TRASH REMOVAL 02/10-02/21/P4</v>
      </c>
    </row>
    <row r="819" spans="1:8" x14ac:dyDescent="0.25">
      <c r="A819" t="s">
        <v>226</v>
      </c>
      <c r="B819">
        <v>130808</v>
      </c>
      <c r="C819" s="2">
        <v>311.7</v>
      </c>
      <c r="D819" s="1">
        <v>43871</v>
      </c>
      <c r="E819" t="str">
        <f>"BC-XJ514862"</f>
        <v>BC-XJ514862</v>
      </c>
      <c r="F819" t="str">
        <f>"REPAIR/PARTS/PCT#3"</f>
        <v>REPAIR/PARTS/PCT#3</v>
      </c>
      <c r="G819" s="2">
        <v>311.7</v>
      </c>
      <c r="H819" t="str">
        <f>"REPAIR/PARTS/PCT#3"</f>
        <v>REPAIR/PARTS/PCT#3</v>
      </c>
    </row>
    <row r="820" spans="1:8" x14ac:dyDescent="0.25">
      <c r="A820" t="s">
        <v>227</v>
      </c>
      <c r="B820">
        <v>130809</v>
      </c>
      <c r="C820" s="2">
        <v>693.47</v>
      </c>
      <c r="D820" s="1">
        <v>43871</v>
      </c>
      <c r="E820" t="str">
        <f>"974510 901481"</f>
        <v>974510 901481</v>
      </c>
      <c r="F820" t="str">
        <f>"acct# 8692"</f>
        <v>acct# 8692</v>
      </c>
      <c r="G820" s="2">
        <v>693.47</v>
      </c>
      <c r="H820" t="str">
        <f>"Inv# 974510"</f>
        <v>Inv# 974510</v>
      </c>
    </row>
    <row r="821" spans="1:8" x14ac:dyDescent="0.25">
      <c r="E821" t="str">
        <f>""</f>
        <v/>
      </c>
      <c r="F821" t="str">
        <f>""</f>
        <v/>
      </c>
      <c r="H821" t="str">
        <f>"Inv# 901481"</f>
        <v>Inv# 901481</v>
      </c>
    </row>
    <row r="822" spans="1:8" x14ac:dyDescent="0.25">
      <c r="A822" t="s">
        <v>228</v>
      </c>
      <c r="B822">
        <v>130810</v>
      </c>
      <c r="C822" s="2">
        <v>325</v>
      </c>
      <c r="D822" s="1">
        <v>43871</v>
      </c>
      <c r="E822" t="str">
        <f>"798"</f>
        <v>798</v>
      </c>
      <c r="F822" t="str">
        <f>"WATER DAMAGE RESTORATION"</f>
        <v>WATER DAMAGE RESTORATION</v>
      </c>
      <c r="G822" s="2">
        <v>325</v>
      </c>
      <c r="H822" t="str">
        <f>"WATER DAMAGE RESTORATION"</f>
        <v>WATER DAMAGE RESTORATION</v>
      </c>
    </row>
    <row r="823" spans="1:8" x14ac:dyDescent="0.25">
      <c r="A823" t="s">
        <v>229</v>
      </c>
      <c r="B823">
        <v>2207</v>
      </c>
      <c r="C823" s="2">
        <v>589.38</v>
      </c>
      <c r="D823" s="1">
        <v>43886</v>
      </c>
      <c r="E823" t="str">
        <f>"202002115245"</f>
        <v>202002115245</v>
      </c>
      <c r="F823" t="str">
        <f>"CRIMINAL COURT 242020"</f>
        <v>CRIMINAL COURT 242020</v>
      </c>
      <c r="G823" s="2">
        <v>244.69</v>
      </c>
      <c r="H823" t="str">
        <f>"CRIMINAL COURT 242020"</f>
        <v>CRIMINAL COURT 242020</v>
      </c>
    </row>
    <row r="824" spans="1:8" x14ac:dyDescent="0.25">
      <c r="E824" t="str">
        <f>"202002185357"</f>
        <v>202002185357</v>
      </c>
      <c r="F824" t="str">
        <f>"CRIMINAL COURT 021220"</f>
        <v>CRIMINAL COURT 021220</v>
      </c>
      <c r="G824" s="2">
        <v>344.69</v>
      </c>
      <c r="H824" t="str">
        <f>"CRIMINAL COURT 021220"</f>
        <v>CRIMINAL COURT 021220</v>
      </c>
    </row>
    <row r="825" spans="1:8" x14ac:dyDescent="0.25">
      <c r="A825" t="s">
        <v>230</v>
      </c>
      <c r="B825">
        <v>130984</v>
      </c>
      <c r="C825" s="2">
        <v>264.63</v>
      </c>
      <c r="D825" s="1">
        <v>43885</v>
      </c>
      <c r="E825" t="str">
        <f>"202002185374"</f>
        <v>202002185374</v>
      </c>
      <c r="F825" t="str">
        <f>"INDIGENT HEALTH"</f>
        <v>INDIGENT HEALTH</v>
      </c>
      <c r="G825" s="2">
        <v>264.63</v>
      </c>
      <c r="H825" t="str">
        <f>"INDIGENT HEALTH"</f>
        <v>INDIGENT HEALTH</v>
      </c>
    </row>
    <row r="826" spans="1:8" x14ac:dyDescent="0.25">
      <c r="A826" t="s">
        <v>231</v>
      </c>
      <c r="B826">
        <v>130811</v>
      </c>
      <c r="C826" s="2">
        <v>181.3</v>
      </c>
      <c r="D826" s="1">
        <v>43871</v>
      </c>
      <c r="E826" t="str">
        <f>"INV001858462"</f>
        <v>INV001858462</v>
      </c>
      <c r="F826" t="str">
        <f>"INV001858462"</f>
        <v>INV001858462</v>
      </c>
      <c r="G826" s="2">
        <v>181.3</v>
      </c>
      <c r="H826" t="str">
        <f>"INV001858462"</f>
        <v>INV001858462</v>
      </c>
    </row>
    <row r="827" spans="1:8" x14ac:dyDescent="0.25">
      <c r="A827" t="s">
        <v>232</v>
      </c>
      <c r="B827">
        <v>2250</v>
      </c>
      <c r="C827" s="2">
        <v>1104</v>
      </c>
      <c r="D827" s="1">
        <v>43886</v>
      </c>
      <c r="E827" t="str">
        <f>"200206"</f>
        <v>200206</v>
      </c>
      <c r="F827" t="str">
        <f>"PREPARATION OF PARTIAL RECORD"</f>
        <v>PREPARATION OF PARTIAL RECORD</v>
      </c>
      <c r="G827" s="2">
        <v>1104</v>
      </c>
      <c r="H827" t="str">
        <f>"PREPARATION OF PARTIAL RECORD"</f>
        <v>PREPARATION OF PARTIAL RECORD</v>
      </c>
    </row>
    <row r="828" spans="1:8" x14ac:dyDescent="0.25">
      <c r="A828" t="s">
        <v>233</v>
      </c>
      <c r="B828">
        <v>2136</v>
      </c>
      <c r="C828" s="2">
        <v>3231.25</v>
      </c>
      <c r="D828" s="1">
        <v>43872</v>
      </c>
      <c r="E828" t="str">
        <f>"202002034974"</f>
        <v>202002034974</v>
      </c>
      <c r="F828" t="str">
        <f>"19-19986"</f>
        <v>19-19986</v>
      </c>
      <c r="G828" s="2">
        <v>100</v>
      </c>
      <c r="H828" t="str">
        <f>"19-19986"</f>
        <v>19-19986</v>
      </c>
    </row>
    <row r="829" spans="1:8" x14ac:dyDescent="0.25">
      <c r="E829" t="str">
        <f>"202002034975"</f>
        <v>202002034975</v>
      </c>
      <c r="F829" t="str">
        <f>"19-19768"</f>
        <v>19-19768</v>
      </c>
      <c r="G829" s="2">
        <v>100</v>
      </c>
      <c r="H829" t="str">
        <f>"19-19768"</f>
        <v>19-19768</v>
      </c>
    </row>
    <row r="830" spans="1:8" x14ac:dyDescent="0.25">
      <c r="E830" t="str">
        <f>"202002034976"</f>
        <v>202002034976</v>
      </c>
      <c r="F830" t="str">
        <f>"20-20056"</f>
        <v>20-20056</v>
      </c>
      <c r="G830" s="2">
        <v>100</v>
      </c>
      <c r="H830" t="str">
        <f>"20-20056"</f>
        <v>20-20056</v>
      </c>
    </row>
    <row r="831" spans="1:8" x14ac:dyDescent="0.25">
      <c r="E831" t="str">
        <f>"202002034977"</f>
        <v>202002034977</v>
      </c>
      <c r="F831" t="str">
        <f>"102042019H  925352-0337A001"</f>
        <v>102042019H  925352-0337A001</v>
      </c>
      <c r="G831" s="2">
        <v>125</v>
      </c>
      <c r="H831" t="str">
        <f>"102042019H  925352-0337A001"</f>
        <v>102042019H  925352-0337A001</v>
      </c>
    </row>
    <row r="832" spans="1:8" x14ac:dyDescent="0.25">
      <c r="E832" t="str">
        <f>"202002045119"</f>
        <v>202002045119</v>
      </c>
      <c r="F832" t="str">
        <f>"17-18443"</f>
        <v>17-18443</v>
      </c>
      <c r="G832" s="2">
        <v>2256.25</v>
      </c>
      <c r="H832" t="str">
        <f>"17-18443"</f>
        <v>17-18443</v>
      </c>
    </row>
    <row r="833" spans="1:8" x14ac:dyDescent="0.25">
      <c r="E833" t="str">
        <f>"202002045120"</f>
        <v>202002045120</v>
      </c>
      <c r="F833" t="str">
        <f>"20-20056"</f>
        <v>20-20056</v>
      </c>
      <c r="G833" s="2">
        <v>550</v>
      </c>
      <c r="H833" t="str">
        <f>"20-20056"</f>
        <v>20-20056</v>
      </c>
    </row>
    <row r="834" spans="1:8" x14ac:dyDescent="0.25">
      <c r="A834" t="s">
        <v>233</v>
      </c>
      <c r="B834">
        <v>2209</v>
      </c>
      <c r="C834" s="2">
        <v>850</v>
      </c>
      <c r="D834" s="1">
        <v>43886</v>
      </c>
      <c r="E834" t="str">
        <f>"202002195413"</f>
        <v>202002195413</v>
      </c>
      <c r="F834" t="str">
        <f>"20-20074"</f>
        <v>20-20074</v>
      </c>
      <c r="G834" s="2">
        <v>100</v>
      </c>
      <c r="H834" t="str">
        <f>"20-20074"</f>
        <v>20-20074</v>
      </c>
    </row>
    <row r="835" spans="1:8" x14ac:dyDescent="0.25">
      <c r="E835" t="str">
        <f>"202002195414"</f>
        <v>202002195414</v>
      </c>
      <c r="F835" t="str">
        <f>"19-19526"</f>
        <v>19-19526</v>
      </c>
      <c r="G835" s="2">
        <v>100</v>
      </c>
      <c r="H835" t="str">
        <f>"19-19526"</f>
        <v>19-19526</v>
      </c>
    </row>
    <row r="836" spans="1:8" x14ac:dyDescent="0.25">
      <c r="E836" t="str">
        <f>"202002195415"</f>
        <v>202002195415</v>
      </c>
      <c r="F836" t="str">
        <f>"19-19521"</f>
        <v>19-19521</v>
      </c>
      <c r="G836" s="2">
        <v>100</v>
      </c>
      <c r="H836" t="str">
        <f>"19-19521"</f>
        <v>19-19521</v>
      </c>
    </row>
    <row r="837" spans="1:8" x14ac:dyDescent="0.25">
      <c r="E837" t="str">
        <f>"202002195416"</f>
        <v>202002195416</v>
      </c>
      <c r="F837" t="str">
        <f>"20-20098"</f>
        <v>20-20098</v>
      </c>
      <c r="G837" s="2">
        <v>100</v>
      </c>
      <c r="H837" t="str">
        <f>"20-20098"</f>
        <v>20-20098</v>
      </c>
    </row>
    <row r="838" spans="1:8" x14ac:dyDescent="0.25">
      <c r="E838" t="str">
        <f>"202002195441"</f>
        <v>202002195441</v>
      </c>
      <c r="F838" t="str">
        <f>"19-19954"</f>
        <v>19-19954</v>
      </c>
      <c r="G838" s="2">
        <v>450</v>
      </c>
      <c r="H838" t="str">
        <f>"19-19954"</f>
        <v>19-19954</v>
      </c>
    </row>
    <row r="839" spans="1:8" x14ac:dyDescent="0.25">
      <c r="A839" t="s">
        <v>234</v>
      </c>
      <c r="B839">
        <v>130985</v>
      </c>
      <c r="C839" s="2">
        <v>283.88</v>
      </c>
      <c r="D839" s="1">
        <v>43885</v>
      </c>
      <c r="E839" t="str">
        <f>"21133452"</f>
        <v>21133452</v>
      </c>
      <c r="F839" t="str">
        <f>"ACCT#41472/PCT#1"</f>
        <v>ACCT#41472/PCT#1</v>
      </c>
      <c r="G839" s="2">
        <v>26.73</v>
      </c>
      <c r="H839" t="str">
        <f>"ACCT#41472/PCT#1"</f>
        <v>ACCT#41472/PCT#1</v>
      </c>
    </row>
    <row r="840" spans="1:8" x14ac:dyDescent="0.25">
      <c r="E840" t="str">
        <f>"21133534"</f>
        <v>21133534</v>
      </c>
      <c r="F840" t="str">
        <f>"ACCT#45057/PCT#4"</f>
        <v>ACCT#45057/PCT#4</v>
      </c>
      <c r="G840" s="2">
        <v>48.73</v>
      </c>
      <c r="H840" t="str">
        <f>"ACCT#45057/PCT#4"</f>
        <v>ACCT#45057/PCT#4</v>
      </c>
    </row>
    <row r="841" spans="1:8" x14ac:dyDescent="0.25">
      <c r="E841" t="str">
        <f>"21133590"</f>
        <v>21133590</v>
      </c>
      <c r="F841" t="str">
        <f>"INV 21133590"</f>
        <v>INV 21133590</v>
      </c>
      <c r="G841" s="2">
        <v>58.42</v>
      </c>
      <c r="H841" t="str">
        <f>"INV 21133590"</f>
        <v>INV 21133590</v>
      </c>
    </row>
    <row r="842" spans="1:8" x14ac:dyDescent="0.25">
      <c r="E842" t="str">
        <f>"21141142"</f>
        <v>21141142</v>
      </c>
      <c r="F842" t="str">
        <f>"ACCT#S9549/PCT#1"</f>
        <v>ACCT#S9549/PCT#1</v>
      </c>
      <c r="G842" s="2">
        <v>150</v>
      </c>
      <c r="H842" t="str">
        <f>"ACCT#S9549/PCT#1"</f>
        <v>ACCT#S9549/PCT#1</v>
      </c>
    </row>
    <row r="843" spans="1:8" x14ac:dyDescent="0.25">
      <c r="A843" t="s">
        <v>235</v>
      </c>
      <c r="B843">
        <v>130812</v>
      </c>
      <c r="C843" s="2">
        <v>516.55999999999995</v>
      </c>
      <c r="D843" s="1">
        <v>43871</v>
      </c>
      <c r="E843" t="str">
        <f>"B39685"</f>
        <v>B39685</v>
      </c>
      <c r="F843" t="str">
        <f>"7 DAY RENTAL/PCT#1"</f>
        <v>7 DAY RENTAL/PCT#1</v>
      </c>
      <c r="G843" s="2">
        <v>516.55999999999995</v>
      </c>
      <c r="H843" t="str">
        <f>"7 DAY RENTAL/PCT#1"</f>
        <v>7 DAY RENTAL/PCT#1</v>
      </c>
    </row>
    <row r="844" spans="1:8" x14ac:dyDescent="0.25">
      <c r="A844" t="s">
        <v>236</v>
      </c>
      <c r="B844">
        <v>130986</v>
      </c>
      <c r="C844" s="2">
        <v>2400</v>
      </c>
      <c r="D844" s="1">
        <v>43885</v>
      </c>
      <c r="E844" t="str">
        <f>"202002115247"</f>
        <v>202002115247</v>
      </c>
      <c r="F844" t="str">
        <f>"CAUSE#17031 / PSYCH EVAL"</f>
        <v>CAUSE#17031 / PSYCH EVAL</v>
      </c>
      <c r="G844" s="2">
        <v>2400</v>
      </c>
      <c r="H844" t="str">
        <f>"CAUSE#17031 / PSYCH EVAL"</f>
        <v>CAUSE#17031 / PSYCH EVAL</v>
      </c>
    </row>
    <row r="845" spans="1:8" x14ac:dyDescent="0.25">
      <c r="A845" t="s">
        <v>237</v>
      </c>
      <c r="B845">
        <v>130813</v>
      </c>
      <c r="C845" s="2">
        <v>650</v>
      </c>
      <c r="D845" s="1">
        <v>43871</v>
      </c>
      <c r="E845" t="str">
        <f>"0143065-IN"</f>
        <v>0143065-IN</v>
      </c>
      <c r="F845" t="str">
        <f>"McCOURT &amp; SONS EQUIPMENT  INC."</f>
        <v>McCOURT &amp; SONS EQUIPMENT  INC.</v>
      </c>
      <c r="G845" s="2">
        <v>650</v>
      </c>
      <c r="H845" t="str">
        <f>"Reclaimer Transport"</f>
        <v>Reclaimer Transport</v>
      </c>
    </row>
    <row r="846" spans="1:8" x14ac:dyDescent="0.25">
      <c r="A846" t="s">
        <v>237</v>
      </c>
      <c r="B846">
        <v>130987</v>
      </c>
      <c r="C846" s="2">
        <v>650</v>
      </c>
      <c r="D846" s="1">
        <v>43885</v>
      </c>
      <c r="E846" t="str">
        <f>"0145137-IN"</f>
        <v>0145137-IN</v>
      </c>
      <c r="F846" t="str">
        <f>"McCOURT EQUIPMENT  INC."</f>
        <v>McCOURT EQUIPMENT  INC.</v>
      </c>
      <c r="G846" s="2">
        <v>650</v>
      </c>
      <c r="H846" t="str">
        <f>"Heavy Haul"</f>
        <v>Heavy Haul</v>
      </c>
    </row>
    <row r="847" spans="1:8" x14ac:dyDescent="0.25">
      <c r="A847" t="s">
        <v>238</v>
      </c>
      <c r="B847">
        <v>2159</v>
      </c>
      <c r="C847" s="2">
        <v>78.510000000000005</v>
      </c>
      <c r="D847" s="1">
        <v>43872</v>
      </c>
      <c r="E847" t="str">
        <f>"683701"</f>
        <v>683701</v>
      </c>
      <c r="F847" t="str">
        <f>"ACCT#0900-98011130-001/PCT#3"</f>
        <v>ACCT#0900-98011130-001/PCT#3</v>
      </c>
      <c r="G847" s="2">
        <v>63.54</v>
      </c>
      <c r="H847" t="str">
        <f>"ACCT#0900-98011130-001/PCT#3"</f>
        <v>ACCT#0900-98011130-001/PCT#3</v>
      </c>
    </row>
    <row r="848" spans="1:8" x14ac:dyDescent="0.25">
      <c r="E848" t="str">
        <f>"683960"</f>
        <v>683960</v>
      </c>
      <c r="F848" t="str">
        <f>"ACCT#0900-98011130-001/SIGN SH"</f>
        <v>ACCT#0900-98011130-001/SIGN SH</v>
      </c>
      <c r="G848" s="2">
        <v>14.97</v>
      </c>
      <c r="H848" t="str">
        <f>"ACCT#0900-98011130-001/SIGN SH"</f>
        <v>ACCT#0900-98011130-001/SIGN SH</v>
      </c>
    </row>
    <row r="849" spans="1:8" x14ac:dyDescent="0.25">
      <c r="A849" t="s">
        <v>238</v>
      </c>
      <c r="B849">
        <v>2231</v>
      </c>
      <c r="C849" s="2">
        <v>29.47</v>
      </c>
      <c r="D849" s="1">
        <v>43886</v>
      </c>
      <c r="E849" t="str">
        <f>"684366"</f>
        <v>684366</v>
      </c>
      <c r="F849" t="str">
        <f>"ACCT#0900-98011130-001/SIGN SH"</f>
        <v>ACCT#0900-98011130-001/SIGN SH</v>
      </c>
      <c r="G849" s="2">
        <v>29.47</v>
      </c>
      <c r="H849" t="str">
        <f>"ACCT#0900-98011130-001/SIGN SH"</f>
        <v>ACCT#0900-98011130-001/SIGN SH</v>
      </c>
    </row>
    <row r="850" spans="1:8" x14ac:dyDescent="0.25">
      <c r="A850" t="s">
        <v>239</v>
      </c>
      <c r="B850">
        <v>130814</v>
      </c>
      <c r="C850" s="2">
        <v>16201.82</v>
      </c>
      <c r="D850" s="1">
        <v>43871</v>
      </c>
      <c r="E850" t="str">
        <f>"202002045011"</f>
        <v>202002045011</v>
      </c>
      <c r="F850" t="str">
        <f>"COLL OF DELINQ TAXES-JAN 2020"</f>
        <v>COLL OF DELINQ TAXES-JAN 2020</v>
      </c>
      <c r="G850" s="2">
        <v>16201.82</v>
      </c>
      <c r="H850" t="str">
        <f>"COLL OF DELINQ TAXES-JAN 2020"</f>
        <v>COLL OF DELINQ TAXES-JAN 2020</v>
      </c>
    </row>
    <row r="851" spans="1:8" x14ac:dyDescent="0.25">
      <c r="A851" t="s">
        <v>239</v>
      </c>
      <c r="B851">
        <v>130988</v>
      </c>
      <c r="C851" s="2">
        <v>1970</v>
      </c>
      <c r="D851" s="1">
        <v>43885</v>
      </c>
      <c r="E851" t="str">
        <f>"12197"</f>
        <v>12197</v>
      </c>
      <c r="F851" t="str">
        <f t="shared" ref="F851:F860" si="13">"ABST FEE"</f>
        <v>ABST FEE</v>
      </c>
      <c r="G851" s="2">
        <v>175</v>
      </c>
      <c r="H851" t="str">
        <f t="shared" ref="H851:H860" si="14">"ABST FEE"</f>
        <v>ABST FEE</v>
      </c>
    </row>
    <row r="852" spans="1:8" x14ac:dyDescent="0.25">
      <c r="E852" t="str">
        <f>"12561"</f>
        <v>12561</v>
      </c>
      <c r="F852" t="str">
        <f t="shared" si="13"/>
        <v>ABST FEE</v>
      </c>
      <c r="G852" s="2">
        <v>175</v>
      </c>
      <c r="H852" t="str">
        <f t="shared" si="14"/>
        <v>ABST FEE</v>
      </c>
    </row>
    <row r="853" spans="1:8" x14ac:dyDescent="0.25">
      <c r="E853" t="str">
        <f>"12658"</f>
        <v>12658</v>
      </c>
      <c r="F853" t="str">
        <f t="shared" si="13"/>
        <v>ABST FEE</v>
      </c>
      <c r="G853" s="2">
        <v>225</v>
      </c>
      <c r="H853" t="str">
        <f t="shared" si="14"/>
        <v>ABST FEE</v>
      </c>
    </row>
    <row r="854" spans="1:8" x14ac:dyDescent="0.25">
      <c r="E854" t="str">
        <f>"12826"</f>
        <v>12826</v>
      </c>
      <c r="F854" t="str">
        <f t="shared" si="13"/>
        <v>ABST FEE</v>
      </c>
      <c r="G854" s="2">
        <v>225</v>
      </c>
      <c r="H854" t="str">
        <f t="shared" si="14"/>
        <v>ABST FEE</v>
      </c>
    </row>
    <row r="855" spans="1:8" x14ac:dyDescent="0.25">
      <c r="E855" t="str">
        <f>"12981"</f>
        <v>12981</v>
      </c>
      <c r="F855" t="str">
        <f t="shared" si="13"/>
        <v>ABST FEE</v>
      </c>
      <c r="G855" s="2">
        <v>225</v>
      </c>
      <c r="H855" t="str">
        <f t="shared" si="14"/>
        <v>ABST FEE</v>
      </c>
    </row>
    <row r="856" spans="1:8" x14ac:dyDescent="0.25">
      <c r="E856" t="str">
        <f>"12993  01/10/20"</f>
        <v>12993  01/10/20</v>
      </c>
      <c r="F856" t="str">
        <f t="shared" si="13"/>
        <v>ABST FEE</v>
      </c>
      <c r="G856" s="2">
        <v>45</v>
      </c>
      <c r="H856" t="str">
        <f t="shared" si="14"/>
        <v>ABST FEE</v>
      </c>
    </row>
    <row r="857" spans="1:8" x14ac:dyDescent="0.25">
      <c r="E857" t="str">
        <f>"13105"</f>
        <v>13105</v>
      </c>
      <c r="F857" t="str">
        <f t="shared" si="13"/>
        <v>ABST FEE</v>
      </c>
      <c r="G857" s="2">
        <v>225</v>
      </c>
      <c r="H857" t="str">
        <f t="shared" si="14"/>
        <v>ABST FEE</v>
      </c>
    </row>
    <row r="858" spans="1:8" x14ac:dyDescent="0.25">
      <c r="E858" t="str">
        <f>"13142"</f>
        <v>13142</v>
      </c>
      <c r="F858" t="str">
        <f t="shared" si="13"/>
        <v>ABST FEE</v>
      </c>
      <c r="G858" s="2">
        <v>225</v>
      </c>
      <c r="H858" t="str">
        <f t="shared" si="14"/>
        <v>ABST FEE</v>
      </c>
    </row>
    <row r="859" spans="1:8" x14ac:dyDescent="0.25">
      <c r="E859" t="str">
        <f>"13271  12/13/19"</f>
        <v>13271  12/13/19</v>
      </c>
      <c r="F859" t="str">
        <f t="shared" si="13"/>
        <v>ABST FEE</v>
      </c>
      <c r="G859" s="2">
        <v>225</v>
      </c>
      <c r="H859" t="str">
        <f t="shared" si="14"/>
        <v>ABST FEE</v>
      </c>
    </row>
    <row r="860" spans="1:8" x14ac:dyDescent="0.25">
      <c r="E860" t="str">
        <f>"13355"</f>
        <v>13355</v>
      </c>
      <c r="F860" t="str">
        <f t="shared" si="13"/>
        <v>ABST FEE</v>
      </c>
      <c r="G860" s="2">
        <v>225</v>
      </c>
      <c r="H860" t="str">
        <f t="shared" si="14"/>
        <v>ABST FEE</v>
      </c>
    </row>
    <row r="861" spans="1:8" x14ac:dyDescent="0.25">
      <c r="A861" t="s">
        <v>240</v>
      </c>
      <c r="B861">
        <v>130815</v>
      </c>
      <c r="C861" s="2">
        <v>1211.32</v>
      </c>
      <c r="D861" s="1">
        <v>43871</v>
      </c>
      <c r="E861" t="str">
        <f>"202002055151"</f>
        <v>202002055151</v>
      </c>
      <c r="F861" t="str">
        <f>"INV 72983190"</f>
        <v>INV 72983190</v>
      </c>
      <c r="G861" s="2">
        <v>1211.32</v>
      </c>
      <c r="H861" t="str">
        <f>"INV 72983190"</f>
        <v>INV 72983190</v>
      </c>
    </row>
    <row r="862" spans="1:8" x14ac:dyDescent="0.25">
      <c r="E862" t="str">
        <f>""</f>
        <v/>
      </c>
      <c r="F862" t="str">
        <f>""</f>
        <v/>
      </c>
      <c r="H862" t="str">
        <f>"INV 72996000"</f>
        <v>INV 72996000</v>
      </c>
    </row>
    <row r="863" spans="1:8" x14ac:dyDescent="0.25">
      <c r="E863" t="str">
        <f>""</f>
        <v/>
      </c>
      <c r="F863" t="str">
        <f>""</f>
        <v/>
      </c>
      <c r="H863" t="str">
        <f>"INV 72981685"</f>
        <v>INV 72981685</v>
      </c>
    </row>
    <row r="864" spans="1:8" x14ac:dyDescent="0.25">
      <c r="E864" t="str">
        <f>""</f>
        <v/>
      </c>
      <c r="F864" t="str">
        <f>""</f>
        <v/>
      </c>
      <c r="H864" t="str">
        <f>"INV 73118026"</f>
        <v>INV 73118026</v>
      </c>
    </row>
    <row r="865" spans="1:8" x14ac:dyDescent="0.25">
      <c r="E865" t="str">
        <f>""</f>
        <v/>
      </c>
      <c r="F865" t="str">
        <f>""</f>
        <v/>
      </c>
      <c r="H865" t="str">
        <f>"INV 73556075"</f>
        <v>INV 73556075</v>
      </c>
    </row>
    <row r="866" spans="1:8" x14ac:dyDescent="0.25">
      <c r="E866" t="str">
        <f>""</f>
        <v/>
      </c>
      <c r="F866" t="str">
        <f>""</f>
        <v/>
      </c>
      <c r="H866" t="str">
        <f>"INV 73597989"</f>
        <v>INV 73597989</v>
      </c>
    </row>
    <row r="867" spans="1:8" x14ac:dyDescent="0.25">
      <c r="E867" t="str">
        <f>""</f>
        <v/>
      </c>
      <c r="F867" t="str">
        <f>""</f>
        <v/>
      </c>
      <c r="H867" t="str">
        <f>"INV 74200251"</f>
        <v>INV 74200251</v>
      </c>
    </row>
    <row r="868" spans="1:8" x14ac:dyDescent="0.25">
      <c r="E868" t="str">
        <f>""</f>
        <v/>
      </c>
      <c r="F868" t="str">
        <f>""</f>
        <v/>
      </c>
      <c r="H868" t="str">
        <f>"INV 74424615"</f>
        <v>INV 74424615</v>
      </c>
    </row>
    <row r="869" spans="1:8" x14ac:dyDescent="0.25">
      <c r="A869" t="s">
        <v>241</v>
      </c>
      <c r="B869">
        <v>130989</v>
      </c>
      <c r="C869" s="2">
        <v>1689.97</v>
      </c>
      <c r="D869" s="1">
        <v>43885</v>
      </c>
      <c r="E869" t="str">
        <f>"202002185365"</f>
        <v>202002185365</v>
      </c>
      <c r="F869" t="str">
        <f>"INDIGENT HEALTH"</f>
        <v>INDIGENT HEALTH</v>
      </c>
      <c r="G869" s="2">
        <v>1689.97</v>
      </c>
      <c r="H869" t="str">
        <f>"INDIGENT HEALTH"</f>
        <v>INDIGENT HEALTH</v>
      </c>
    </row>
    <row r="870" spans="1:8" x14ac:dyDescent="0.25">
      <c r="E870" t="str">
        <f>""</f>
        <v/>
      </c>
      <c r="F870" t="str">
        <f>""</f>
        <v/>
      </c>
      <c r="H870" t="str">
        <f>"INDIGENT HEALTH"</f>
        <v>INDIGENT HEALTH</v>
      </c>
    </row>
    <row r="871" spans="1:8" x14ac:dyDescent="0.25">
      <c r="A871" t="s">
        <v>242</v>
      </c>
      <c r="B871">
        <v>2145</v>
      </c>
      <c r="C871" s="2">
        <v>2000</v>
      </c>
      <c r="D871" s="1">
        <v>43872</v>
      </c>
      <c r="E871" t="str">
        <f>"202002045016"</f>
        <v>202002045016</v>
      </c>
      <c r="F871" t="str">
        <f>"VET SURG SVC JAN23 27 30 FEB03"</f>
        <v>VET SURG SVC JAN23 27 30 FEB03</v>
      </c>
      <c r="G871" s="2">
        <v>2000</v>
      </c>
      <c r="H871" t="str">
        <f>"VET SURG SVC JAN23 27 30 FEB03"</f>
        <v>VET SURG SVC JAN23 27 30 FEB03</v>
      </c>
    </row>
    <row r="872" spans="1:8" x14ac:dyDescent="0.25">
      <c r="A872" t="s">
        <v>242</v>
      </c>
      <c r="B872">
        <v>2222</v>
      </c>
      <c r="C872" s="2">
        <v>1500</v>
      </c>
      <c r="D872" s="1">
        <v>43886</v>
      </c>
      <c r="E872" t="str">
        <f>"202002195434"</f>
        <v>202002195434</v>
      </c>
      <c r="F872" t="str">
        <f>"VET SURG SVCS FEB 6 10 13"</f>
        <v>VET SURG SVCS FEB 6 10 13</v>
      </c>
      <c r="G872" s="2">
        <v>1500</v>
      </c>
      <c r="H872" t="str">
        <f>"VET SURG SVCS FEB 6 10 13"</f>
        <v>VET SURG SVCS FEB 6 10 13</v>
      </c>
    </row>
    <row r="873" spans="1:8" x14ac:dyDescent="0.25">
      <c r="A873" t="s">
        <v>243</v>
      </c>
      <c r="B873">
        <v>2224</v>
      </c>
      <c r="C873" s="2">
        <v>382.5</v>
      </c>
      <c r="D873" s="1">
        <v>43886</v>
      </c>
      <c r="E873" t="str">
        <f>"202002185362"</f>
        <v>202002185362</v>
      </c>
      <c r="F873" t="str">
        <f>"REIMBURSE MEALS/HOTEL"</f>
        <v>REIMBURSE MEALS/HOTEL</v>
      </c>
      <c r="G873" s="2">
        <v>148.76</v>
      </c>
      <c r="H873" t="str">
        <f>"REIMBURSE MEALS/HOTEL"</f>
        <v>REIMBURSE MEALS/HOTEL</v>
      </c>
    </row>
    <row r="874" spans="1:8" x14ac:dyDescent="0.25">
      <c r="E874" t="str">
        <f>"202002185363"</f>
        <v>202002185363</v>
      </c>
      <c r="F874" t="str">
        <f>"REIMBURSE MILEAGE"</f>
        <v>REIMBURSE MILEAGE</v>
      </c>
      <c r="G874" s="2">
        <v>233.74</v>
      </c>
      <c r="H874" t="str">
        <f>"REIMBURSE MILEAGE"</f>
        <v>REIMBURSE MILEAGE</v>
      </c>
    </row>
    <row r="875" spans="1:8" x14ac:dyDescent="0.25">
      <c r="A875" t="s">
        <v>244</v>
      </c>
      <c r="B875">
        <v>2232</v>
      </c>
      <c r="C875" s="2">
        <v>100</v>
      </c>
      <c r="D875" s="1">
        <v>43886</v>
      </c>
      <c r="E875" t="str">
        <f>"20-010"</f>
        <v>20-010</v>
      </c>
      <c r="F875" t="str">
        <f>"423-6569"</f>
        <v>423-6569</v>
      </c>
      <c r="G875" s="2">
        <v>100</v>
      </c>
      <c r="H875" t="str">
        <f>"423-6569"</f>
        <v>423-6569</v>
      </c>
    </row>
    <row r="876" spans="1:8" x14ac:dyDescent="0.25">
      <c r="A876" t="s">
        <v>245</v>
      </c>
      <c r="B876">
        <v>2122</v>
      </c>
      <c r="C876" s="2">
        <v>3874.5</v>
      </c>
      <c r="D876" s="1">
        <v>43872</v>
      </c>
      <c r="E876" t="str">
        <f>"21378"</f>
        <v>21378</v>
      </c>
      <c r="F876" t="str">
        <f>"FREIGHT SALES/PCT#2"</f>
        <v>FREIGHT SALES/PCT#2</v>
      </c>
      <c r="G876" s="2">
        <v>896.1</v>
      </c>
      <c r="H876" t="str">
        <f>"FREIGHT SALES/PCT#2"</f>
        <v>FREIGHT SALES/PCT#2</v>
      </c>
    </row>
    <row r="877" spans="1:8" x14ac:dyDescent="0.25">
      <c r="E877" t="str">
        <f>"21414"</f>
        <v>21414</v>
      </c>
      <c r="F877" t="str">
        <f>"FREIGHT SALES/PCT#2"</f>
        <v>FREIGHT SALES/PCT#2</v>
      </c>
      <c r="G877" s="2">
        <v>2978.4</v>
      </c>
      <c r="H877" t="str">
        <f>"FREIGHT SALES/PCT#2"</f>
        <v>FREIGHT SALES/PCT#2</v>
      </c>
    </row>
    <row r="878" spans="1:8" x14ac:dyDescent="0.25">
      <c r="A878" t="s">
        <v>245</v>
      </c>
      <c r="B878">
        <v>2195</v>
      </c>
      <c r="C878" s="2">
        <v>5495.35</v>
      </c>
      <c r="D878" s="1">
        <v>43886</v>
      </c>
      <c r="E878" t="str">
        <f>"21462"</f>
        <v>21462</v>
      </c>
      <c r="F878" t="str">
        <f>"FREIGHT SALES/PCT#2"</f>
        <v>FREIGHT SALES/PCT#2</v>
      </c>
      <c r="G878" s="2">
        <v>5495.35</v>
      </c>
      <c r="H878" t="str">
        <f>"FREIGHT SALES/PCT#2"</f>
        <v>FREIGHT SALES/PCT#2</v>
      </c>
    </row>
    <row r="879" spans="1:8" x14ac:dyDescent="0.25">
      <c r="A879" t="s">
        <v>246</v>
      </c>
      <c r="B879">
        <v>130816</v>
      </c>
      <c r="C879" s="2">
        <v>60</v>
      </c>
      <c r="D879" s="1">
        <v>43871</v>
      </c>
      <c r="E879" t="str">
        <f>"202002055153"</f>
        <v>202002055153</v>
      </c>
      <c r="F879" t="str">
        <f>"MIRIAM CORONADO"</f>
        <v>MIRIAM CORONADO</v>
      </c>
      <c r="G879" s="2">
        <v>60</v>
      </c>
      <c r="H879" t="str">
        <f>""</f>
        <v/>
      </c>
    </row>
    <row r="880" spans="1:8" x14ac:dyDescent="0.25">
      <c r="A880" t="s">
        <v>247</v>
      </c>
      <c r="B880">
        <v>130884</v>
      </c>
      <c r="C880" s="2">
        <v>40</v>
      </c>
      <c r="D880" s="1">
        <v>43874</v>
      </c>
      <c r="E880" t="str">
        <f>"202002135300"</f>
        <v>202002135300</v>
      </c>
      <c r="F880" t="str">
        <f>"Mi"</f>
        <v>Mi</v>
      </c>
      <c r="G880" s="2">
        <v>40</v>
      </c>
      <c r="H880" t="str">
        <f>"TUCKER WITHINGTON BRISCOE"</f>
        <v>TUCKER WITHINGTON BRISCOE</v>
      </c>
    </row>
    <row r="881" spans="1:8" x14ac:dyDescent="0.25">
      <c r="A881" t="s">
        <v>248</v>
      </c>
      <c r="B881">
        <v>130885</v>
      </c>
      <c r="C881" s="2">
        <v>40</v>
      </c>
      <c r="D881" s="1">
        <v>43874</v>
      </c>
      <c r="E881" t="str">
        <f>"202002135301"</f>
        <v>202002135301</v>
      </c>
      <c r="F881" t="str">
        <f>"Miscellan"</f>
        <v>Miscellan</v>
      </c>
      <c r="G881" s="2">
        <v>40</v>
      </c>
      <c r="H881" t="str">
        <f>"SANDRA JEAN GOERTZ"</f>
        <v>SANDRA JEAN GOERTZ</v>
      </c>
    </row>
    <row r="882" spans="1:8" x14ac:dyDescent="0.25">
      <c r="A882" t="s">
        <v>249</v>
      </c>
      <c r="B882">
        <v>130886</v>
      </c>
      <c r="C882" s="2">
        <v>40</v>
      </c>
      <c r="D882" s="1">
        <v>43874</v>
      </c>
      <c r="E882" t="str">
        <f>"202002135302"</f>
        <v>202002135302</v>
      </c>
      <c r="F882" t="str">
        <f>"Misce"</f>
        <v>Misce</v>
      </c>
      <c r="G882" s="2">
        <v>40</v>
      </c>
      <c r="H882" t="str">
        <f>"BLAKE ROBERT CLAMPFFER"</f>
        <v>BLAKE ROBERT CLAMPFFER</v>
      </c>
    </row>
    <row r="883" spans="1:8" x14ac:dyDescent="0.25">
      <c r="A883" t="s">
        <v>250</v>
      </c>
      <c r="B883">
        <v>130887</v>
      </c>
      <c r="C883" s="2">
        <v>40</v>
      </c>
      <c r="D883" s="1">
        <v>43874</v>
      </c>
      <c r="E883" t="str">
        <f>"202002135303"</f>
        <v>202002135303</v>
      </c>
      <c r="F883" t="str">
        <f>""</f>
        <v/>
      </c>
      <c r="G883" s="2">
        <v>40</v>
      </c>
      <c r="H883" t="str">
        <f>"JONATHAN XAVIER CHAVEZ SANCHEZ"</f>
        <v>JONATHAN XAVIER CHAVEZ SANCHEZ</v>
      </c>
    </row>
    <row r="884" spans="1:8" x14ac:dyDescent="0.25">
      <c r="A884" t="s">
        <v>251</v>
      </c>
      <c r="B884">
        <v>130888</v>
      </c>
      <c r="C884" s="2">
        <v>40</v>
      </c>
      <c r="D884" s="1">
        <v>43874</v>
      </c>
      <c r="E884" t="str">
        <f>"202002135304"</f>
        <v>202002135304</v>
      </c>
      <c r="F884" t="str">
        <f>"Miscellaneo"</f>
        <v>Miscellaneo</v>
      </c>
      <c r="G884" s="2">
        <v>40</v>
      </c>
      <c r="H884" t="str">
        <f>"JACKIE VAN EVANS"</f>
        <v>JACKIE VAN EVANS</v>
      </c>
    </row>
    <row r="885" spans="1:8" x14ac:dyDescent="0.25">
      <c r="A885" t="s">
        <v>252</v>
      </c>
      <c r="B885">
        <v>130889</v>
      </c>
      <c r="C885" s="2">
        <v>40</v>
      </c>
      <c r="D885" s="1">
        <v>43874</v>
      </c>
      <c r="E885" t="str">
        <f>"202002135305"</f>
        <v>202002135305</v>
      </c>
      <c r="F885" t="str">
        <f>"Miscell"</f>
        <v>Miscell</v>
      </c>
      <c r="G885" s="2">
        <v>40</v>
      </c>
      <c r="H885" t="str">
        <f>"MARISA JANIRA GARCIA"</f>
        <v>MARISA JANIRA GARCIA</v>
      </c>
    </row>
    <row r="886" spans="1:8" x14ac:dyDescent="0.25">
      <c r="A886" t="s">
        <v>253</v>
      </c>
      <c r="B886">
        <v>130890</v>
      </c>
      <c r="C886" s="2">
        <v>40</v>
      </c>
      <c r="D886" s="1">
        <v>43874</v>
      </c>
      <c r="E886" t="str">
        <f>"202002135306"</f>
        <v>202002135306</v>
      </c>
      <c r="F886" t="str">
        <f>"Miscel"</f>
        <v>Miscel</v>
      </c>
      <c r="G886" s="2">
        <v>40</v>
      </c>
      <c r="H886" t="str">
        <f>"CRAIG EDWARD COSGROVE"</f>
        <v>CRAIG EDWARD COSGROVE</v>
      </c>
    </row>
    <row r="887" spans="1:8" x14ac:dyDescent="0.25">
      <c r="A887" t="s">
        <v>254</v>
      </c>
      <c r="B887">
        <v>130891</v>
      </c>
      <c r="C887" s="2">
        <v>40</v>
      </c>
      <c r="D887" s="1">
        <v>43874</v>
      </c>
      <c r="E887" t="str">
        <f>"202002135307"</f>
        <v>202002135307</v>
      </c>
      <c r="F887" t="str">
        <f>"Misce"</f>
        <v>Misce</v>
      </c>
      <c r="G887" s="2">
        <v>40</v>
      </c>
      <c r="H887" t="str">
        <f>"VICTORIA MAXWELL ALLEN"</f>
        <v>VICTORIA MAXWELL ALLEN</v>
      </c>
    </row>
    <row r="888" spans="1:8" x14ac:dyDescent="0.25">
      <c r="A888" t="s">
        <v>255</v>
      </c>
      <c r="B888">
        <v>130892</v>
      </c>
      <c r="C888" s="2">
        <v>40</v>
      </c>
      <c r="D888" s="1">
        <v>43874</v>
      </c>
      <c r="E888" t="str">
        <f>"202002135308"</f>
        <v>202002135308</v>
      </c>
      <c r="F888" t="str">
        <f>"Miscel"</f>
        <v>Miscel</v>
      </c>
      <c r="G888" s="2">
        <v>40</v>
      </c>
      <c r="H888" t="str">
        <f>"MIGUEL ANGEL DELACRUZ"</f>
        <v>MIGUEL ANGEL DELACRUZ</v>
      </c>
    </row>
    <row r="889" spans="1:8" x14ac:dyDescent="0.25">
      <c r="A889" t="s">
        <v>256</v>
      </c>
      <c r="B889">
        <v>130893</v>
      </c>
      <c r="C889" s="2">
        <v>40</v>
      </c>
      <c r="D889" s="1">
        <v>43874</v>
      </c>
      <c r="E889" t="str">
        <f>"202002135309"</f>
        <v>202002135309</v>
      </c>
      <c r="F889" t="str">
        <f>"Miscellaneous"</f>
        <v>Miscellaneous</v>
      </c>
      <c r="G889" s="2">
        <v>40</v>
      </c>
      <c r="H889" t="str">
        <f>"JO LYNN COHEN"</f>
        <v>JO LYNN COHEN</v>
      </c>
    </row>
    <row r="890" spans="1:8" x14ac:dyDescent="0.25">
      <c r="A890" t="s">
        <v>257</v>
      </c>
      <c r="B890">
        <v>130894</v>
      </c>
      <c r="C890" s="2">
        <v>40</v>
      </c>
      <c r="D890" s="1">
        <v>43874</v>
      </c>
      <c r="E890" t="str">
        <f>"202002135310"</f>
        <v>202002135310</v>
      </c>
      <c r="F890" t="str">
        <f>"Misce"</f>
        <v>Misce</v>
      </c>
      <c r="G890" s="2">
        <v>40</v>
      </c>
      <c r="H890" t="str">
        <f>"SALLIE SKELLEY BLALOCK"</f>
        <v>SALLIE SKELLEY BLALOCK</v>
      </c>
    </row>
    <row r="891" spans="1:8" x14ac:dyDescent="0.25">
      <c r="A891" t="s">
        <v>258</v>
      </c>
      <c r="B891">
        <v>130990</v>
      </c>
      <c r="C891" s="2">
        <v>610.59</v>
      </c>
      <c r="D891" s="1">
        <v>43885</v>
      </c>
      <c r="E891" t="str">
        <f>"P20*00023"</f>
        <v>P20*00023</v>
      </c>
      <c r="F891" t="str">
        <f>"INV P20*00023"</f>
        <v>INV P20*00023</v>
      </c>
      <c r="G891" s="2">
        <v>610.59</v>
      </c>
      <c r="H891" t="str">
        <f>"INV P20*00023"</f>
        <v>INV P20*00023</v>
      </c>
    </row>
    <row r="892" spans="1:8" x14ac:dyDescent="0.25">
      <c r="A892" t="s">
        <v>259</v>
      </c>
      <c r="B892">
        <v>130817</v>
      </c>
      <c r="C892" s="2">
        <v>8481.9</v>
      </c>
      <c r="D892" s="1">
        <v>43871</v>
      </c>
      <c r="E892" t="str">
        <f>"16088489"</f>
        <v>16088489</v>
      </c>
      <c r="F892" t="str">
        <f>"Radios"</f>
        <v>Radios</v>
      </c>
      <c r="G892" s="2">
        <v>8472.2000000000007</v>
      </c>
      <c r="H892" t="str">
        <f>"H98UCH9PW7BN"</f>
        <v>H98UCH9PW7BN</v>
      </c>
    </row>
    <row r="893" spans="1:8" x14ac:dyDescent="0.25">
      <c r="E893" t="str">
        <f>""</f>
        <v/>
      </c>
      <c r="F893" t="str">
        <f>""</f>
        <v/>
      </c>
      <c r="H893" t="str">
        <f>"Q806"</f>
        <v>Q806</v>
      </c>
    </row>
    <row r="894" spans="1:8" x14ac:dyDescent="0.25">
      <c r="E894" t="str">
        <f>""</f>
        <v/>
      </c>
      <c r="F894" t="str">
        <f>""</f>
        <v/>
      </c>
      <c r="H894" t="str">
        <f>"H38"</f>
        <v>H38</v>
      </c>
    </row>
    <row r="895" spans="1:8" x14ac:dyDescent="0.25">
      <c r="E895" t="str">
        <f>""</f>
        <v/>
      </c>
      <c r="F895" t="str">
        <f>""</f>
        <v/>
      </c>
      <c r="H895" t="str">
        <f>"Q361"</f>
        <v>Q361</v>
      </c>
    </row>
    <row r="896" spans="1:8" x14ac:dyDescent="0.25">
      <c r="E896" t="str">
        <f>""</f>
        <v/>
      </c>
      <c r="F896" t="str">
        <f>""</f>
        <v/>
      </c>
      <c r="H896" t="str">
        <f>"QA01648"</f>
        <v>QA01648</v>
      </c>
    </row>
    <row r="897" spans="1:8" x14ac:dyDescent="0.25">
      <c r="E897" t="str">
        <f>""</f>
        <v/>
      </c>
      <c r="F897" t="str">
        <f>""</f>
        <v/>
      </c>
      <c r="H897" t="str">
        <f>"QA01767"</f>
        <v>QA01767</v>
      </c>
    </row>
    <row r="898" spans="1:8" x14ac:dyDescent="0.25">
      <c r="E898" t="str">
        <f>""</f>
        <v/>
      </c>
      <c r="F898" t="str">
        <f>""</f>
        <v/>
      </c>
      <c r="H898" t="str">
        <f>"H869"</f>
        <v>H869</v>
      </c>
    </row>
    <row r="899" spans="1:8" x14ac:dyDescent="0.25">
      <c r="E899" t="str">
        <f>""</f>
        <v/>
      </c>
      <c r="F899" t="str">
        <f>""</f>
        <v/>
      </c>
      <c r="H899" t="str">
        <f>"CREDIT"</f>
        <v>CREDIT</v>
      </c>
    </row>
    <row r="900" spans="1:8" x14ac:dyDescent="0.25">
      <c r="E900" t="str">
        <f>""</f>
        <v/>
      </c>
      <c r="F900" t="str">
        <f>""</f>
        <v/>
      </c>
      <c r="H900" t="str">
        <f>"QA05574"</f>
        <v>QA05574</v>
      </c>
    </row>
    <row r="901" spans="1:8" x14ac:dyDescent="0.25">
      <c r="E901" t="str">
        <f>""</f>
        <v/>
      </c>
      <c r="F901" t="str">
        <f>""</f>
        <v/>
      </c>
      <c r="H901" t="str">
        <f>"QA01833"</f>
        <v>QA01833</v>
      </c>
    </row>
    <row r="902" spans="1:8" x14ac:dyDescent="0.25">
      <c r="E902" t="str">
        <f>""</f>
        <v/>
      </c>
      <c r="F902" t="str">
        <f>""</f>
        <v/>
      </c>
      <c r="H902" t="str">
        <f>"Q887"</f>
        <v>Q887</v>
      </c>
    </row>
    <row r="903" spans="1:8" x14ac:dyDescent="0.25">
      <c r="E903" t="str">
        <f>""</f>
        <v/>
      </c>
      <c r="F903" t="str">
        <f>""</f>
        <v/>
      </c>
      <c r="H903" t="str">
        <f>"PROMO"</f>
        <v>PROMO</v>
      </c>
    </row>
    <row r="904" spans="1:8" x14ac:dyDescent="0.25">
      <c r="E904" t="str">
        <f>""</f>
        <v/>
      </c>
      <c r="F904" t="str">
        <f>""</f>
        <v/>
      </c>
      <c r="H904" t="str">
        <f>"QA09008"</f>
        <v>QA09008</v>
      </c>
    </row>
    <row r="905" spans="1:8" x14ac:dyDescent="0.25">
      <c r="E905" t="str">
        <f>""</f>
        <v/>
      </c>
      <c r="F905" t="str">
        <f>""</f>
        <v/>
      </c>
      <c r="H905" t="str">
        <f>"NNTN8860A"</f>
        <v>NNTN8860A</v>
      </c>
    </row>
    <row r="906" spans="1:8" x14ac:dyDescent="0.25">
      <c r="E906" t="str">
        <f>""</f>
        <v/>
      </c>
      <c r="F906" t="str">
        <f>""</f>
        <v/>
      </c>
      <c r="H906" t="str">
        <f>"NNTN8930"</f>
        <v>NNTN8930</v>
      </c>
    </row>
    <row r="907" spans="1:8" x14ac:dyDescent="0.25">
      <c r="E907" t="str">
        <f>"3675590B03"</f>
        <v>3675590B03</v>
      </c>
      <c r="F907" t="str">
        <f>"INV# 16088050"</f>
        <v>INV# 16088050</v>
      </c>
      <c r="G907" s="2">
        <v>9.6999999999999993</v>
      </c>
      <c r="H907" t="str">
        <f>"ITEM# 3675590B03"</f>
        <v>ITEM# 3675590B03</v>
      </c>
    </row>
    <row r="908" spans="1:8" x14ac:dyDescent="0.25">
      <c r="A908" t="s">
        <v>259</v>
      </c>
      <c r="B908">
        <v>130991</v>
      </c>
      <c r="C908" s="2">
        <v>20769.310000000001</v>
      </c>
      <c r="D908" s="1">
        <v>43885</v>
      </c>
      <c r="E908" t="str">
        <f>"8230257505"</f>
        <v>8230257505</v>
      </c>
      <c r="F908" t="str">
        <f>"ACCT#1036215277"</f>
        <v>ACCT#1036215277</v>
      </c>
      <c r="G908" s="2">
        <v>20769.310000000001</v>
      </c>
      <c r="H908" t="str">
        <f>"ACCT#1036215277"</f>
        <v>ACCT#1036215277</v>
      </c>
    </row>
    <row r="909" spans="1:8" x14ac:dyDescent="0.25">
      <c r="A909" t="s">
        <v>260</v>
      </c>
      <c r="B909">
        <v>130992</v>
      </c>
      <c r="C909" s="2">
        <v>444.43</v>
      </c>
      <c r="D909" s="1">
        <v>43885</v>
      </c>
      <c r="E909" t="str">
        <f>"202002185375"</f>
        <v>202002185375</v>
      </c>
      <c r="F909" t="str">
        <f>"INDIGENT HEALTH"</f>
        <v>INDIGENT HEALTH</v>
      </c>
      <c r="G909" s="2">
        <v>444.43</v>
      </c>
      <c r="H909" t="str">
        <f>"INDIGENT HEALTH"</f>
        <v>INDIGENT HEALTH</v>
      </c>
    </row>
    <row r="910" spans="1:8" x14ac:dyDescent="0.25">
      <c r="A910" t="s">
        <v>261</v>
      </c>
      <c r="B910">
        <v>130993</v>
      </c>
      <c r="C910" s="2">
        <v>255</v>
      </c>
      <c r="D910" s="1">
        <v>43885</v>
      </c>
      <c r="E910" t="str">
        <f>"202002125295"</f>
        <v>202002125295</v>
      </c>
      <c r="F910" t="str">
        <f>"REIMBURSE BAIL BOND COUPONS"</f>
        <v>REIMBURSE BAIL BOND COUPONS</v>
      </c>
      <c r="G910" s="2">
        <v>255</v>
      </c>
      <c r="H910" t="str">
        <f>"REIMBURSE BAIL BOND COUPONS"</f>
        <v>REIMBURSE BAIL BOND COUPONS</v>
      </c>
    </row>
    <row r="911" spans="1:8" x14ac:dyDescent="0.25">
      <c r="A911" t="s">
        <v>262</v>
      </c>
      <c r="B911">
        <v>130818</v>
      </c>
      <c r="C911" s="2">
        <v>1105</v>
      </c>
      <c r="D911" s="1">
        <v>43871</v>
      </c>
      <c r="E911" t="str">
        <f>"202002055152"</f>
        <v>202002055152</v>
      </c>
      <c r="F911" t="str">
        <f>"JOB 1-15-20-02"</f>
        <v>JOB 1-15-20-02</v>
      </c>
      <c r="G911" s="2">
        <v>1105</v>
      </c>
      <c r="H911" t="str">
        <f>"JOB 1-15-20-02"</f>
        <v>JOB 1-15-20-02</v>
      </c>
    </row>
    <row r="912" spans="1:8" x14ac:dyDescent="0.25">
      <c r="E912" t="str">
        <f>""</f>
        <v/>
      </c>
      <c r="F912" t="str">
        <f>""</f>
        <v/>
      </c>
      <c r="H912" t="str">
        <f>"JOB 1-16-20-01"</f>
        <v>JOB 1-16-20-01</v>
      </c>
    </row>
    <row r="913" spans="1:9" x14ac:dyDescent="0.25">
      <c r="E913" t="str">
        <f>""</f>
        <v/>
      </c>
      <c r="F913" t="str">
        <f>""</f>
        <v/>
      </c>
      <c r="H913" t="str">
        <f>"JOB 1-21-20-01"</f>
        <v>JOB 1-21-20-01</v>
      </c>
    </row>
    <row r="914" spans="1:9" x14ac:dyDescent="0.25">
      <c r="A914" t="s">
        <v>262</v>
      </c>
      <c r="B914">
        <v>130994</v>
      </c>
      <c r="C914" s="2">
        <v>680</v>
      </c>
      <c r="D914" s="1">
        <v>43885</v>
      </c>
      <c r="E914" t="str">
        <f>"2-3-20-02"</f>
        <v>2-3-20-02</v>
      </c>
      <c r="F914" t="str">
        <f>"JOB 2-3-20-02"</f>
        <v>JOB 2-3-20-02</v>
      </c>
      <c r="G914" s="2">
        <v>212.5</v>
      </c>
      <c r="H914" t="str">
        <f>"JOB 2-3-20-02"</f>
        <v>JOB 2-3-20-02</v>
      </c>
    </row>
    <row r="915" spans="1:9" x14ac:dyDescent="0.25">
      <c r="E915" t="str">
        <f>"202002195453"</f>
        <v>202002195453</v>
      </c>
      <c r="F915" t="str">
        <f>"JOB 02-10-20-02"</f>
        <v>JOB 02-10-20-02</v>
      </c>
      <c r="G915" s="2">
        <v>467.5</v>
      </c>
      <c r="H915" t="str">
        <f>"JOB 02-10-20-02"</f>
        <v>JOB 02-10-20-02</v>
      </c>
    </row>
    <row r="916" spans="1:9" x14ac:dyDescent="0.25">
      <c r="A916" t="s">
        <v>263</v>
      </c>
      <c r="B916">
        <v>130995</v>
      </c>
      <c r="C916" s="2">
        <v>300</v>
      </c>
      <c r="D916" s="1">
        <v>43885</v>
      </c>
      <c r="E916" t="str">
        <f>"2020-05-01"</f>
        <v>2020-05-01</v>
      </c>
      <c r="F916" t="str">
        <f>"17-18617 PREPARATION OF RECORD"</f>
        <v>17-18617 PREPARATION OF RECORD</v>
      </c>
      <c r="G916" s="2">
        <v>300</v>
      </c>
      <c r="H916" t="str">
        <f>"17-18617 PREPARATION OF RECORD"</f>
        <v>17-18617 PREPARATION OF RECORD</v>
      </c>
    </row>
    <row r="917" spans="1:9" x14ac:dyDescent="0.25">
      <c r="A917" t="s">
        <v>264</v>
      </c>
      <c r="B917">
        <v>130996</v>
      </c>
      <c r="C917" s="2">
        <v>50</v>
      </c>
      <c r="D917" s="1">
        <v>43885</v>
      </c>
      <c r="E917" t="s">
        <v>140</v>
      </c>
      <c r="F917" t="s">
        <v>265</v>
      </c>
      <c r="G917" s="2" t="str">
        <f>"RESTITUTION - TRISTAN CHURCH"</f>
        <v>RESTITUTION - TRISTAN CHURCH</v>
      </c>
      <c r="H917" t="str">
        <f>"210-0000"</f>
        <v>210-0000</v>
      </c>
      <c r="I917" t="str">
        <f>""</f>
        <v/>
      </c>
    </row>
    <row r="918" spans="1:9" x14ac:dyDescent="0.25">
      <c r="A918" t="s">
        <v>266</v>
      </c>
      <c r="B918">
        <v>2114</v>
      </c>
      <c r="C918" s="2">
        <v>3875.08</v>
      </c>
      <c r="D918" s="1">
        <v>43872</v>
      </c>
      <c r="E918" t="str">
        <f>"IN0835490"</f>
        <v>IN0835490</v>
      </c>
      <c r="F918" t="str">
        <f>"INV IN0835490"</f>
        <v>INV IN0835490</v>
      </c>
      <c r="G918" s="2">
        <v>3875.08</v>
      </c>
      <c r="H918" t="str">
        <f>"INV IN0835490"</f>
        <v>INV IN0835490</v>
      </c>
    </row>
    <row r="919" spans="1:9" x14ac:dyDescent="0.25">
      <c r="A919" t="s">
        <v>267</v>
      </c>
      <c r="B919">
        <v>130819</v>
      </c>
      <c r="C919" s="2">
        <v>6893</v>
      </c>
      <c r="D919" s="1">
        <v>43871</v>
      </c>
      <c r="E919" t="str">
        <f>"1530"</f>
        <v>1530</v>
      </c>
      <c r="F919" t="str">
        <f>"INV 1530"</f>
        <v>INV 1530</v>
      </c>
      <c r="G919" s="2">
        <v>3643</v>
      </c>
      <c r="H919" t="str">
        <f>"INV 1530"</f>
        <v>INV 1530</v>
      </c>
    </row>
    <row r="920" spans="1:9" x14ac:dyDescent="0.25">
      <c r="E920" t="str">
        <f>"1531"</f>
        <v>1531</v>
      </c>
      <c r="F920" t="str">
        <f>"INV 1531"</f>
        <v>INV 1531</v>
      </c>
      <c r="G920" s="2">
        <v>1625</v>
      </c>
      <c r="H920" t="str">
        <f>"INV 1531"</f>
        <v>INV 1531</v>
      </c>
    </row>
    <row r="921" spans="1:9" x14ac:dyDescent="0.25">
      <c r="E921" t="str">
        <f>"1532"</f>
        <v>1532</v>
      </c>
      <c r="F921" t="str">
        <f>"INV 1532"</f>
        <v>INV 1532</v>
      </c>
      <c r="G921" s="2">
        <v>1625</v>
      </c>
      <c r="H921" t="str">
        <f>"INV 1532"</f>
        <v>INV 1532</v>
      </c>
    </row>
    <row r="922" spans="1:9" x14ac:dyDescent="0.25">
      <c r="A922" t="s">
        <v>268</v>
      </c>
      <c r="B922">
        <v>130820</v>
      </c>
      <c r="C922" s="2">
        <v>900</v>
      </c>
      <c r="D922" s="1">
        <v>43871</v>
      </c>
      <c r="E922" t="str">
        <f>"202002055145"</f>
        <v>202002055145</v>
      </c>
      <c r="F922" t="str">
        <f>"INV JAN. 07 2020"</f>
        <v>INV JAN. 07 2020</v>
      </c>
      <c r="G922" s="2">
        <v>900</v>
      </c>
      <c r="H922" t="str">
        <f>"INV JAN. 07 2020"</f>
        <v>INV JAN. 07 2020</v>
      </c>
    </row>
    <row r="923" spans="1:9" x14ac:dyDescent="0.25">
      <c r="A923" t="s">
        <v>269</v>
      </c>
      <c r="B923">
        <v>2174</v>
      </c>
      <c r="C923" s="2">
        <v>203.01</v>
      </c>
      <c r="D923" s="1">
        <v>43872</v>
      </c>
      <c r="E923" t="str">
        <f>"0581-138814"</f>
        <v>0581-138814</v>
      </c>
      <c r="F923" t="str">
        <f>"INV 0581-138814"</f>
        <v>INV 0581-138814</v>
      </c>
      <c r="G923" s="2">
        <v>14.76</v>
      </c>
      <c r="H923" t="str">
        <f>"INV 0581-138814"</f>
        <v>INV 0581-138814</v>
      </c>
    </row>
    <row r="924" spans="1:9" x14ac:dyDescent="0.25">
      <c r="E924" t="str">
        <f>"202002045015"</f>
        <v>202002045015</v>
      </c>
      <c r="F924" t="str">
        <f>"CUST#99088/PCT#4"</f>
        <v>CUST#99088/PCT#4</v>
      </c>
      <c r="G924" s="2">
        <v>188.25</v>
      </c>
      <c r="H924" t="str">
        <f>"CUST#99088/PCT#4"</f>
        <v>CUST#99088/PCT#4</v>
      </c>
    </row>
    <row r="925" spans="1:9" x14ac:dyDescent="0.25">
      <c r="A925" t="s">
        <v>269</v>
      </c>
      <c r="B925">
        <v>2244</v>
      </c>
      <c r="C925" s="2">
        <v>39.78</v>
      </c>
      <c r="D925" s="1">
        <v>43886</v>
      </c>
      <c r="E925" t="str">
        <f>"0581-140719"</f>
        <v>0581-140719</v>
      </c>
      <c r="F925" t="str">
        <f>"INV 0581-140719/UNIT 0313"</f>
        <v>INV 0581-140719/UNIT 0313</v>
      </c>
      <c r="G925" s="2">
        <v>39.78</v>
      </c>
      <c r="H925" t="str">
        <f>"INV 0581-140719 / UNIT 03"</f>
        <v>INV 0581-140719 / UNIT 03</v>
      </c>
    </row>
    <row r="926" spans="1:9" x14ac:dyDescent="0.25">
      <c r="A926" t="s">
        <v>270</v>
      </c>
      <c r="B926">
        <v>130821</v>
      </c>
      <c r="C926" s="2">
        <v>1049.76</v>
      </c>
      <c r="D926" s="1">
        <v>43871</v>
      </c>
      <c r="E926" t="str">
        <f>"1857655 1864591"</f>
        <v>1857655 1864591</v>
      </c>
      <c r="F926" t="str">
        <f>"INV 1857655"</f>
        <v>INV 1857655</v>
      </c>
      <c r="G926" s="2">
        <v>1049.76</v>
      </c>
      <c r="H926" t="str">
        <f>"INV 1857655"</f>
        <v>INV 1857655</v>
      </c>
    </row>
    <row r="927" spans="1:9" x14ac:dyDescent="0.25">
      <c r="E927" t="str">
        <f>""</f>
        <v/>
      </c>
      <c r="F927" t="str">
        <f>""</f>
        <v/>
      </c>
      <c r="H927" t="str">
        <f>"INV 1864591"</f>
        <v>INV 1864591</v>
      </c>
    </row>
    <row r="928" spans="1:9" x14ac:dyDescent="0.25">
      <c r="A928" t="s">
        <v>270</v>
      </c>
      <c r="B928">
        <v>130997</v>
      </c>
      <c r="C928" s="2">
        <v>1223.94</v>
      </c>
      <c r="D928" s="1">
        <v>43885</v>
      </c>
      <c r="E928" t="str">
        <f>"1871354 1878033"</f>
        <v>1871354 1878033</v>
      </c>
      <c r="F928" t="str">
        <f>"INV 1871354"</f>
        <v>INV 1871354</v>
      </c>
      <c r="G928" s="2">
        <v>1223.94</v>
      </c>
      <c r="H928" t="str">
        <f>"INV 1871354"</f>
        <v>INV 1871354</v>
      </c>
    </row>
    <row r="929" spans="1:8" x14ac:dyDescent="0.25">
      <c r="E929" t="str">
        <f>""</f>
        <v/>
      </c>
      <c r="F929" t="str">
        <f>""</f>
        <v/>
      </c>
      <c r="H929" t="str">
        <f>"INV 1878033"</f>
        <v>INV 1878033</v>
      </c>
    </row>
    <row r="930" spans="1:8" x14ac:dyDescent="0.25">
      <c r="A930" t="s">
        <v>271</v>
      </c>
      <c r="B930">
        <v>130822</v>
      </c>
      <c r="C930" s="2">
        <v>7057.88</v>
      </c>
      <c r="D930" s="1">
        <v>43871</v>
      </c>
      <c r="E930" t="str">
        <f>"12985422"</f>
        <v>12985422</v>
      </c>
      <c r="F930" t="str">
        <f>"bill# 12985422"</f>
        <v>bill# 12985422</v>
      </c>
      <c r="G930" s="2">
        <v>2927.94</v>
      </c>
      <c r="H930" t="str">
        <f>"Ord# 393727499001"</f>
        <v>Ord# 393727499001</v>
      </c>
    </row>
    <row r="931" spans="1:8" x14ac:dyDescent="0.25">
      <c r="E931" t="str">
        <f>""</f>
        <v/>
      </c>
      <c r="F931" t="str">
        <f>""</f>
        <v/>
      </c>
      <c r="H931" t="str">
        <f>"Ord# 394967913001"</f>
        <v>Ord# 394967913001</v>
      </c>
    </row>
    <row r="932" spans="1:8" x14ac:dyDescent="0.25">
      <c r="E932" t="str">
        <f>""</f>
        <v/>
      </c>
      <c r="F932" t="str">
        <f>""</f>
        <v/>
      </c>
      <c r="H932" t="str">
        <f>"Ord# 394969202001"</f>
        <v>Ord# 394969202001</v>
      </c>
    </row>
    <row r="933" spans="1:8" x14ac:dyDescent="0.25">
      <c r="E933" t="str">
        <f>""</f>
        <v/>
      </c>
      <c r="F933" t="str">
        <f>""</f>
        <v/>
      </c>
      <c r="H933" t="str">
        <f>"Ord# 397547493001"</f>
        <v>Ord# 397547493001</v>
      </c>
    </row>
    <row r="934" spans="1:8" x14ac:dyDescent="0.25">
      <c r="E934" t="str">
        <f>""</f>
        <v/>
      </c>
      <c r="F934" t="str">
        <f>""</f>
        <v/>
      </c>
      <c r="H934" t="str">
        <f>"Ord# 395018949001"</f>
        <v>Ord# 395018949001</v>
      </c>
    </row>
    <row r="935" spans="1:8" x14ac:dyDescent="0.25">
      <c r="E935" t="str">
        <f>""</f>
        <v/>
      </c>
      <c r="F935" t="str">
        <f>""</f>
        <v/>
      </c>
      <c r="H935" t="str">
        <f>"Ord# 393039282001"</f>
        <v>Ord# 393039282001</v>
      </c>
    </row>
    <row r="936" spans="1:8" x14ac:dyDescent="0.25">
      <c r="E936" t="str">
        <f>""</f>
        <v/>
      </c>
      <c r="F936" t="str">
        <f>""</f>
        <v/>
      </c>
      <c r="H936" t="str">
        <f>"Ord# 393352298001"</f>
        <v>Ord# 393352298001</v>
      </c>
    </row>
    <row r="937" spans="1:8" x14ac:dyDescent="0.25">
      <c r="E937" t="str">
        <f>""</f>
        <v/>
      </c>
      <c r="F937" t="str">
        <f>""</f>
        <v/>
      </c>
      <c r="H937" t="str">
        <f>"Ord# 392031107001"</f>
        <v>Ord# 392031107001</v>
      </c>
    </row>
    <row r="938" spans="1:8" x14ac:dyDescent="0.25">
      <c r="E938" t="str">
        <f>""</f>
        <v/>
      </c>
      <c r="F938" t="str">
        <f>""</f>
        <v/>
      </c>
      <c r="H938" t="str">
        <f>"Ord# 397549231001"</f>
        <v>Ord# 397549231001</v>
      </c>
    </row>
    <row r="939" spans="1:8" x14ac:dyDescent="0.25">
      <c r="E939" t="str">
        <f>""</f>
        <v/>
      </c>
      <c r="F939" t="str">
        <f>""</f>
        <v/>
      </c>
      <c r="H939" t="str">
        <f>"Ord# 392932243001"</f>
        <v>Ord# 392932243001</v>
      </c>
    </row>
    <row r="940" spans="1:8" x14ac:dyDescent="0.25">
      <c r="E940" t="str">
        <f>""</f>
        <v/>
      </c>
      <c r="F940" t="str">
        <f>""</f>
        <v/>
      </c>
      <c r="H940" t="str">
        <f>"Ord# 395814326001"</f>
        <v>Ord# 395814326001</v>
      </c>
    </row>
    <row r="941" spans="1:8" x14ac:dyDescent="0.25">
      <c r="E941" t="str">
        <f>"13846714"</f>
        <v>13846714</v>
      </c>
      <c r="F941" t="str">
        <f>"bill# 13846714"</f>
        <v>bill# 13846714</v>
      </c>
      <c r="G941" s="2">
        <v>776.58</v>
      </c>
      <c r="H941" t="str">
        <f>"ord# 432218533001"</f>
        <v>ord# 432218533001</v>
      </c>
    </row>
    <row r="942" spans="1:8" x14ac:dyDescent="0.25">
      <c r="E942" t="str">
        <f>""</f>
        <v/>
      </c>
      <c r="F942" t="str">
        <f>""</f>
        <v/>
      </c>
      <c r="H942" t="str">
        <f>"ord# 430686544001"</f>
        <v>ord# 430686544001</v>
      </c>
    </row>
    <row r="943" spans="1:8" x14ac:dyDescent="0.25">
      <c r="E943" t="str">
        <f>""</f>
        <v/>
      </c>
      <c r="F943" t="str">
        <f>""</f>
        <v/>
      </c>
      <c r="H943" t="str">
        <f>"ord# 430686993001"</f>
        <v>ord# 430686993001</v>
      </c>
    </row>
    <row r="944" spans="1:8" x14ac:dyDescent="0.25">
      <c r="E944" t="str">
        <f>""</f>
        <v/>
      </c>
      <c r="F944" t="str">
        <f>""</f>
        <v/>
      </c>
      <c r="H944" t="str">
        <f>"ord# 433733342001"</f>
        <v>ord# 433733342001</v>
      </c>
    </row>
    <row r="945" spans="5:8" x14ac:dyDescent="0.25">
      <c r="E945" t="str">
        <f>""</f>
        <v/>
      </c>
      <c r="F945" t="str">
        <f>""</f>
        <v/>
      </c>
      <c r="H945" t="str">
        <f>"ord# 432719190001"</f>
        <v>ord# 432719190001</v>
      </c>
    </row>
    <row r="946" spans="5:8" x14ac:dyDescent="0.25">
      <c r="E946" t="str">
        <f>""</f>
        <v/>
      </c>
      <c r="F946" t="str">
        <f>""</f>
        <v/>
      </c>
      <c r="H946" t="str">
        <f>"ord# 436397101001"</f>
        <v>ord# 436397101001</v>
      </c>
    </row>
    <row r="947" spans="5:8" x14ac:dyDescent="0.25">
      <c r="E947" t="str">
        <f>""</f>
        <v/>
      </c>
      <c r="F947" t="str">
        <f>""</f>
        <v/>
      </c>
      <c r="H947" t="str">
        <f>"ord# 436397913001"</f>
        <v>ord# 436397913001</v>
      </c>
    </row>
    <row r="948" spans="5:8" x14ac:dyDescent="0.25">
      <c r="E948" t="str">
        <f>""</f>
        <v/>
      </c>
      <c r="F948" t="str">
        <f>""</f>
        <v/>
      </c>
      <c r="H948" t="str">
        <f>"ord# 436397914001"</f>
        <v>ord# 436397914001</v>
      </c>
    </row>
    <row r="949" spans="5:8" x14ac:dyDescent="0.25">
      <c r="E949" t="str">
        <f>""</f>
        <v/>
      </c>
      <c r="F949" t="str">
        <f>""</f>
        <v/>
      </c>
      <c r="H949" t="str">
        <f>"ord# 433728336001"</f>
        <v>ord# 433728336001</v>
      </c>
    </row>
    <row r="950" spans="5:8" x14ac:dyDescent="0.25">
      <c r="E950" t="str">
        <f>""</f>
        <v/>
      </c>
      <c r="F950" t="str">
        <f>""</f>
        <v/>
      </c>
      <c r="H950" t="str">
        <f>"ord# 433729054001"</f>
        <v>ord# 433729054001</v>
      </c>
    </row>
    <row r="951" spans="5:8" x14ac:dyDescent="0.25">
      <c r="E951" t="str">
        <f>"681856"</f>
        <v>681856</v>
      </c>
      <c r="F951" t="str">
        <f>"bill# 13681856"</f>
        <v>bill# 13681856</v>
      </c>
      <c r="G951" s="2">
        <v>3353.36</v>
      </c>
      <c r="H951" t="str">
        <f>"ord# 427558475001"</f>
        <v>ord# 427558475001</v>
      </c>
    </row>
    <row r="952" spans="5:8" x14ac:dyDescent="0.25">
      <c r="E952" t="str">
        <f>""</f>
        <v/>
      </c>
      <c r="F952" t="str">
        <f>""</f>
        <v/>
      </c>
      <c r="H952" t="str">
        <f>"ord# 427559114001"</f>
        <v>ord# 427559114001</v>
      </c>
    </row>
    <row r="953" spans="5:8" x14ac:dyDescent="0.25">
      <c r="E953" t="str">
        <f>""</f>
        <v/>
      </c>
      <c r="F953" t="str">
        <f>""</f>
        <v/>
      </c>
      <c r="H953" t="str">
        <f>"ord# 428399727001"</f>
        <v>ord# 428399727001</v>
      </c>
    </row>
    <row r="954" spans="5:8" x14ac:dyDescent="0.25">
      <c r="E954" t="str">
        <f>""</f>
        <v/>
      </c>
      <c r="F954" t="str">
        <f>""</f>
        <v/>
      </c>
      <c r="H954" t="str">
        <f>"ord# 426703245001"</f>
        <v>ord# 426703245001</v>
      </c>
    </row>
    <row r="955" spans="5:8" x14ac:dyDescent="0.25">
      <c r="E955" t="str">
        <f>""</f>
        <v/>
      </c>
      <c r="F955" t="str">
        <f>""</f>
        <v/>
      </c>
      <c r="H955" t="str">
        <f>"ord# 428453206001"</f>
        <v>ord# 428453206001</v>
      </c>
    </row>
    <row r="956" spans="5:8" x14ac:dyDescent="0.25">
      <c r="E956" t="str">
        <f>""</f>
        <v/>
      </c>
      <c r="F956" t="str">
        <f>""</f>
        <v/>
      </c>
      <c r="H956" t="str">
        <f>"ord# 430686991001"</f>
        <v>ord# 430686991001</v>
      </c>
    </row>
    <row r="957" spans="5:8" x14ac:dyDescent="0.25">
      <c r="E957" t="str">
        <f>""</f>
        <v/>
      </c>
      <c r="F957" t="str">
        <f>""</f>
        <v/>
      </c>
      <c r="H957" t="str">
        <f>"ord# 425157196001"</f>
        <v>ord# 425157196001</v>
      </c>
    </row>
    <row r="958" spans="5:8" x14ac:dyDescent="0.25">
      <c r="E958" t="str">
        <f>""</f>
        <v/>
      </c>
      <c r="F958" t="str">
        <f>""</f>
        <v/>
      </c>
      <c r="H958" t="str">
        <f>"ord# 425157606001"</f>
        <v>ord# 425157606001</v>
      </c>
    </row>
    <row r="959" spans="5:8" x14ac:dyDescent="0.25">
      <c r="E959" t="str">
        <f>""</f>
        <v/>
      </c>
      <c r="F959" t="str">
        <f>""</f>
        <v/>
      </c>
      <c r="H959" t="str">
        <f>"ord# 426170414001"</f>
        <v>ord# 426170414001</v>
      </c>
    </row>
    <row r="960" spans="5:8" x14ac:dyDescent="0.25">
      <c r="E960" t="str">
        <f>""</f>
        <v/>
      </c>
      <c r="F960" t="str">
        <f>""</f>
        <v/>
      </c>
      <c r="H960" t="str">
        <f>"ord# 427317950001"</f>
        <v>ord# 427317950001</v>
      </c>
    </row>
    <row r="961" spans="1:8" x14ac:dyDescent="0.25">
      <c r="E961" t="str">
        <f>""</f>
        <v/>
      </c>
      <c r="F961" t="str">
        <f>""</f>
        <v/>
      </c>
      <c r="H961" t="str">
        <f>"ord# 426350624001"</f>
        <v>ord# 426350624001</v>
      </c>
    </row>
    <row r="962" spans="1:8" x14ac:dyDescent="0.25">
      <c r="E962" t="str">
        <f>""</f>
        <v/>
      </c>
      <c r="F962" t="str">
        <f>""</f>
        <v/>
      </c>
      <c r="H962" t="str">
        <f>"ord# 426351754001"</f>
        <v>ord# 426351754001</v>
      </c>
    </row>
    <row r="963" spans="1:8" x14ac:dyDescent="0.25">
      <c r="E963" t="str">
        <f>""</f>
        <v/>
      </c>
      <c r="F963" t="str">
        <f>""</f>
        <v/>
      </c>
      <c r="H963" t="str">
        <f>"ord# 429793098001"</f>
        <v>ord# 429793098001</v>
      </c>
    </row>
    <row r="964" spans="1:8" x14ac:dyDescent="0.25">
      <c r="E964" t="str">
        <f>""</f>
        <v/>
      </c>
      <c r="F964" t="str">
        <f>""</f>
        <v/>
      </c>
      <c r="H964" t="str">
        <f>"ord# 429793666001"</f>
        <v>ord# 429793666001</v>
      </c>
    </row>
    <row r="965" spans="1:8" x14ac:dyDescent="0.25">
      <c r="E965" t="str">
        <f>""</f>
        <v/>
      </c>
      <c r="F965" t="str">
        <f>""</f>
        <v/>
      </c>
      <c r="H965" t="str">
        <f>"ord# 426463877001"</f>
        <v>ord# 426463877001</v>
      </c>
    </row>
    <row r="966" spans="1:8" x14ac:dyDescent="0.25">
      <c r="E966" t="str">
        <f>""</f>
        <v/>
      </c>
      <c r="F966" t="str">
        <f>""</f>
        <v/>
      </c>
      <c r="H966" t="str">
        <f>"ord# 428915079001"</f>
        <v>ord# 428915079001</v>
      </c>
    </row>
    <row r="967" spans="1:8" x14ac:dyDescent="0.25">
      <c r="E967" t="str">
        <f>""</f>
        <v/>
      </c>
      <c r="F967" t="str">
        <f>""</f>
        <v/>
      </c>
      <c r="H967" t="str">
        <f>"ord# 425206743001"</f>
        <v>ord# 425206743001</v>
      </c>
    </row>
    <row r="968" spans="1:8" x14ac:dyDescent="0.25">
      <c r="E968" t="str">
        <f>""</f>
        <v/>
      </c>
      <c r="F968" t="str">
        <f>""</f>
        <v/>
      </c>
      <c r="H968" t="str">
        <f>"ord# 429001771001"</f>
        <v>ord# 429001771001</v>
      </c>
    </row>
    <row r="969" spans="1:8" x14ac:dyDescent="0.25">
      <c r="A969" t="s">
        <v>272</v>
      </c>
      <c r="B969">
        <v>130998</v>
      </c>
      <c r="C969" s="2">
        <v>75</v>
      </c>
      <c r="D969" s="1">
        <v>43885</v>
      </c>
      <c r="E969" t="str">
        <f>"286587"</f>
        <v>286587</v>
      </c>
      <c r="F969" t="str">
        <f>"ACCT#BASCOU/DRUG SCREEN"</f>
        <v>ACCT#BASCOU/DRUG SCREEN</v>
      </c>
      <c r="G969" s="2">
        <v>40</v>
      </c>
      <c r="H969" t="str">
        <f>"ACCT#BASCOU/DRUG SCREEN"</f>
        <v>ACCT#BASCOU/DRUG SCREEN</v>
      </c>
    </row>
    <row r="970" spans="1:8" x14ac:dyDescent="0.25">
      <c r="E970" t="str">
        <f>"286587-P1"</f>
        <v>286587-P1</v>
      </c>
      <c r="F970" t="str">
        <f>"CUST ID:BASCOU/PCT#1"</f>
        <v>CUST ID:BASCOU/PCT#1</v>
      </c>
      <c r="G970" s="2">
        <v>35</v>
      </c>
      <c r="H970" t="str">
        <f>"CUST ID:BASCOU/PCT#1"</f>
        <v>CUST ID:BASCOU/PCT#1</v>
      </c>
    </row>
    <row r="971" spans="1:8" x14ac:dyDescent="0.25">
      <c r="A971" t="s">
        <v>273</v>
      </c>
      <c r="B971">
        <v>130823</v>
      </c>
      <c r="C971" s="2">
        <v>225</v>
      </c>
      <c r="D971" s="1">
        <v>43871</v>
      </c>
      <c r="E971" t="str">
        <f>"971"</f>
        <v>971</v>
      </c>
      <c r="F971" t="str">
        <f>"VIDEO INSPECT/GEN SVCS"</f>
        <v>VIDEO INSPECT/GEN SVCS</v>
      </c>
      <c r="G971" s="2">
        <v>225</v>
      </c>
      <c r="H971" t="str">
        <f>"VIDEO INSPECT/GEN SVCS"</f>
        <v>VIDEO INSPECT/GEN SVCS</v>
      </c>
    </row>
    <row r="972" spans="1:8" x14ac:dyDescent="0.25">
      <c r="A972" t="s">
        <v>274</v>
      </c>
      <c r="B972">
        <v>130824</v>
      </c>
      <c r="C972" s="2">
        <v>237</v>
      </c>
      <c r="D972" s="1">
        <v>43871</v>
      </c>
      <c r="E972" t="str">
        <f>"272602"</f>
        <v>272602</v>
      </c>
      <c r="F972" t="str">
        <f>"Sign Shop Materials"</f>
        <v>Sign Shop Materials</v>
      </c>
      <c r="G972" s="2">
        <v>237</v>
      </c>
      <c r="H972" t="str">
        <f>"Roll Vinyl 24 x50"</f>
        <v>Roll Vinyl 24 x50</v>
      </c>
    </row>
    <row r="973" spans="1:8" x14ac:dyDescent="0.25">
      <c r="A973" t="s">
        <v>274</v>
      </c>
      <c r="B973">
        <v>130999</v>
      </c>
      <c r="C973" s="2">
        <v>682.5</v>
      </c>
      <c r="D973" s="1">
        <v>43885</v>
      </c>
      <c r="E973" t="str">
        <f>"273112  273247"</f>
        <v>273112  273247</v>
      </c>
      <c r="F973" t="str">
        <f>"SIGN SHOP MATERIALS"</f>
        <v>SIGN SHOP MATERIALS</v>
      </c>
      <c r="G973" s="2">
        <v>682.5</v>
      </c>
      <c r="H973" t="str">
        <f>"Roll Vinyl 24 x50y"</f>
        <v>Roll Vinyl 24 x50y</v>
      </c>
    </row>
    <row r="974" spans="1:8" x14ac:dyDescent="0.25">
      <c r="E974" t="str">
        <f>""</f>
        <v/>
      </c>
      <c r="F974" t="str">
        <f>""</f>
        <v/>
      </c>
      <c r="H974" t="str">
        <f>"36 x50yds"</f>
        <v>36 x50yds</v>
      </c>
    </row>
    <row r="975" spans="1:8" x14ac:dyDescent="0.25">
      <c r="A975" t="s">
        <v>275</v>
      </c>
      <c r="B975">
        <v>130825</v>
      </c>
      <c r="C975" s="2">
        <v>47535.73</v>
      </c>
      <c r="D975" s="1">
        <v>43871</v>
      </c>
      <c r="E975" t="str">
        <f>"20014"</f>
        <v>20014</v>
      </c>
      <c r="F975" t="str">
        <f>"ASPHALT EMULSION/PCT#1"</f>
        <v>ASPHALT EMULSION/PCT#1</v>
      </c>
      <c r="G975" s="2">
        <v>30829.67</v>
      </c>
      <c r="H975" t="str">
        <f>"ASPHALT EMULSION/PCT#1"</f>
        <v>ASPHALT EMULSION/PCT#1</v>
      </c>
    </row>
    <row r="976" spans="1:8" x14ac:dyDescent="0.25">
      <c r="E976" t="str">
        <f>"20023"</f>
        <v>20023</v>
      </c>
      <c r="F976" t="str">
        <f>"CHIP SEAL ASPHALT EMULSION/P2"</f>
        <v>CHIP SEAL ASPHALT EMULSION/P2</v>
      </c>
      <c r="G976" s="2">
        <v>14694.59</v>
      </c>
      <c r="H976" t="str">
        <f>"CHIP SEAL ASPHALT EMULSION/P2"</f>
        <v>CHIP SEAL ASPHALT EMULSION/P2</v>
      </c>
    </row>
    <row r="977" spans="1:8" x14ac:dyDescent="0.25">
      <c r="E977" t="str">
        <f>"20028"</f>
        <v>20028</v>
      </c>
      <c r="F977" t="str">
        <f>"ASPHALT EMULSION/PCT#1"</f>
        <v>ASPHALT EMULSION/PCT#1</v>
      </c>
      <c r="G977" s="2">
        <v>2011.47</v>
      </c>
      <c r="H977" t="str">
        <f>"ASPHALT EMULSION/PCT#1"</f>
        <v>ASPHALT EMULSION/PCT#1</v>
      </c>
    </row>
    <row r="978" spans="1:8" x14ac:dyDescent="0.25">
      <c r="A978" t="s">
        <v>276</v>
      </c>
      <c r="B978">
        <v>130826</v>
      </c>
      <c r="C978" s="2">
        <v>2548</v>
      </c>
      <c r="D978" s="1">
        <v>43871</v>
      </c>
      <c r="E978" t="str">
        <f>"72451"</f>
        <v>72451</v>
      </c>
      <c r="F978" t="str">
        <f>"PAIGE TRACTORS INC"</f>
        <v>PAIGE TRACTORS INC</v>
      </c>
      <c r="G978" s="2">
        <v>2548</v>
      </c>
      <c r="H978" t="str">
        <f>"BELTEC AUGER"</f>
        <v>BELTEC AUGER</v>
      </c>
    </row>
    <row r="979" spans="1:8" x14ac:dyDescent="0.25">
      <c r="A979" t="s">
        <v>276</v>
      </c>
      <c r="B979">
        <v>131000</v>
      </c>
      <c r="C979" s="2">
        <v>15329.99</v>
      </c>
      <c r="D979" s="1">
        <v>43885</v>
      </c>
      <c r="E979" t="str">
        <f>"72556"</f>
        <v>72556</v>
      </c>
      <c r="F979" t="str">
        <f>"PAIGE TRACTORS INC"</f>
        <v>PAIGE TRACTORS INC</v>
      </c>
      <c r="G979" s="2">
        <v>15300</v>
      </c>
      <c r="H979" t="str">
        <f>"RHINO CUTTER"</f>
        <v>RHINO CUTTER</v>
      </c>
    </row>
    <row r="980" spans="1:8" x14ac:dyDescent="0.25">
      <c r="E980" t="str">
        <f>"72587"</f>
        <v>72587</v>
      </c>
      <c r="F980" t="str">
        <f>"TRIMMER HEAD/PCT#2"</f>
        <v>TRIMMER HEAD/PCT#2</v>
      </c>
      <c r="G980" s="2">
        <v>29.99</v>
      </c>
      <c r="H980" t="str">
        <f>"TRIMMER HEAD/PCT#2"</f>
        <v>TRIMMER HEAD/PCT#2</v>
      </c>
    </row>
    <row r="981" spans="1:8" x14ac:dyDescent="0.25">
      <c r="A981" t="s">
        <v>277</v>
      </c>
      <c r="B981">
        <v>131001</v>
      </c>
      <c r="C981" s="2">
        <v>79.52</v>
      </c>
      <c r="D981" s="1">
        <v>43885</v>
      </c>
      <c r="E981" t="str">
        <f>"0000049261"</f>
        <v>0000049261</v>
      </c>
      <c r="F981" t="str">
        <f>"INV 0000049261"</f>
        <v>INV 0000049261</v>
      </c>
      <c r="G981" s="2">
        <v>79.52</v>
      </c>
      <c r="H981" t="str">
        <f>"INV 0000049261"</f>
        <v>INV 0000049261</v>
      </c>
    </row>
    <row r="982" spans="1:8" x14ac:dyDescent="0.25">
      <c r="A982" t="s">
        <v>278</v>
      </c>
      <c r="B982">
        <v>131002</v>
      </c>
      <c r="C982" s="2">
        <v>339.83</v>
      </c>
      <c r="D982" s="1">
        <v>43885</v>
      </c>
      <c r="E982" t="str">
        <f>"202002185385"</f>
        <v>202002185385</v>
      </c>
      <c r="F982" t="str">
        <f>"ACCT#1137/PCT#4"</f>
        <v>ACCT#1137/PCT#4</v>
      </c>
      <c r="G982" s="2">
        <v>339.83</v>
      </c>
      <c r="H982" t="str">
        <f>"ACCT#1137/PCT#4"</f>
        <v>ACCT#1137/PCT#4</v>
      </c>
    </row>
    <row r="983" spans="1:8" x14ac:dyDescent="0.25">
      <c r="A983" t="s">
        <v>279</v>
      </c>
      <c r="B983">
        <v>2124</v>
      </c>
      <c r="C983" s="2">
        <v>599.29999999999995</v>
      </c>
      <c r="D983" s="1">
        <v>43872</v>
      </c>
      <c r="E983" t="str">
        <f>"2008410"</f>
        <v>2008410</v>
      </c>
      <c r="F983" t="str">
        <f>"ADD OUTLET/MATERIALS/LABOR"</f>
        <v>ADD OUTLET/MATERIALS/LABOR</v>
      </c>
      <c r="G983" s="2">
        <v>288.35000000000002</v>
      </c>
      <c r="H983" t="str">
        <f>"ADD OUTLET/MATERIALS/LABOR"</f>
        <v>ADD OUTLET/MATERIALS/LABOR</v>
      </c>
    </row>
    <row r="984" spans="1:8" x14ac:dyDescent="0.25">
      <c r="E984" t="str">
        <f>"2008411"</f>
        <v>2008411</v>
      </c>
      <c r="F984" t="str">
        <f>"RELOCATE OUTLET/MATERIALS/LABO"</f>
        <v>RELOCATE OUTLET/MATERIALS/LABO</v>
      </c>
      <c r="G984" s="2">
        <v>212.05</v>
      </c>
      <c r="H984" t="str">
        <f>"RELOCATE OUTLET/MATERIALS/LABO"</f>
        <v>RELOCATE OUTLET/MATERIALS/LABO</v>
      </c>
    </row>
    <row r="985" spans="1:8" x14ac:dyDescent="0.25">
      <c r="E985" t="str">
        <f>"2008412"</f>
        <v>2008412</v>
      </c>
      <c r="F985" t="str">
        <f>"REPLACE BURNED/SHORTED OUTLET"</f>
        <v>REPLACE BURNED/SHORTED OUTLET</v>
      </c>
      <c r="G985" s="2">
        <v>98.9</v>
      </c>
      <c r="H985" t="str">
        <f>"REPLACE BURNED/SHORTED OUTLET"</f>
        <v>REPLACE BURNED/SHORTED OUTLET</v>
      </c>
    </row>
    <row r="986" spans="1:8" x14ac:dyDescent="0.25">
      <c r="A986" t="s">
        <v>280</v>
      </c>
      <c r="B986">
        <v>131003</v>
      </c>
      <c r="C986" s="2">
        <v>2159.7800000000002</v>
      </c>
      <c r="D986" s="1">
        <v>43885</v>
      </c>
      <c r="E986" t="str">
        <f>"202002195433"</f>
        <v>202002195433</v>
      </c>
      <c r="F986" t="str">
        <f>"ACCT#0200140783"</f>
        <v>ACCT#0200140783</v>
      </c>
      <c r="G986" s="2">
        <v>2159.7800000000002</v>
      </c>
      <c r="H986" t="str">
        <f>"ACCT#0200140783"</f>
        <v>ACCT#0200140783</v>
      </c>
    </row>
    <row r="987" spans="1:8" x14ac:dyDescent="0.25">
      <c r="E987" t="str">
        <f>""</f>
        <v/>
      </c>
      <c r="F987" t="str">
        <f>""</f>
        <v/>
      </c>
      <c r="H987" t="str">
        <f>"ACCT#0200140783"</f>
        <v>ACCT#0200140783</v>
      </c>
    </row>
    <row r="988" spans="1:8" x14ac:dyDescent="0.25">
      <c r="E988" t="str">
        <f>""</f>
        <v/>
      </c>
      <c r="F988" t="str">
        <f>""</f>
        <v/>
      </c>
      <c r="H988" t="str">
        <f>"ACCT#0200140783"</f>
        <v>ACCT#0200140783</v>
      </c>
    </row>
    <row r="989" spans="1:8" x14ac:dyDescent="0.25">
      <c r="A989" t="s">
        <v>281</v>
      </c>
      <c r="B989">
        <v>131004</v>
      </c>
      <c r="C989" s="2">
        <v>30000</v>
      </c>
      <c r="D989" s="1">
        <v>43885</v>
      </c>
      <c r="E989" t="str">
        <f>"413680"</f>
        <v>413680</v>
      </c>
      <c r="F989" t="str">
        <f>"CLIENT #20442/INTERIM BILLING"</f>
        <v>CLIENT #20442/INTERIM BILLING</v>
      </c>
      <c r="G989" s="2">
        <v>30000</v>
      </c>
      <c r="H989" t="str">
        <f>"CLIENT #20442/INTERIM BILLING"</f>
        <v>CLIENT #20442/INTERIM BILLING</v>
      </c>
    </row>
    <row r="990" spans="1:8" x14ac:dyDescent="0.25">
      <c r="A990" t="s">
        <v>282</v>
      </c>
      <c r="B990">
        <v>2161</v>
      </c>
      <c r="C990" s="2">
        <v>1587.5</v>
      </c>
      <c r="D990" s="1">
        <v>43872</v>
      </c>
      <c r="E990" t="str">
        <f>"202002034979"</f>
        <v>202002034979</v>
      </c>
      <c r="F990" t="str">
        <f>"57059"</f>
        <v>57059</v>
      </c>
      <c r="G990" s="2">
        <v>250</v>
      </c>
      <c r="H990" t="str">
        <f>"57059"</f>
        <v>57059</v>
      </c>
    </row>
    <row r="991" spans="1:8" x14ac:dyDescent="0.25">
      <c r="E991" t="str">
        <f>"202002045121"</f>
        <v>202002045121</v>
      </c>
      <c r="F991" t="str">
        <f>"56851"</f>
        <v>56851</v>
      </c>
      <c r="G991" s="2">
        <v>250</v>
      </c>
      <c r="H991" t="str">
        <f>"56851"</f>
        <v>56851</v>
      </c>
    </row>
    <row r="992" spans="1:8" x14ac:dyDescent="0.25">
      <c r="E992" t="str">
        <f>"202002045122"</f>
        <v>202002045122</v>
      </c>
      <c r="F992" t="str">
        <f>"57229  57230"</f>
        <v>57229  57230</v>
      </c>
      <c r="G992" s="2">
        <v>375</v>
      </c>
      <c r="H992" t="str">
        <f>"57229  57230"</f>
        <v>57229  57230</v>
      </c>
    </row>
    <row r="993" spans="1:8" x14ac:dyDescent="0.25">
      <c r="E993" t="str">
        <f>"202002055174"</f>
        <v>202002055174</v>
      </c>
      <c r="F993" t="str">
        <f>"19-19811"</f>
        <v>19-19811</v>
      </c>
      <c r="G993" s="2">
        <v>407.5</v>
      </c>
      <c r="H993" t="str">
        <f>"19-19811"</f>
        <v>19-19811</v>
      </c>
    </row>
    <row r="994" spans="1:8" x14ac:dyDescent="0.25">
      <c r="E994" t="str">
        <f>"202002055175"</f>
        <v>202002055175</v>
      </c>
      <c r="F994" t="str">
        <f>"19-19463"</f>
        <v>19-19463</v>
      </c>
      <c r="G994" s="2">
        <v>205</v>
      </c>
      <c r="H994" t="str">
        <f>"19-19463"</f>
        <v>19-19463</v>
      </c>
    </row>
    <row r="995" spans="1:8" x14ac:dyDescent="0.25">
      <c r="E995" t="str">
        <f>"202002055176"</f>
        <v>202002055176</v>
      </c>
      <c r="F995" t="str">
        <f>"20-B0025"</f>
        <v>20-B0025</v>
      </c>
      <c r="G995" s="2">
        <v>100</v>
      </c>
      <c r="H995" t="str">
        <f>"20-B0025"</f>
        <v>20-B0025</v>
      </c>
    </row>
    <row r="996" spans="1:8" x14ac:dyDescent="0.25">
      <c r="A996" t="s">
        <v>282</v>
      </c>
      <c r="B996">
        <v>2234</v>
      </c>
      <c r="C996" s="2">
        <v>1597</v>
      </c>
      <c r="D996" s="1">
        <v>43886</v>
      </c>
      <c r="E996" t="str">
        <f>"202002195404"</f>
        <v>202002195404</v>
      </c>
      <c r="F996" t="str">
        <f>"18-19190"</f>
        <v>18-19190</v>
      </c>
      <c r="G996" s="2">
        <v>650</v>
      </c>
      <c r="H996" t="str">
        <f>"18-19190"</f>
        <v>18-19190</v>
      </c>
    </row>
    <row r="997" spans="1:8" x14ac:dyDescent="0.25">
      <c r="E997" t="str">
        <f>"202002195406"</f>
        <v>202002195406</v>
      </c>
      <c r="F997" t="str">
        <f>"BC2019021B"</f>
        <v>BC2019021B</v>
      </c>
      <c r="G997" s="2">
        <v>250</v>
      </c>
      <c r="H997" t="str">
        <f>"BC2019021B"</f>
        <v>BC2019021B</v>
      </c>
    </row>
    <row r="998" spans="1:8" x14ac:dyDescent="0.25">
      <c r="E998" t="str">
        <f>"202002195408"</f>
        <v>202002195408</v>
      </c>
      <c r="F998" t="str">
        <f>"20-6-0040  20-5-00767"</f>
        <v>20-6-0040  20-5-00767</v>
      </c>
      <c r="G998" s="2">
        <v>100</v>
      </c>
      <c r="H998" t="str">
        <f>"20-6-0040  20-5-00767"</f>
        <v>20-6-0040  20-5-00767</v>
      </c>
    </row>
    <row r="999" spans="1:8" x14ac:dyDescent="0.25">
      <c r="E999" t="str">
        <f>"202002195410"</f>
        <v>202002195410</v>
      </c>
      <c r="F999" t="str">
        <f>"PD2001325"</f>
        <v>PD2001325</v>
      </c>
      <c r="G999" s="2">
        <v>100</v>
      </c>
      <c r="H999" t="str">
        <f>"PD2001325"</f>
        <v>PD2001325</v>
      </c>
    </row>
    <row r="1000" spans="1:8" x14ac:dyDescent="0.25">
      <c r="E1000" t="str">
        <f>"202002195421"</f>
        <v>202002195421</v>
      </c>
      <c r="F1000" t="str">
        <f>"20-0087"</f>
        <v>20-0087</v>
      </c>
      <c r="G1000" s="2">
        <v>272</v>
      </c>
      <c r="H1000" t="str">
        <f>"20-0087"</f>
        <v>20-0087</v>
      </c>
    </row>
    <row r="1001" spans="1:8" x14ac:dyDescent="0.25">
      <c r="E1001" t="str">
        <f>"202002195422"</f>
        <v>202002195422</v>
      </c>
      <c r="F1001" t="str">
        <f>"17-18718"</f>
        <v>17-18718</v>
      </c>
      <c r="G1001" s="2">
        <v>225</v>
      </c>
      <c r="H1001" t="str">
        <f>"17-18718"</f>
        <v>17-18718</v>
      </c>
    </row>
    <row r="1002" spans="1:8" x14ac:dyDescent="0.25">
      <c r="A1002" t="s">
        <v>283</v>
      </c>
      <c r="B1002">
        <v>130827</v>
      </c>
      <c r="C1002" s="2">
        <v>148</v>
      </c>
      <c r="D1002" s="1">
        <v>43871</v>
      </c>
      <c r="E1002" t="str">
        <f>" 003178"</f>
        <v xml:space="preserve"> 003178</v>
      </c>
      <c r="F1002" t="str">
        <f>"INSPECTIONS/PCT#4"</f>
        <v>INSPECTIONS/PCT#4</v>
      </c>
      <c r="G1002" s="2">
        <v>47</v>
      </c>
      <c r="H1002" t="str">
        <f>"INSPECTIONS/PCT#4"</f>
        <v>INSPECTIONS/PCT#4</v>
      </c>
    </row>
    <row r="1003" spans="1:8" x14ac:dyDescent="0.25">
      <c r="E1003" t="str">
        <f>"003178"</f>
        <v>003178</v>
      </c>
      <c r="F1003" t="str">
        <f>"INSPECTIONS/PCT#3"</f>
        <v>INSPECTIONS/PCT#3</v>
      </c>
      <c r="G1003" s="2">
        <v>101</v>
      </c>
      <c r="H1003" t="str">
        <f>"INSPECTIONS/PCT#3"</f>
        <v>INSPECTIONS/PCT#3</v>
      </c>
    </row>
    <row r="1004" spans="1:8" x14ac:dyDescent="0.25">
      <c r="A1004" t="s">
        <v>284</v>
      </c>
      <c r="B1004">
        <v>130828</v>
      </c>
      <c r="C1004" s="2">
        <v>117.39</v>
      </c>
      <c r="D1004" s="1">
        <v>43871</v>
      </c>
      <c r="E1004" t="str">
        <f>"209479"</f>
        <v>209479</v>
      </c>
      <c r="F1004" t="str">
        <f>"ACCT#190005"</f>
        <v>ACCT#190005</v>
      </c>
      <c r="G1004" s="2">
        <v>117.39</v>
      </c>
      <c r="H1004" t="str">
        <f>"ACCT#190005"</f>
        <v>ACCT#190005</v>
      </c>
    </row>
    <row r="1005" spans="1:8" x14ac:dyDescent="0.25">
      <c r="A1005" t="s">
        <v>285</v>
      </c>
      <c r="B1005">
        <v>2216</v>
      </c>
      <c r="C1005" s="2">
        <v>340.57</v>
      </c>
      <c r="D1005" s="1">
        <v>43886</v>
      </c>
      <c r="E1005" t="str">
        <f>"202002135312"</f>
        <v>202002135312</v>
      </c>
      <c r="F1005" t="str">
        <f>"ACCT#0005/PCT#4"</f>
        <v>ACCT#0005/PCT#4</v>
      </c>
      <c r="G1005" s="2">
        <v>340.57</v>
      </c>
      <c r="H1005" t="str">
        <f>"ACCT#0005/PCT#4"</f>
        <v>ACCT#0005/PCT#4</v>
      </c>
    </row>
    <row r="1006" spans="1:8" x14ac:dyDescent="0.25">
      <c r="A1006" t="s">
        <v>286</v>
      </c>
      <c r="B1006">
        <v>131005</v>
      </c>
      <c r="C1006" s="2">
        <v>46</v>
      </c>
      <c r="D1006" s="1">
        <v>43885</v>
      </c>
      <c r="E1006" t="str">
        <f>"202002145331"</f>
        <v>202002145331</v>
      </c>
      <c r="F1006" t="str">
        <f>"P O BOX FEE / BOX #5 / JP#2"</f>
        <v>P O BOX FEE / BOX #5 / JP#2</v>
      </c>
      <c r="G1006" s="2">
        <v>46</v>
      </c>
      <c r="H1006" t="str">
        <f>"P O BOX FEE / BOX #5 / JP#2"</f>
        <v>P O BOX FEE / BOX #5 / JP#2</v>
      </c>
    </row>
    <row r="1007" spans="1:8" x14ac:dyDescent="0.25">
      <c r="A1007" t="s">
        <v>287</v>
      </c>
      <c r="B1007">
        <v>130829</v>
      </c>
      <c r="C1007" s="2">
        <v>1330</v>
      </c>
      <c r="D1007" s="1">
        <v>43871</v>
      </c>
      <c r="E1007" t="str">
        <f>"2019152"</f>
        <v>2019152</v>
      </c>
      <c r="F1007" t="str">
        <f>"TRANSPORT - K. WILLIS"</f>
        <v>TRANSPORT - K. WILLIS</v>
      </c>
      <c r="G1007" s="2">
        <v>295</v>
      </c>
      <c r="H1007" t="str">
        <f>"TRANSPORT - K. WILLIS"</f>
        <v>TRANSPORT - K. WILLIS</v>
      </c>
    </row>
    <row r="1008" spans="1:8" x14ac:dyDescent="0.25">
      <c r="E1008" t="str">
        <f>"2019157"</f>
        <v>2019157</v>
      </c>
      <c r="F1008" t="str">
        <f>"TRANSPORT - C. JOHNSON"</f>
        <v>TRANSPORT - C. JOHNSON</v>
      </c>
      <c r="G1008" s="2">
        <v>445</v>
      </c>
      <c r="H1008" t="str">
        <f>"TRANSPORT - C. JOHNSON"</f>
        <v>TRANSPORT - C. JOHNSON</v>
      </c>
    </row>
    <row r="1009" spans="1:8" x14ac:dyDescent="0.25">
      <c r="E1009" t="str">
        <f>"2019158"</f>
        <v>2019158</v>
      </c>
      <c r="F1009" t="str">
        <f>"TRANSPORT - M. REED"</f>
        <v>TRANSPORT - M. REED</v>
      </c>
      <c r="G1009" s="2">
        <v>295</v>
      </c>
      <c r="H1009" t="str">
        <f>"TRANSPORT - M. REED"</f>
        <v>TRANSPORT - M. REED</v>
      </c>
    </row>
    <row r="1010" spans="1:8" x14ac:dyDescent="0.25">
      <c r="E1010" t="str">
        <f>"2019159"</f>
        <v>2019159</v>
      </c>
      <c r="F1010" t="str">
        <f>"TRANPOSRT - C. PREWITT"</f>
        <v>TRANPOSRT - C. PREWITT</v>
      </c>
      <c r="G1010" s="2">
        <v>295</v>
      </c>
      <c r="H1010" t="str">
        <f>"TRANPOSRT - C. PREWITT"</f>
        <v>TRANPOSRT - C. PREWITT</v>
      </c>
    </row>
    <row r="1011" spans="1:8" x14ac:dyDescent="0.25">
      <c r="A1011" t="s">
        <v>287</v>
      </c>
      <c r="B1011">
        <v>131006</v>
      </c>
      <c r="C1011" s="2">
        <v>3356</v>
      </c>
      <c r="D1011" s="1">
        <v>43885</v>
      </c>
      <c r="E1011" t="str">
        <f>"2019154"</f>
        <v>2019154</v>
      </c>
      <c r="F1011" t="str">
        <f>"TRANSPORT - B. LIPSKY"</f>
        <v>TRANSPORT - B. LIPSKY</v>
      </c>
      <c r="G1011" s="2">
        <v>1821</v>
      </c>
      <c r="H1011" t="str">
        <f>"TRANSPORT - B. LIPSKY"</f>
        <v>TRANSPORT - B. LIPSKY</v>
      </c>
    </row>
    <row r="1012" spans="1:8" x14ac:dyDescent="0.25">
      <c r="E1012" t="str">
        <f>"2020002"</f>
        <v>2020002</v>
      </c>
      <c r="F1012" t="str">
        <f>"TRANSPORT - I.P. MENDOZA-QUIRO"</f>
        <v>TRANSPORT - I.P. MENDOZA-QUIRO</v>
      </c>
      <c r="G1012" s="2">
        <v>695</v>
      </c>
      <c r="H1012" t="str">
        <f>"TRANSPORT - I.P. MENDOZA-QUIRO"</f>
        <v>TRANSPORT - I.P. MENDOZA-QUIRO</v>
      </c>
    </row>
    <row r="1013" spans="1:8" x14ac:dyDescent="0.25">
      <c r="E1013" t="str">
        <f>"2020003"</f>
        <v>2020003</v>
      </c>
      <c r="F1013" t="str">
        <f>"TRANSPORT - G. PERKINS"</f>
        <v>TRANSPORT - G. PERKINS</v>
      </c>
      <c r="G1013" s="2">
        <v>345</v>
      </c>
      <c r="H1013" t="str">
        <f>"TRANSPORT - G. PERKINS"</f>
        <v>TRANSPORT - G. PERKINS</v>
      </c>
    </row>
    <row r="1014" spans="1:8" x14ac:dyDescent="0.25">
      <c r="E1014" t="str">
        <f>"2020010"</f>
        <v>2020010</v>
      </c>
      <c r="F1014" t="str">
        <f>"TRANSPORT - M. HOWARD"</f>
        <v>TRANSPORT - M. HOWARD</v>
      </c>
      <c r="G1014" s="2">
        <v>495</v>
      </c>
      <c r="H1014" t="str">
        <f>"TRANSPORT - M. HOWARD"</f>
        <v>TRANSPORT - M. HOWARD</v>
      </c>
    </row>
    <row r="1015" spans="1:8" x14ac:dyDescent="0.25">
      <c r="A1015" t="s">
        <v>288</v>
      </c>
      <c r="B1015">
        <v>131007</v>
      </c>
      <c r="C1015" s="2">
        <v>349</v>
      </c>
      <c r="D1015" s="1">
        <v>43885</v>
      </c>
      <c r="E1015" t="str">
        <f>"045257"</f>
        <v>045257</v>
      </c>
      <c r="F1015" t="str">
        <f>"INV 045257"</f>
        <v>INV 045257</v>
      </c>
      <c r="G1015" s="2">
        <v>349</v>
      </c>
      <c r="H1015" t="str">
        <f>"INV 045257"</f>
        <v>INV 045257</v>
      </c>
    </row>
    <row r="1016" spans="1:8" x14ac:dyDescent="0.25">
      <c r="A1016" t="s">
        <v>289</v>
      </c>
      <c r="B1016">
        <v>2188</v>
      </c>
      <c r="C1016" s="2">
        <v>122.78</v>
      </c>
      <c r="D1016" s="1">
        <v>43886</v>
      </c>
      <c r="E1016" t="str">
        <f>"10B0121569859"</f>
        <v>10B0121569859</v>
      </c>
      <c r="F1016" t="str">
        <f>"ACCT#0121569859/JP#4"</f>
        <v>ACCT#0121569859/JP#4</v>
      </c>
      <c r="G1016" s="2">
        <v>42.91</v>
      </c>
      <c r="H1016" t="str">
        <f>"ACCT#0121569859/JP#4"</f>
        <v>ACCT#0121569859/JP#4</v>
      </c>
    </row>
    <row r="1017" spans="1:8" x14ac:dyDescent="0.25">
      <c r="E1017" t="str">
        <f>"10B0121587851"</f>
        <v>10B0121587851</v>
      </c>
      <c r="F1017" t="str">
        <f>"ACCT#0121587851/1133 DILDY/P4"</f>
        <v>ACCT#0121587851/1133 DILDY/P4</v>
      </c>
      <c r="G1017" s="2">
        <v>79.87</v>
      </c>
      <c r="H1017" t="str">
        <f>"ACCT#0121587851/1133 DILDY/P4"</f>
        <v>ACCT#0121587851/1133 DILDY/P4</v>
      </c>
    </row>
    <row r="1018" spans="1:8" x14ac:dyDescent="0.25">
      <c r="A1018" t="s">
        <v>290</v>
      </c>
      <c r="B1018">
        <v>131008</v>
      </c>
      <c r="C1018" s="2">
        <v>236.98</v>
      </c>
      <c r="D1018" s="1">
        <v>43885</v>
      </c>
      <c r="E1018" t="str">
        <f>"179-1-61896"</f>
        <v>179-1-61896</v>
      </c>
      <c r="F1018" t="str">
        <f>"ACCT#19610/PCT#4"</f>
        <v>ACCT#19610/PCT#4</v>
      </c>
      <c r="G1018" s="2">
        <v>236.98</v>
      </c>
      <c r="H1018" t="str">
        <f>"ACCT#19610/PCT#4"</f>
        <v>ACCT#19610/PCT#4</v>
      </c>
    </row>
    <row r="1019" spans="1:8" x14ac:dyDescent="0.25">
      <c r="A1019" t="s">
        <v>291</v>
      </c>
      <c r="B1019">
        <v>130830</v>
      </c>
      <c r="C1019" s="2">
        <v>2400</v>
      </c>
      <c r="D1019" s="1">
        <v>43871</v>
      </c>
      <c r="E1019" t="str">
        <f>"202002045023"</f>
        <v>202002045023</v>
      </c>
      <c r="F1019" t="str">
        <f>"Tire Disposal"</f>
        <v>Tire Disposal</v>
      </c>
      <c r="G1019" s="2">
        <v>2400</v>
      </c>
      <c r="H1019" t="str">
        <f>"Trailer"</f>
        <v>Trailer</v>
      </c>
    </row>
    <row r="1020" spans="1:8" x14ac:dyDescent="0.25">
      <c r="A1020" t="s">
        <v>292</v>
      </c>
      <c r="B1020">
        <v>130732</v>
      </c>
      <c r="C1020" s="2">
        <v>1512.06</v>
      </c>
      <c r="D1020" s="1">
        <v>43868</v>
      </c>
      <c r="E1020" t="str">
        <f>"117 006 935 553 5"</f>
        <v>117 006 935 553 5</v>
      </c>
      <c r="F1020" t="str">
        <f>"ACCT#15 072 199-1 /01312020"</f>
        <v>ACCT#15 072 199-1 /01312020</v>
      </c>
      <c r="G1020" s="2">
        <v>132.85</v>
      </c>
      <c r="H1020" t="str">
        <f>"ACCT#15 072 199-1 /01312020"</f>
        <v>ACCT#15 072 199-1 /01312020</v>
      </c>
    </row>
    <row r="1021" spans="1:8" x14ac:dyDescent="0.25">
      <c r="E1021" t="str">
        <f>"117 006 935 554 3"</f>
        <v>117 006 935 554 3</v>
      </c>
      <c r="F1021" t="str">
        <f>"ACCT#15 072 200-7 / 01312020"</f>
        <v>ACCT#15 072 200-7 / 01312020</v>
      </c>
      <c r="G1021" s="2">
        <v>320.64999999999998</v>
      </c>
      <c r="H1021" t="str">
        <f>"ACCT#15 072 200-7 / 01312020"</f>
        <v>ACCT#15 072 200-7 / 01312020</v>
      </c>
    </row>
    <row r="1022" spans="1:8" x14ac:dyDescent="0.25">
      <c r="E1022" t="str">
        <f>"117 006 935 555 0"</f>
        <v>117 006 935 555 0</v>
      </c>
      <c r="F1022" t="str">
        <f>"ACCT#15 072 201-5 /01312020"</f>
        <v>ACCT#15 072 201-5 /01312020</v>
      </c>
      <c r="G1022" s="2">
        <v>383.98</v>
      </c>
      <c r="H1022" t="str">
        <f>"ACCT#15 072 201-5 /01312020"</f>
        <v>ACCT#15 072 201-5 /01312020</v>
      </c>
    </row>
    <row r="1023" spans="1:8" x14ac:dyDescent="0.25">
      <c r="E1023" t="str">
        <f>"117 006 935 556 8"</f>
        <v>117 006 935 556 8</v>
      </c>
      <c r="F1023" t="str">
        <f>"ACCT#15 072 202-3 /01312020"</f>
        <v>ACCT#15 072 202-3 /01312020</v>
      </c>
      <c r="G1023" s="2">
        <v>27.57</v>
      </c>
      <c r="H1023" t="str">
        <f>"ACCT#15 072 202-3 /01312020"</f>
        <v>ACCT#15 072 202-3 /01312020</v>
      </c>
    </row>
    <row r="1024" spans="1:8" x14ac:dyDescent="0.25">
      <c r="E1024" t="str">
        <f>"117 006 935 557 6"</f>
        <v>117 006 935 557 6</v>
      </c>
      <c r="F1024" t="str">
        <f>"ACCT#15 072 203-1 /01312020"</f>
        <v>ACCT#15 072 203-1 /01312020</v>
      </c>
      <c r="G1024" s="2">
        <v>15.11</v>
      </c>
      <c r="H1024" t="str">
        <f>"ACCT#15 072 203-1 /01312020"</f>
        <v>ACCT#15 072 203-1 /01312020</v>
      </c>
    </row>
    <row r="1025" spans="1:8" x14ac:dyDescent="0.25">
      <c r="E1025" t="str">
        <f>"117 006 935 558 4"</f>
        <v>117 006 935 558 4</v>
      </c>
      <c r="F1025" t="str">
        <f>"ACCT#15 072 204-9 /01312020"</f>
        <v>ACCT#15 072 204-9 /01312020</v>
      </c>
      <c r="G1025" s="2">
        <v>219.7</v>
      </c>
      <c r="H1025" t="str">
        <f>"ACCT#15 072 204-9 /01312020"</f>
        <v>ACCT#15 072 204-9 /01312020</v>
      </c>
    </row>
    <row r="1026" spans="1:8" x14ac:dyDescent="0.25">
      <c r="E1026" t="str">
        <f>"117 006 937 415 5"</f>
        <v>117 006 937 415 5</v>
      </c>
      <c r="F1026" t="str">
        <f>"ACCT#15 070 712-3 / 02032020"</f>
        <v>ACCT#15 070 712-3 / 02032020</v>
      </c>
      <c r="G1026" s="2">
        <v>17.91</v>
      </c>
      <c r="H1026" t="str">
        <f>"ACCT#15 070 712-3 / 02032020"</f>
        <v>ACCT#15 070 712-3 / 02032020</v>
      </c>
    </row>
    <row r="1027" spans="1:8" x14ac:dyDescent="0.25">
      <c r="E1027" t="str">
        <f>"117 006 937 416 3"</f>
        <v>117 006 937 416 3</v>
      </c>
      <c r="F1027" t="str">
        <f>"ACCT#15 070 713-1 / 02032020"</f>
        <v>ACCT#15 070 713-1 / 02032020</v>
      </c>
      <c r="G1027" s="2">
        <v>21.44</v>
      </c>
      <c r="H1027" t="str">
        <f>"ACCT#15 070 713-1 / 02032020"</f>
        <v>ACCT#15 070 713-1 / 02032020</v>
      </c>
    </row>
    <row r="1028" spans="1:8" x14ac:dyDescent="0.25">
      <c r="E1028" t="str">
        <f>"306 000 420 849 3"</f>
        <v>306 000 420 849 3</v>
      </c>
      <c r="F1028" t="str">
        <f>"ACCT#15 069 451-1 /01302020"</f>
        <v>ACCT#15 069 451-1 /01302020</v>
      </c>
      <c r="G1028" s="2">
        <v>372.85</v>
      </c>
      <c r="H1028" t="str">
        <f>"ACCT#15 069 451-1 /01302020"</f>
        <v>ACCT#15 069 451-1 /01302020</v>
      </c>
    </row>
    <row r="1029" spans="1:8" x14ac:dyDescent="0.25">
      <c r="A1029" t="s">
        <v>293</v>
      </c>
      <c r="B1029">
        <v>2138</v>
      </c>
      <c r="C1029" s="2">
        <v>16983.8</v>
      </c>
      <c r="D1029" s="1">
        <v>43872</v>
      </c>
      <c r="E1029" t="str">
        <f>"14069"</f>
        <v>14069</v>
      </c>
      <c r="F1029" t="str">
        <f>"SVC ORD#14890/PCT#4"</f>
        <v>SVC ORD#14890/PCT#4</v>
      </c>
      <c r="G1029" s="2">
        <v>11136.68</v>
      </c>
      <c r="H1029" t="str">
        <f>"SVC ORD#14890/PCT#4"</f>
        <v>SVC ORD#14890/PCT#4</v>
      </c>
    </row>
    <row r="1030" spans="1:8" x14ac:dyDescent="0.25">
      <c r="E1030" t="str">
        <f>"14070"</f>
        <v>14070</v>
      </c>
      <c r="F1030" t="str">
        <f>"SVC ORD#/PCT#4"</f>
        <v>SVC ORD#/PCT#4</v>
      </c>
      <c r="G1030" s="2">
        <v>5847.12</v>
      </c>
      <c r="H1030" t="str">
        <f>"SVC ORD#/PCT#4"</f>
        <v>SVC ORD#/PCT#4</v>
      </c>
    </row>
    <row r="1031" spans="1:8" x14ac:dyDescent="0.25">
      <c r="A1031" t="s">
        <v>293</v>
      </c>
      <c r="B1031">
        <v>2212</v>
      </c>
      <c r="C1031" s="2">
        <v>3732.91</v>
      </c>
      <c r="D1031" s="1">
        <v>43886</v>
      </c>
      <c r="E1031" t="str">
        <f>"14228"</f>
        <v>14228</v>
      </c>
      <c r="F1031" t="str">
        <f>"SVC ORDER#15062/PCT#4"</f>
        <v>SVC ORDER#15062/PCT#4</v>
      </c>
      <c r="G1031" s="2">
        <v>3732.91</v>
      </c>
      <c r="H1031" t="str">
        <f>"SVC ORDER#15062/PCT#4"</f>
        <v>SVC ORDER#15062/PCT#4</v>
      </c>
    </row>
    <row r="1032" spans="1:8" x14ac:dyDescent="0.25">
      <c r="A1032" t="s">
        <v>294</v>
      </c>
      <c r="B1032">
        <v>130831</v>
      </c>
      <c r="C1032" s="2">
        <v>2000</v>
      </c>
      <c r="D1032" s="1">
        <v>43871</v>
      </c>
      <c r="E1032" t="str">
        <f>"202002055147"</f>
        <v>202002055147</v>
      </c>
      <c r="F1032" t="str">
        <f>"ACCOUNT 36251536"</f>
        <v>ACCOUNT 36251536</v>
      </c>
      <c r="G1032" s="2">
        <v>2000</v>
      </c>
      <c r="H1032" t="str">
        <f>"ACCOUNT 36251536"</f>
        <v>ACCOUNT 36251536</v>
      </c>
    </row>
    <row r="1033" spans="1:8" x14ac:dyDescent="0.25">
      <c r="A1033" t="s">
        <v>294</v>
      </c>
      <c r="B1033">
        <v>130895</v>
      </c>
      <c r="C1033" s="2">
        <v>9000</v>
      </c>
      <c r="D1033" s="1">
        <v>43874</v>
      </c>
      <c r="E1033" t="str">
        <f>"202002135327"</f>
        <v>202002135327</v>
      </c>
      <c r="F1033" t="str">
        <f>"ACCT# 34549337 / POSTAGE"</f>
        <v>ACCT# 34549337 / POSTAGE</v>
      </c>
      <c r="G1033" s="2">
        <v>9000</v>
      </c>
      <c r="H1033" t="str">
        <f>"ACCT# 34549337 / POSTAGE"</f>
        <v>ACCT# 34549337 / POSTAGE</v>
      </c>
    </row>
    <row r="1034" spans="1:8" x14ac:dyDescent="0.25">
      <c r="A1034" t="s">
        <v>294</v>
      </c>
      <c r="B1034">
        <v>131009</v>
      </c>
      <c r="C1034" s="2">
        <v>9000</v>
      </c>
      <c r="D1034" s="1">
        <v>43885</v>
      </c>
      <c r="E1034" t="str">
        <f>"202002135326"</f>
        <v>202002135326</v>
      </c>
      <c r="F1034" t="str">
        <f>"ACCT#34549337/POSTAGE"</f>
        <v>ACCT#34549337/POSTAGE</v>
      </c>
      <c r="G1034" s="2">
        <v>9000</v>
      </c>
      <c r="H1034" t="str">
        <f>"ACCT#34549337/POSTAGE"</f>
        <v>ACCT#34549337/POSTAGE</v>
      </c>
    </row>
    <row r="1035" spans="1:8" x14ac:dyDescent="0.25">
      <c r="A1035" t="s">
        <v>295</v>
      </c>
      <c r="B1035">
        <v>2164</v>
      </c>
      <c r="C1035" s="2">
        <v>205.9</v>
      </c>
      <c r="D1035" s="1">
        <v>43872</v>
      </c>
      <c r="E1035" t="str">
        <f>"202002034939"</f>
        <v>202002034939</v>
      </c>
      <c r="F1035" t="str">
        <f>"20-20070  20-20071"</f>
        <v>20-20070  20-20071</v>
      </c>
      <c r="G1035" s="2">
        <v>205.9</v>
      </c>
      <c r="H1035" t="str">
        <f>"20-20070  20-20071"</f>
        <v>20-20070  20-20071</v>
      </c>
    </row>
    <row r="1036" spans="1:8" x14ac:dyDescent="0.25">
      <c r="A1036" t="s">
        <v>295</v>
      </c>
      <c r="B1036">
        <v>2237</v>
      </c>
      <c r="C1036" s="2">
        <v>250</v>
      </c>
      <c r="D1036" s="1">
        <v>43886</v>
      </c>
      <c r="E1036" t="str">
        <f>"202002115255"</f>
        <v>202002115255</v>
      </c>
      <c r="F1036" t="str">
        <f>"56 950"</f>
        <v>56 950</v>
      </c>
      <c r="G1036" s="2">
        <v>250</v>
      </c>
      <c r="H1036" t="str">
        <f>"56 950"</f>
        <v>56 950</v>
      </c>
    </row>
    <row r="1037" spans="1:8" x14ac:dyDescent="0.25">
      <c r="A1037" t="s">
        <v>296</v>
      </c>
      <c r="B1037">
        <v>130832</v>
      </c>
      <c r="C1037" s="2">
        <v>290</v>
      </c>
      <c r="D1037" s="1">
        <v>43871</v>
      </c>
      <c r="E1037" t="str">
        <f>"356172"</f>
        <v>356172</v>
      </c>
      <c r="F1037" t="str">
        <f>"ACCT#3510/PCT#4"</f>
        <v>ACCT#3510/PCT#4</v>
      </c>
      <c r="G1037" s="2">
        <v>290</v>
      </c>
      <c r="H1037" t="str">
        <f>"ACCT#3510/PCT#4"</f>
        <v>ACCT#3510/PCT#4</v>
      </c>
    </row>
    <row r="1038" spans="1:8" x14ac:dyDescent="0.25">
      <c r="A1038" t="s">
        <v>297</v>
      </c>
      <c r="B1038">
        <v>2190</v>
      </c>
      <c r="C1038" s="2">
        <v>7011.77</v>
      </c>
      <c r="D1038" s="1">
        <v>43886</v>
      </c>
      <c r="E1038" t="str">
        <f>"5058731657"</f>
        <v>5058731657</v>
      </c>
      <c r="F1038" t="str">
        <f>"CUST#12847097"</f>
        <v>CUST#12847097</v>
      </c>
      <c r="G1038" s="2">
        <v>6794.33</v>
      </c>
      <c r="H1038" t="str">
        <f t="shared" ref="H1038:H1066" si="15">"CUST#12847097"</f>
        <v>CUST#12847097</v>
      </c>
    </row>
    <row r="1039" spans="1:8" x14ac:dyDescent="0.25">
      <c r="E1039" t="str">
        <f>""</f>
        <v/>
      </c>
      <c r="F1039" t="str">
        <f>""</f>
        <v/>
      </c>
      <c r="H1039" t="str">
        <f t="shared" si="15"/>
        <v>CUST#12847097</v>
      </c>
    </row>
    <row r="1040" spans="1:8" x14ac:dyDescent="0.25">
      <c r="E1040" t="str">
        <f>""</f>
        <v/>
      </c>
      <c r="F1040" t="str">
        <f>""</f>
        <v/>
      </c>
      <c r="H1040" t="str">
        <f t="shared" si="15"/>
        <v>CUST#12847097</v>
      </c>
    </row>
    <row r="1041" spans="5:8" x14ac:dyDescent="0.25">
      <c r="E1041" t="str">
        <f>""</f>
        <v/>
      </c>
      <c r="F1041" t="str">
        <f>""</f>
        <v/>
      </c>
      <c r="H1041" t="str">
        <f t="shared" si="15"/>
        <v>CUST#12847097</v>
      </c>
    </row>
    <row r="1042" spans="5:8" x14ac:dyDescent="0.25">
      <c r="E1042" t="str">
        <f>""</f>
        <v/>
      </c>
      <c r="F1042" t="str">
        <f>""</f>
        <v/>
      </c>
      <c r="H1042" t="str">
        <f t="shared" si="15"/>
        <v>CUST#12847097</v>
      </c>
    </row>
    <row r="1043" spans="5:8" x14ac:dyDescent="0.25">
      <c r="E1043" t="str">
        <f>""</f>
        <v/>
      </c>
      <c r="F1043" t="str">
        <f>""</f>
        <v/>
      </c>
      <c r="H1043" t="str">
        <f t="shared" si="15"/>
        <v>CUST#12847097</v>
      </c>
    </row>
    <row r="1044" spans="5:8" x14ac:dyDescent="0.25">
      <c r="E1044" t="str">
        <f>""</f>
        <v/>
      </c>
      <c r="F1044" t="str">
        <f>""</f>
        <v/>
      </c>
      <c r="H1044" t="str">
        <f t="shared" si="15"/>
        <v>CUST#12847097</v>
      </c>
    </row>
    <row r="1045" spans="5:8" x14ac:dyDescent="0.25">
      <c r="E1045" t="str">
        <f>""</f>
        <v/>
      </c>
      <c r="F1045" t="str">
        <f>""</f>
        <v/>
      </c>
      <c r="H1045" t="str">
        <f t="shared" si="15"/>
        <v>CUST#12847097</v>
      </c>
    </row>
    <row r="1046" spans="5:8" x14ac:dyDescent="0.25">
      <c r="E1046" t="str">
        <f>""</f>
        <v/>
      </c>
      <c r="F1046" t="str">
        <f>""</f>
        <v/>
      </c>
      <c r="H1046" t="str">
        <f t="shared" si="15"/>
        <v>CUST#12847097</v>
      </c>
    </row>
    <row r="1047" spans="5:8" x14ac:dyDescent="0.25">
      <c r="E1047" t="str">
        <f>""</f>
        <v/>
      </c>
      <c r="F1047" t="str">
        <f>""</f>
        <v/>
      </c>
      <c r="H1047" t="str">
        <f t="shared" si="15"/>
        <v>CUST#12847097</v>
      </c>
    </row>
    <row r="1048" spans="5:8" x14ac:dyDescent="0.25">
      <c r="E1048" t="str">
        <f>""</f>
        <v/>
      </c>
      <c r="F1048" t="str">
        <f>""</f>
        <v/>
      </c>
      <c r="H1048" t="str">
        <f t="shared" si="15"/>
        <v>CUST#12847097</v>
      </c>
    </row>
    <row r="1049" spans="5:8" x14ac:dyDescent="0.25">
      <c r="E1049" t="str">
        <f>""</f>
        <v/>
      </c>
      <c r="F1049" t="str">
        <f>""</f>
        <v/>
      </c>
      <c r="H1049" t="str">
        <f t="shared" si="15"/>
        <v>CUST#12847097</v>
      </c>
    </row>
    <row r="1050" spans="5:8" x14ac:dyDescent="0.25">
      <c r="E1050" t="str">
        <f>""</f>
        <v/>
      </c>
      <c r="F1050" t="str">
        <f>""</f>
        <v/>
      </c>
      <c r="H1050" t="str">
        <f t="shared" si="15"/>
        <v>CUST#12847097</v>
      </c>
    </row>
    <row r="1051" spans="5:8" x14ac:dyDescent="0.25">
      <c r="E1051" t="str">
        <f>""</f>
        <v/>
      </c>
      <c r="F1051" t="str">
        <f>""</f>
        <v/>
      </c>
      <c r="H1051" t="str">
        <f t="shared" si="15"/>
        <v>CUST#12847097</v>
      </c>
    </row>
    <row r="1052" spans="5:8" x14ac:dyDescent="0.25">
      <c r="E1052" t="str">
        <f>""</f>
        <v/>
      </c>
      <c r="F1052" t="str">
        <f>""</f>
        <v/>
      </c>
      <c r="H1052" t="str">
        <f t="shared" si="15"/>
        <v>CUST#12847097</v>
      </c>
    </row>
    <row r="1053" spans="5:8" x14ac:dyDescent="0.25">
      <c r="E1053" t="str">
        <f>""</f>
        <v/>
      </c>
      <c r="F1053" t="str">
        <f>""</f>
        <v/>
      </c>
      <c r="H1053" t="str">
        <f t="shared" si="15"/>
        <v>CUST#12847097</v>
      </c>
    </row>
    <row r="1054" spans="5:8" x14ac:dyDescent="0.25">
      <c r="E1054" t="str">
        <f>""</f>
        <v/>
      </c>
      <c r="F1054" t="str">
        <f>""</f>
        <v/>
      </c>
      <c r="H1054" t="str">
        <f t="shared" si="15"/>
        <v>CUST#12847097</v>
      </c>
    </row>
    <row r="1055" spans="5:8" x14ac:dyDescent="0.25">
      <c r="E1055" t="str">
        <f>""</f>
        <v/>
      </c>
      <c r="F1055" t="str">
        <f>""</f>
        <v/>
      </c>
      <c r="H1055" t="str">
        <f t="shared" si="15"/>
        <v>CUST#12847097</v>
      </c>
    </row>
    <row r="1056" spans="5:8" x14ac:dyDescent="0.25">
      <c r="E1056" t="str">
        <f>""</f>
        <v/>
      </c>
      <c r="F1056" t="str">
        <f>""</f>
        <v/>
      </c>
      <c r="H1056" t="str">
        <f t="shared" si="15"/>
        <v>CUST#12847097</v>
      </c>
    </row>
    <row r="1057" spans="1:8" x14ac:dyDescent="0.25">
      <c r="E1057" t="str">
        <f>""</f>
        <v/>
      </c>
      <c r="F1057" t="str">
        <f>""</f>
        <v/>
      </c>
      <c r="H1057" t="str">
        <f t="shared" si="15"/>
        <v>CUST#12847097</v>
      </c>
    </row>
    <row r="1058" spans="1:8" x14ac:dyDescent="0.25">
      <c r="E1058" t="str">
        <f>""</f>
        <v/>
      </c>
      <c r="F1058" t="str">
        <f>""</f>
        <v/>
      </c>
      <c r="H1058" t="str">
        <f t="shared" si="15"/>
        <v>CUST#12847097</v>
      </c>
    </row>
    <row r="1059" spans="1:8" x14ac:dyDescent="0.25">
      <c r="E1059" t="str">
        <f>""</f>
        <v/>
      </c>
      <c r="F1059" t="str">
        <f>""</f>
        <v/>
      </c>
      <c r="H1059" t="str">
        <f t="shared" si="15"/>
        <v>CUST#12847097</v>
      </c>
    </row>
    <row r="1060" spans="1:8" x14ac:dyDescent="0.25">
      <c r="E1060" t="str">
        <f>""</f>
        <v/>
      </c>
      <c r="F1060" t="str">
        <f>""</f>
        <v/>
      </c>
      <c r="H1060" t="str">
        <f t="shared" si="15"/>
        <v>CUST#12847097</v>
      </c>
    </row>
    <row r="1061" spans="1:8" x14ac:dyDescent="0.25">
      <c r="E1061" t="str">
        <f>""</f>
        <v/>
      </c>
      <c r="F1061" t="str">
        <f>""</f>
        <v/>
      </c>
      <c r="H1061" t="str">
        <f t="shared" si="15"/>
        <v>CUST#12847097</v>
      </c>
    </row>
    <row r="1062" spans="1:8" x14ac:dyDescent="0.25">
      <c r="E1062" t="str">
        <f>""</f>
        <v/>
      </c>
      <c r="F1062" t="str">
        <f>""</f>
        <v/>
      </c>
      <c r="H1062" t="str">
        <f t="shared" si="15"/>
        <v>CUST#12847097</v>
      </c>
    </row>
    <row r="1063" spans="1:8" x14ac:dyDescent="0.25">
      <c r="E1063" t="str">
        <f>""</f>
        <v/>
      </c>
      <c r="F1063" t="str">
        <f>""</f>
        <v/>
      </c>
      <c r="H1063" t="str">
        <f t="shared" si="15"/>
        <v>CUST#12847097</v>
      </c>
    </row>
    <row r="1064" spans="1:8" x14ac:dyDescent="0.25">
      <c r="E1064" t="str">
        <f>""</f>
        <v/>
      </c>
      <c r="F1064" t="str">
        <f>""</f>
        <v/>
      </c>
      <c r="H1064" t="str">
        <f t="shared" si="15"/>
        <v>CUST#12847097</v>
      </c>
    </row>
    <row r="1065" spans="1:8" x14ac:dyDescent="0.25">
      <c r="E1065" t="str">
        <f>""</f>
        <v/>
      </c>
      <c r="F1065" t="str">
        <f>""</f>
        <v/>
      </c>
      <c r="H1065" t="str">
        <f t="shared" si="15"/>
        <v>CUST#12847097</v>
      </c>
    </row>
    <row r="1066" spans="1:8" x14ac:dyDescent="0.25">
      <c r="E1066" t="str">
        <f>""</f>
        <v/>
      </c>
      <c r="F1066" t="str">
        <f>""</f>
        <v/>
      </c>
      <c r="H1066" t="str">
        <f t="shared" si="15"/>
        <v>CUST#12847097</v>
      </c>
    </row>
    <row r="1067" spans="1:8" x14ac:dyDescent="0.25">
      <c r="E1067" t="str">
        <f>"5058731657-P2"</f>
        <v>5058731657-P2</v>
      </c>
      <c r="F1067" t="str">
        <f>"CUST#12847097/PCT#2"</f>
        <v>CUST#12847097/PCT#2</v>
      </c>
      <c r="G1067" s="2">
        <v>217.44</v>
      </c>
      <c r="H1067" t="str">
        <f>"CUST#12847097/PCT#2"</f>
        <v>CUST#12847097/PCT#2</v>
      </c>
    </row>
    <row r="1068" spans="1:8" x14ac:dyDescent="0.25">
      <c r="A1068" t="s">
        <v>298</v>
      </c>
      <c r="B1068">
        <v>2210</v>
      </c>
      <c r="C1068" s="2">
        <v>650</v>
      </c>
      <c r="D1068" s="1">
        <v>43886</v>
      </c>
      <c r="E1068" t="str">
        <f>"BCSOJAN20"</f>
        <v>BCSOJAN20</v>
      </c>
      <c r="F1068" t="str">
        <f>"INV BCSOJAN20"</f>
        <v>INV BCSOJAN20</v>
      </c>
      <c r="G1068" s="2">
        <v>650</v>
      </c>
      <c r="H1068" t="str">
        <f>"INV BCSOJAN20"</f>
        <v>INV BCSOJAN20</v>
      </c>
    </row>
    <row r="1069" spans="1:8" x14ac:dyDescent="0.25">
      <c r="A1069" t="s">
        <v>299</v>
      </c>
      <c r="B1069">
        <v>131010</v>
      </c>
      <c r="C1069" s="2">
        <v>182.46</v>
      </c>
      <c r="D1069" s="1">
        <v>43885</v>
      </c>
      <c r="E1069" t="str">
        <f>"4872103"</f>
        <v>4872103</v>
      </c>
      <c r="F1069" t="str">
        <f>"INV 4872103"</f>
        <v>INV 4872103</v>
      </c>
      <c r="G1069" s="2">
        <v>182.46</v>
      </c>
      <c r="H1069" t="str">
        <f>"INV 4872103"</f>
        <v>INV 4872103</v>
      </c>
    </row>
    <row r="1070" spans="1:8" x14ac:dyDescent="0.25">
      <c r="A1070" t="s">
        <v>300</v>
      </c>
      <c r="B1070">
        <v>131011</v>
      </c>
      <c r="C1070" s="2">
        <v>693.85</v>
      </c>
      <c r="D1070" s="1">
        <v>43885</v>
      </c>
      <c r="E1070" t="str">
        <f>"6783169  6787621"</f>
        <v>6783169  6787621</v>
      </c>
      <c r="F1070" t="str">
        <f>"Rockler Signmaker"</f>
        <v>Rockler Signmaker</v>
      </c>
      <c r="G1070" s="2">
        <v>693.85</v>
      </c>
      <c r="H1070" t="str">
        <f>"Item#: 56091"</f>
        <v>Item#: 56091</v>
      </c>
    </row>
    <row r="1071" spans="1:8" x14ac:dyDescent="0.25">
      <c r="E1071" t="str">
        <f>""</f>
        <v/>
      </c>
      <c r="F1071" t="str">
        <f>""</f>
        <v/>
      </c>
      <c r="H1071" t="str">
        <f>"Item#: 48356"</f>
        <v>Item#: 48356</v>
      </c>
    </row>
    <row r="1072" spans="1:8" x14ac:dyDescent="0.25">
      <c r="E1072" t="str">
        <f>""</f>
        <v/>
      </c>
      <c r="F1072" t="str">
        <f>""</f>
        <v/>
      </c>
      <c r="H1072" t="str">
        <f>"Item#: 43820"</f>
        <v>Item#: 43820</v>
      </c>
    </row>
    <row r="1073" spans="1:8" x14ac:dyDescent="0.25">
      <c r="E1073" t="str">
        <f>""</f>
        <v/>
      </c>
      <c r="F1073" t="str">
        <f>""</f>
        <v/>
      </c>
      <c r="H1073" t="str">
        <f>"Item#: 30599"</f>
        <v>Item#: 30599</v>
      </c>
    </row>
    <row r="1074" spans="1:8" x14ac:dyDescent="0.25">
      <c r="E1074" t="str">
        <f>""</f>
        <v/>
      </c>
      <c r="F1074" t="str">
        <f>""</f>
        <v/>
      </c>
      <c r="H1074" t="str">
        <f>"Item#: 31093"</f>
        <v>Item#: 31093</v>
      </c>
    </row>
    <row r="1075" spans="1:8" x14ac:dyDescent="0.25">
      <c r="E1075" t="str">
        <f>""</f>
        <v/>
      </c>
      <c r="F1075" t="str">
        <f>""</f>
        <v/>
      </c>
      <c r="H1075" t="str">
        <f>"Item#: 58224"</f>
        <v>Item#: 58224</v>
      </c>
    </row>
    <row r="1076" spans="1:8" x14ac:dyDescent="0.25">
      <c r="E1076" t="str">
        <f>""</f>
        <v/>
      </c>
      <c r="F1076" t="str">
        <f>""</f>
        <v/>
      </c>
      <c r="H1076" t="str">
        <f>"Item#: 52950"</f>
        <v>Item#: 52950</v>
      </c>
    </row>
    <row r="1077" spans="1:8" x14ac:dyDescent="0.25">
      <c r="E1077" t="str">
        <f>""</f>
        <v/>
      </c>
      <c r="F1077" t="str">
        <f>""</f>
        <v/>
      </c>
      <c r="H1077" t="str">
        <f>"Item#: 36676"</f>
        <v>Item#: 36676</v>
      </c>
    </row>
    <row r="1078" spans="1:8" x14ac:dyDescent="0.25">
      <c r="E1078" t="str">
        <f>""</f>
        <v/>
      </c>
      <c r="F1078" t="str">
        <f>""</f>
        <v/>
      </c>
      <c r="H1078" t="str">
        <f>"Item#: 32443"</f>
        <v>Item#: 32443</v>
      </c>
    </row>
    <row r="1079" spans="1:8" x14ac:dyDescent="0.25">
      <c r="E1079" t="str">
        <f>""</f>
        <v/>
      </c>
      <c r="F1079" t="str">
        <f>""</f>
        <v/>
      </c>
      <c r="H1079" t="str">
        <f>"Item#: 59031"</f>
        <v>Item#: 59031</v>
      </c>
    </row>
    <row r="1080" spans="1:8" x14ac:dyDescent="0.25">
      <c r="E1080" t="str">
        <f>""</f>
        <v/>
      </c>
      <c r="F1080" t="str">
        <f>""</f>
        <v/>
      </c>
      <c r="H1080" t="str">
        <f>"Item#: 54217"</f>
        <v>Item#: 54217</v>
      </c>
    </row>
    <row r="1081" spans="1:8" x14ac:dyDescent="0.25">
      <c r="E1081" t="str">
        <f>""</f>
        <v/>
      </c>
      <c r="F1081" t="str">
        <f>""</f>
        <v/>
      </c>
      <c r="H1081" t="str">
        <f>"Item#: 40473"</f>
        <v>Item#: 40473</v>
      </c>
    </row>
    <row r="1082" spans="1:8" x14ac:dyDescent="0.25">
      <c r="A1082" t="s">
        <v>301</v>
      </c>
      <c r="B1082">
        <v>131012</v>
      </c>
      <c r="C1082" s="2">
        <v>185.4</v>
      </c>
      <c r="D1082" s="1">
        <v>43885</v>
      </c>
      <c r="E1082" t="str">
        <f>"202002115282"</f>
        <v>202002115282</v>
      </c>
      <c r="F1082" t="str">
        <f>"REIMBURSE LODGING"</f>
        <v>REIMBURSE LODGING</v>
      </c>
      <c r="G1082" s="2">
        <v>185.4</v>
      </c>
      <c r="H1082" t="str">
        <f>"REIMBURSE LODGING"</f>
        <v>REIMBURSE LODGING</v>
      </c>
    </row>
    <row r="1083" spans="1:8" x14ac:dyDescent="0.25">
      <c r="A1083" t="s">
        <v>302</v>
      </c>
      <c r="B1083">
        <v>130833</v>
      </c>
      <c r="C1083" s="2">
        <v>525</v>
      </c>
      <c r="D1083" s="1">
        <v>43871</v>
      </c>
      <c r="E1083" t="str">
        <f>"202002045132"</f>
        <v>202002045132</v>
      </c>
      <c r="F1083" t="str">
        <f>"DEVELOPMENT SVCS RECORDING FEE"</f>
        <v>DEVELOPMENT SVCS RECORDING FEE</v>
      </c>
      <c r="G1083" s="2">
        <v>525</v>
      </c>
      <c r="H1083" t="str">
        <f>"DEVELOPMENT SVCS RECORDING FEE"</f>
        <v>DEVELOPMENT SVCS RECORDING FEE</v>
      </c>
    </row>
    <row r="1084" spans="1:8" x14ac:dyDescent="0.25">
      <c r="A1084" t="s">
        <v>302</v>
      </c>
      <c r="B1084">
        <v>131013</v>
      </c>
      <c r="C1084" s="2">
        <v>524</v>
      </c>
      <c r="D1084" s="1">
        <v>43885</v>
      </c>
      <c r="E1084" t="str">
        <f>"202002195432"</f>
        <v>202002195432</v>
      </c>
      <c r="F1084" t="str">
        <f>"LPHCP RECORDING FEES"</f>
        <v>LPHCP RECORDING FEES</v>
      </c>
      <c r="G1084" s="2">
        <v>524</v>
      </c>
      <c r="H1084" t="str">
        <f>"LPHCP RECORDING FEES"</f>
        <v>LPHCP RECORDING FEES</v>
      </c>
    </row>
    <row r="1085" spans="1:8" x14ac:dyDescent="0.25">
      <c r="A1085" t="s">
        <v>302</v>
      </c>
      <c r="B1085">
        <v>131014</v>
      </c>
      <c r="C1085" s="2">
        <v>283</v>
      </c>
      <c r="D1085" s="1">
        <v>43885</v>
      </c>
      <c r="E1085" t="str">
        <f>"202002195429"</f>
        <v>202002195429</v>
      </c>
      <c r="F1085" t="str">
        <f>"DEVELOPMENT SVCS RECORDING FEE"</f>
        <v>DEVELOPMENT SVCS RECORDING FEE</v>
      </c>
      <c r="G1085" s="2">
        <v>283</v>
      </c>
      <c r="H1085" t="str">
        <f>"DEVELOPMENT SVCS RECORDING FEE"</f>
        <v>DEVELOPMENT SVCS RECORDING FEE</v>
      </c>
    </row>
    <row r="1086" spans="1:8" x14ac:dyDescent="0.25">
      <c r="A1086" t="s">
        <v>303</v>
      </c>
      <c r="B1086">
        <v>131015</v>
      </c>
      <c r="C1086" s="2">
        <v>265.97000000000003</v>
      </c>
      <c r="D1086" s="1">
        <v>43885</v>
      </c>
      <c r="E1086" t="str">
        <f>"202002185376"</f>
        <v>202002185376</v>
      </c>
      <c r="F1086" t="str">
        <f>"INDIGENT HEALTH"</f>
        <v>INDIGENT HEALTH</v>
      </c>
      <c r="G1086" s="2">
        <v>265.97000000000003</v>
      </c>
      <c r="H1086" t="str">
        <f>"INDIGENT HEALTH"</f>
        <v>INDIGENT HEALTH</v>
      </c>
    </row>
    <row r="1087" spans="1:8" x14ac:dyDescent="0.25">
      <c r="A1087" t="s">
        <v>304</v>
      </c>
      <c r="B1087">
        <v>130834</v>
      </c>
      <c r="C1087" s="2">
        <v>334.22</v>
      </c>
      <c r="D1087" s="1">
        <v>43871</v>
      </c>
      <c r="E1087" t="str">
        <f>"202001284821"</f>
        <v>202001284821</v>
      </c>
      <c r="F1087" t="str">
        <f>"423-5862"</f>
        <v>423-5862</v>
      </c>
      <c r="G1087" s="2">
        <v>334.22</v>
      </c>
      <c r="H1087" t="str">
        <f>"423-5862"</f>
        <v>423-5862</v>
      </c>
    </row>
    <row r="1088" spans="1:8" x14ac:dyDescent="0.25">
      <c r="A1088" t="s">
        <v>305</v>
      </c>
      <c r="B1088">
        <v>130835</v>
      </c>
      <c r="C1088" s="2">
        <v>1100</v>
      </c>
      <c r="D1088" s="1">
        <v>43871</v>
      </c>
      <c r="E1088" t="str">
        <f>"202002045137"</f>
        <v>202002045137</v>
      </c>
      <c r="F1088" t="str">
        <f>"REGISTRATION"</f>
        <v>REGISTRATION</v>
      </c>
      <c r="G1088" s="2">
        <v>1100</v>
      </c>
      <c r="H1088" t="str">
        <f>"REGISTRATION BENSON"</f>
        <v>REGISTRATION BENSON</v>
      </c>
    </row>
    <row r="1089" spans="1:9" x14ac:dyDescent="0.25">
      <c r="E1089" t="str">
        <f>""</f>
        <v/>
      </c>
      <c r="F1089" t="str">
        <f>""</f>
        <v/>
      </c>
      <c r="H1089" t="str">
        <f>"REGISTRATION BENNETT"</f>
        <v>REGISTRATION BENNETT</v>
      </c>
    </row>
    <row r="1090" spans="1:9" x14ac:dyDescent="0.25">
      <c r="E1090" t="str">
        <f>""</f>
        <v/>
      </c>
      <c r="F1090" t="str">
        <f>""</f>
        <v/>
      </c>
      <c r="H1090" t="str">
        <f>"REGISTRATION JOHNSON"</f>
        <v>REGISTRATION JOHNSON</v>
      </c>
    </row>
    <row r="1091" spans="1:9" x14ac:dyDescent="0.25">
      <c r="E1091" t="str">
        <f>""</f>
        <v/>
      </c>
      <c r="F1091" t="str">
        <f>""</f>
        <v/>
      </c>
      <c r="H1091" t="str">
        <f>"REGISTRATION GONZALE"</f>
        <v>REGISTRATION GONZALE</v>
      </c>
    </row>
    <row r="1092" spans="1:9" x14ac:dyDescent="0.25">
      <c r="A1092" t="s">
        <v>306</v>
      </c>
      <c r="B1092">
        <v>2239</v>
      </c>
      <c r="C1092" s="2">
        <v>80</v>
      </c>
      <c r="D1092" s="1">
        <v>43886</v>
      </c>
      <c r="E1092" t="str">
        <f>"202002185372"</f>
        <v>202002185372</v>
      </c>
      <c r="F1092" t="str">
        <f>"INDIGENT HEALTH"</f>
        <v>INDIGENT HEALTH</v>
      </c>
      <c r="G1092" s="2">
        <v>80</v>
      </c>
      <c r="H1092" t="str">
        <f>"INDIGENT HEALTH"</f>
        <v>INDIGENT HEALTH</v>
      </c>
    </row>
    <row r="1093" spans="1:9" x14ac:dyDescent="0.25">
      <c r="A1093" t="s">
        <v>307</v>
      </c>
      <c r="B1093">
        <v>131016</v>
      </c>
      <c r="C1093" s="2">
        <v>75</v>
      </c>
      <c r="D1093" s="1">
        <v>43885</v>
      </c>
      <c r="E1093" t="str">
        <f>"12826"</f>
        <v>12826</v>
      </c>
      <c r="F1093" t="str">
        <f>"SERVICE"</f>
        <v>SERVICE</v>
      </c>
      <c r="G1093" s="2">
        <v>75</v>
      </c>
      <c r="H1093" t="str">
        <f>"SERVICE"</f>
        <v>SERVICE</v>
      </c>
    </row>
    <row r="1094" spans="1:9" x14ac:dyDescent="0.25">
      <c r="A1094" t="s">
        <v>308</v>
      </c>
      <c r="B1094">
        <v>2128</v>
      </c>
      <c r="C1094" s="2">
        <v>13962</v>
      </c>
      <c r="D1094" s="1">
        <v>43872</v>
      </c>
      <c r="E1094" t="str">
        <f>"PPDINV0013935-6"</f>
        <v>PPDINV0013935-6</v>
      </c>
      <c r="F1094" t="str">
        <f>"PPDINV0013935"</f>
        <v>PPDINV0013935</v>
      </c>
      <c r="G1094" s="2">
        <v>13962</v>
      </c>
      <c r="H1094" t="str">
        <f>"PPDINV0013935"</f>
        <v>PPDINV0013935</v>
      </c>
    </row>
    <row r="1095" spans="1:9" x14ac:dyDescent="0.25">
      <c r="E1095" t="str">
        <f>""</f>
        <v/>
      </c>
      <c r="F1095" t="str">
        <f>""</f>
        <v/>
      </c>
      <c r="H1095" t="str">
        <f>"PPDINV0013936"</f>
        <v>PPDINV0013936</v>
      </c>
    </row>
    <row r="1096" spans="1:9" x14ac:dyDescent="0.25">
      <c r="A1096" t="s">
        <v>309</v>
      </c>
      <c r="B1096">
        <v>130836</v>
      </c>
      <c r="C1096" s="2">
        <v>4210.08</v>
      </c>
      <c r="D1096" s="1">
        <v>43871</v>
      </c>
      <c r="E1096" t="str">
        <f>"3175*33*1"</f>
        <v>3175*33*1</v>
      </c>
      <c r="F1096" t="str">
        <f>"JAIL MEDICAL"</f>
        <v>JAIL MEDICAL</v>
      </c>
      <c r="G1096" s="2">
        <v>4106.68</v>
      </c>
      <c r="H1096" t="str">
        <f>"JAIL MEDICAL"</f>
        <v>JAIL MEDICAL</v>
      </c>
    </row>
    <row r="1097" spans="1:9" x14ac:dyDescent="0.25">
      <c r="E1097" t="str">
        <f>"4627*06024*1"</f>
        <v>4627*06024*1</v>
      </c>
      <c r="F1097" t="str">
        <f>"JAIL MEDICAL"</f>
        <v>JAIL MEDICAL</v>
      </c>
      <c r="G1097" s="2">
        <v>103.4</v>
      </c>
      <c r="H1097" t="str">
        <f>"JAIL MEDICAL"</f>
        <v>JAIL MEDICAL</v>
      </c>
    </row>
    <row r="1098" spans="1:9" x14ac:dyDescent="0.25">
      <c r="A1098" t="s">
        <v>309</v>
      </c>
      <c r="B1098">
        <v>131017</v>
      </c>
      <c r="C1098" s="2">
        <v>314.60000000000002</v>
      </c>
      <c r="D1098" s="1">
        <v>43885</v>
      </c>
      <c r="E1098" t="str">
        <f>"202002185377"</f>
        <v>202002185377</v>
      </c>
      <c r="F1098" t="str">
        <f>"INDIGENT HEALTH"</f>
        <v>INDIGENT HEALTH</v>
      </c>
      <c r="G1098" s="2">
        <v>314.60000000000002</v>
      </c>
      <c r="H1098" t="str">
        <f>"INDIGENT HEALTH"</f>
        <v>INDIGENT HEALTH</v>
      </c>
    </row>
    <row r="1099" spans="1:9" x14ac:dyDescent="0.25">
      <c r="A1099" t="s">
        <v>310</v>
      </c>
      <c r="B1099">
        <v>131018</v>
      </c>
      <c r="C1099" s="2">
        <v>3333</v>
      </c>
      <c r="D1099" s="1">
        <v>43885</v>
      </c>
      <c r="E1099" t="str">
        <f>"202002185361"</f>
        <v>202002185361</v>
      </c>
      <c r="F1099" t="str">
        <f>"SETON PRESCRIPTION ASSIST PROG"</f>
        <v>SETON PRESCRIPTION ASSIST PROG</v>
      </c>
      <c r="G1099" s="2">
        <v>3333</v>
      </c>
      <c r="H1099" t="str">
        <f>"SETON PRESCRIPTION ASSIST PROG"</f>
        <v>SETON PRESCRIPTION ASSIST PROG</v>
      </c>
    </row>
    <row r="1100" spans="1:9" x14ac:dyDescent="0.25">
      <c r="A1100" t="s">
        <v>311</v>
      </c>
      <c r="B1100">
        <v>131019</v>
      </c>
      <c r="C1100" s="2">
        <v>30</v>
      </c>
      <c r="D1100" s="1">
        <v>43885</v>
      </c>
      <c r="E1100" t="s">
        <v>312</v>
      </c>
      <c r="F1100" t="s">
        <v>313</v>
      </c>
      <c r="G1100" s="2" t="str">
        <f>"RESTITUTION - D. MCCOMB"</f>
        <v>RESTITUTION - D. MCCOMB</v>
      </c>
      <c r="H1100" t="str">
        <f>"210-0000"</f>
        <v>210-0000</v>
      </c>
      <c r="I1100" t="str">
        <f>""</f>
        <v/>
      </c>
    </row>
    <row r="1101" spans="1:9" x14ac:dyDescent="0.25">
      <c r="A1101" t="s">
        <v>314</v>
      </c>
      <c r="B1101">
        <v>130837</v>
      </c>
      <c r="C1101" s="2">
        <v>591.9</v>
      </c>
      <c r="D1101" s="1">
        <v>43871</v>
      </c>
      <c r="E1101" t="str">
        <f>"202001294892"</f>
        <v>202001294892</v>
      </c>
      <c r="F1101" t="str">
        <f>"ACCT#20147/ANIMAL SVCS"</f>
        <v>ACCT#20147/ANIMAL SVCS</v>
      </c>
      <c r="G1101" s="2">
        <v>591.9</v>
      </c>
      <c r="H1101" t="str">
        <f>"ACCT#20147/ANIMAL SVCS"</f>
        <v>ACCT#20147/ANIMAL SVCS</v>
      </c>
    </row>
    <row r="1102" spans="1:9" x14ac:dyDescent="0.25">
      <c r="A1102" t="s">
        <v>315</v>
      </c>
      <c r="B1102">
        <v>130838</v>
      </c>
      <c r="C1102" s="2">
        <v>2687.5</v>
      </c>
      <c r="D1102" s="1">
        <v>43871</v>
      </c>
      <c r="E1102" t="str">
        <f>"202002055191"</f>
        <v>202002055191</v>
      </c>
      <c r="F1102" t="str">
        <f>"BILLING SUMMARY FOR CLARK CASE"</f>
        <v>BILLING SUMMARY FOR CLARK CASE</v>
      </c>
      <c r="G1102" s="2">
        <v>2687.5</v>
      </c>
      <c r="H1102" t="str">
        <f>"BILLING SUMMARY FOR CLARK CASE"</f>
        <v>BILLING SUMMARY FOR CLARK CASE</v>
      </c>
    </row>
    <row r="1103" spans="1:9" x14ac:dyDescent="0.25">
      <c r="A1103" t="s">
        <v>316</v>
      </c>
      <c r="B1103">
        <v>130839</v>
      </c>
      <c r="C1103" s="2">
        <v>1934</v>
      </c>
      <c r="D1103" s="1">
        <v>43871</v>
      </c>
      <c r="E1103" t="str">
        <f>"GB00353944"</f>
        <v>GB00353944</v>
      </c>
      <c r="F1103" t="str">
        <f>"Adobe Photoshop renweal f"</f>
        <v>Adobe Photoshop renweal f</v>
      </c>
      <c r="G1103" s="2">
        <v>404</v>
      </c>
      <c r="H1103" t="str">
        <f>"Part#: 65291043BC01A"</f>
        <v>Part#: 65291043BC01A</v>
      </c>
    </row>
    <row r="1104" spans="1:9" x14ac:dyDescent="0.25">
      <c r="E1104" t="str">
        <f>"GB00356479"</f>
        <v>GB00356479</v>
      </c>
      <c r="F1104" t="str">
        <f>"Replacement phones for Ag"</f>
        <v>Replacement phones for Ag</v>
      </c>
      <c r="G1104" s="2">
        <v>844</v>
      </c>
      <c r="H1104" t="str">
        <f>"Part#: CP-8811-K9="</f>
        <v>Part#: CP-8811-K9=</v>
      </c>
    </row>
    <row r="1105" spans="1:8" x14ac:dyDescent="0.25">
      <c r="E1105" t="str">
        <f>"GB00357431"</f>
        <v>GB00357431</v>
      </c>
      <c r="F1105" t="str">
        <f>"Power Strips for SO"</f>
        <v>Power Strips for SO</v>
      </c>
      <c r="G1105" s="2">
        <v>50</v>
      </c>
      <c r="H1105" t="str">
        <f>"Part#: PS66B"</f>
        <v>Part#: PS66B</v>
      </c>
    </row>
    <row r="1106" spans="1:8" x14ac:dyDescent="0.25">
      <c r="E1106" t="str">
        <f>"GB00357621"</f>
        <v>GB00357621</v>
      </c>
      <c r="F1106" t="str">
        <f>"Headsets for JP1"</f>
        <v>Headsets for JP1</v>
      </c>
      <c r="G1106" s="2">
        <v>636</v>
      </c>
      <c r="H1106" t="str">
        <f>"Part#: 86305-11"</f>
        <v>Part#: 86305-11</v>
      </c>
    </row>
    <row r="1107" spans="1:8" x14ac:dyDescent="0.25">
      <c r="A1107" t="s">
        <v>316</v>
      </c>
      <c r="B1107">
        <v>131020</v>
      </c>
      <c r="C1107" s="2">
        <v>211</v>
      </c>
      <c r="D1107" s="1">
        <v>43885</v>
      </c>
      <c r="E1107" t="str">
        <f>"GB00357824"</f>
        <v>GB00357824</v>
      </c>
      <c r="F1107" t="str">
        <f>"Phone for Animal Control"</f>
        <v>Phone for Animal Control</v>
      </c>
      <c r="G1107" s="2">
        <v>211</v>
      </c>
      <c r="H1107" t="str">
        <f>"Cisco 8811-VoIP"</f>
        <v>Cisco 8811-VoIP</v>
      </c>
    </row>
    <row r="1108" spans="1:8" x14ac:dyDescent="0.25">
      <c r="A1108" t="s">
        <v>317</v>
      </c>
      <c r="B1108">
        <v>130840</v>
      </c>
      <c r="C1108" s="2">
        <v>283.35000000000002</v>
      </c>
      <c r="D1108" s="1">
        <v>43871</v>
      </c>
      <c r="E1108" t="str">
        <f>"8129131772"</f>
        <v>8129131772</v>
      </c>
      <c r="F1108" t="str">
        <f>"INV 8129131772"</f>
        <v>INV 8129131772</v>
      </c>
      <c r="G1108" s="2">
        <v>159.91</v>
      </c>
      <c r="H1108" t="str">
        <f>"INV 8129131772 (LE)"</f>
        <v>INV 8129131772 (LE)</v>
      </c>
    </row>
    <row r="1109" spans="1:8" x14ac:dyDescent="0.25">
      <c r="E1109" t="str">
        <f>""</f>
        <v/>
      </c>
      <c r="F1109" t="str">
        <f>""</f>
        <v/>
      </c>
      <c r="H1109" t="str">
        <f>"INV 8129131772 (JAIL"</f>
        <v>INV 8129131772 (JAIL</v>
      </c>
    </row>
    <row r="1110" spans="1:8" x14ac:dyDescent="0.25">
      <c r="E1110" t="str">
        <f>"8129132348"</f>
        <v>8129132348</v>
      </c>
      <c r="F1110" t="str">
        <f>"CUST#16155373"</f>
        <v>CUST#16155373</v>
      </c>
      <c r="G1110" s="2">
        <v>123.44</v>
      </c>
      <c r="H1110" t="str">
        <f t="shared" ref="H1110:H1115" si="16">"CUST#16155373"</f>
        <v>CUST#16155373</v>
      </c>
    </row>
    <row r="1111" spans="1:8" x14ac:dyDescent="0.25">
      <c r="E1111" t="str">
        <f>""</f>
        <v/>
      </c>
      <c r="F1111" t="str">
        <f>""</f>
        <v/>
      </c>
      <c r="H1111" t="str">
        <f t="shared" si="16"/>
        <v>CUST#16155373</v>
      </c>
    </row>
    <row r="1112" spans="1:8" x14ac:dyDescent="0.25">
      <c r="E1112" t="str">
        <f>""</f>
        <v/>
      </c>
      <c r="F1112" t="str">
        <f>""</f>
        <v/>
      </c>
      <c r="H1112" t="str">
        <f t="shared" si="16"/>
        <v>CUST#16155373</v>
      </c>
    </row>
    <row r="1113" spans="1:8" x14ac:dyDescent="0.25">
      <c r="E1113" t="str">
        <f>""</f>
        <v/>
      </c>
      <c r="F1113" t="str">
        <f>""</f>
        <v/>
      </c>
      <c r="H1113" t="str">
        <f t="shared" si="16"/>
        <v>CUST#16155373</v>
      </c>
    </row>
    <row r="1114" spans="1:8" x14ac:dyDescent="0.25">
      <c r="E1114" t="str">
        <f>""</f>
        <v/>
      </c>
      <c r="F1114" t="str">
        <f>""</f>
        <v/>
      </c>
      <c r="H1114" t="str">
        <f t="shared" si="16"/>
        <v>CUST#16155373</v>
      </c>
    </row>
    <row r="1115" spans="1:8" x14ac:dyDescent="0.25">
      <c r="E1115" t="str">
        <f>""</f>
        <v/>
      </c>
      <c r="F1115" t="str">
        <f>""</f>
        <v/>
      </c>
      <c r="H1115" t="str">
        <f t="shared" si="16"/>
        <v>CUST#16155373</v>
      </c>
    </row>
    <row r="1116" spans="1:8" x14ac:dyDescent="0.25">
      <c r="A1116" t="s">
        <v>317</v>
      </c>
      <c r="B1116">
        <v>131021</v>
      </c>
      <c r="C1116" s="2">
        <v>288.72000000000003</v>
      </c>
      <c r="D1116" s="1">
        <v>43885</v>
      </c>
      <c r="E1116" t="str">
        <f>"8129132391"</f>
        <v>8129132391</v>
      </c>
      <c r="F1116" t="str">
        <f>"CUST#16156071 / TAX OFFICE"</f>
        <v>CUST#16156071 / TAX OFFICE</v>
      </c>
      <c r="G1116" s="2">
        <v>83.89</v>
      </c>
      <c r="H1116" t="str">
        <f>"CUST#16156071 / TAX OFFICE"</f>
        <v>CUST#16156071 / TAX OFFICE</v>
      </c>
    </row>
    <row r="1117" spans="1:8" x14ac:dyDescent="0.25">
      <c r="E1117" t="str">
        <f>"8129132477"</f>
        <v>8129132477</v>
      </c>
      <c r="F1117" t="str">
        <f>"CUST#16158670/JP4"</f>
        <v>CUST#16158670/JP4</v>
      </c>
      <c r="G1117" s="2">
        <v>204.83</v>
      </c>
      <c r="H1117" t="str">
        <f>"CUST#16158670/JP4"</f>
        <v>CUST#16158670/JP4</v>
      </c>
    </row>
    <row r="1118" spans="1:8" x14ac:dyDescent="0.25">
      <c r="A1118" t="s">
        <v>318</v>
      </c>
      <c r="B1118">
        <v>130841</v>
      </c>
      <c r="C1118" s="2">
        <v>411.38</v>
      </c>
      <c r="D1118" s="1">
        <v>43871</v>
      </c>
      <c r="E1118" t="str">
        <f>"202002055197"</f>
        <v>202002055197</v>
      </c>
      <c r="F1118" t="str">
        <f>"JAIL MEDICAL"</f>
        <v>JAIL MEDICAL</v>
      </c>
      <c r="G1118" s="2">
        <v>411.38</v>
      </c>
      <c r="H1118" t="str">
        <f>"JAIL MEDICAL"</f>
        <v>JAIL MEDICAL</v>
      </c>
    </row>
    <row r="1119" spans="1:8" x14ac:dyDescent="0.25">
      <c r="A1119" t="s">
        <v>319</v>
      </c>
      <c r="B1119">
        <v>130842</v>
      </c>
      <c r="C1119" s="2">
        <v>616.72</v>
      </c>
      <c r="D1119" s="1">
        <v>43871</v>
      </c>
      <c r="E1119" t="str">
        <f>"0430980-IN"</f>
        <v>0430980-IN</v>
      </c>
      <c r="F1119" t="str">
        <f>"INV 0430980-IN"</f>
        <v>INV 0430980-IN</v>
      </c>
      <c r="G1119" s="2">
        <v>64</v>
      </c>
      <c r="H1119" t="str">
        <f>"INV 0430980-IN"</f>
        <v>INV 0430980-IN</v>
      </c>
    </row>
    <row r="1120" spans="1:8" x14ac:dyDescent="0.25">
      <c r="E1120" t="str">
        <f>"0431078-IN"</f>
        <v>0431078-IN</v>
      </c>
      <c r="F1120" t="str">
        <f>"INV 0431078-IN"</f>
        <v>INV 0431078-IN</v>
      </c>
      <c r="G1120" s="2">
        <v>552.72</v>
      </c>
      <c r="H1120" t="str">
        <f>"INV 0431078-IN"</f>
        <v>INV 0431078-IN</v>
      </c>
    </row>
    <row r="1121" spans="1:8" x14ac:dyDescent="0.25">
      <c r="A1121" t="s">
        <v>320</v>
      </c>
      <c r="B1121">
        <v>131022</v>
      </c>
      <c r="C1121" s="2">
        <v>135.35</v>
      </c>
      <c r="D1121" s="1">
        <v>43885</v>
      </c>
      <c r="E1121" t="str">
        <f>"32541"</f>
        <v>32541</v>
      </c>
      <c r="F1121" t="str">
        <f>"SUPPLIES/PCT#2"</f>
        <v>SUPPLIES/PCT#2</v>
      </c>
      <c r="G1121" s="2">
        <v>135.35</v>
      </c>
      <c r="H1121" t="str">
        <f>"SUPPLIES/PCT#2"</f>
        <v>SUPPLIES/PCT#2</v>
      </c>
    </row>
    <row r="1122" spans="1:8" x14ac:dyDescent="0.25">
      <c r="A1122" t="s">
        <v>321</v>
      </c>
      <c r="B1122">
        <v>131023</v>
      </c>
      <c r="C1122" s="2">
        <v>255.61</v>
      </c>
      <c r="D1122" s="1">
        <v>43885</v>
      </c>
      <c r="E1122" t="str">
        <f>"202002135322"</f>
        <v>202002135322</v>
      </c>
      <c r="F1122" t="str">
        <f>"ACCT#260/PCT#2"</f>
        <v>ACCT#260/PCT#2</v>
      </c>
      <c r="G1122" s="2">
        <v>255.61</v>
      </c>
      <c r="H1122" t="str">
        <f>"ACCT#260/PCT#2"</f>
        <v>ACCT#260/PCT#2</v>
      </c>
    </row>
    <row r="1123" spans="1:8" x14ac:dyDescent="0.25">
      <c r="A1123" t="s">
        <v>322</v>
      </c>
      <c r="B1123">
        <v>130843</v>
      </c>
      <c r="C1123" s="2">
        <v>4.1100000000000003</v>
      </c>
      <c r="D1123" s="1">
        <v>43871</v>
      </c>
      <c r="E1123" t="str">
        <f>"202001294898"</f>
        <v>202001294898</v>
      </c>
      <c r="F1123" t="str">
        <f>"10/01-12/31 ARREST FEES"</f>
        <v>10/01-12/31 ARREST FEES</v>
      </c>
      <c r="G1123" s="2">
        <v>4.1100000000000003</v>
      </c>
      <c r="H1123" t="str">
        <f>"10/01-12/31 ARREST FEES"</f>
        <v>10/01-12/31 ARREST FEES</v>
      </c>
    </row>
    <row r="1124" spans="1:8" x14ac:dyDescent="0.25">
      <c r="A1124" t="s">
        <v>323</v>
      </c>
      <c r="B1124">
        <v>130844</v>
      </c>
      <c r="C1124" s="2">
        <v>7294</v>
      </c>
      <c r="D1124" s="1">
        <v>43871</v>
      </c>
      <c r="E1124" t="str">
        <f>" 4650034684"</f>
        <v xml:space="preserve"> 4650034684</v>
      </c>
      <c r="F1124" t="str">
        <f>"CUST#52157/PCT#3"</f>
        <v>CUST#52157/PCT#3</v>
      </c>
      <c r="G1124" s="2">
        <v>767.22</v>
      </c>
      <c r="H1124" t="str">
        <f>"CUST#52157/PCT#3"</f>
        <v>CUST#52157/PCT#3</v>
      </c>
    </row>
    <row r="1125" spans="1:8" x14ac:dyDescent="0.25">
      <c r="E1125" t="str">
        <f>"4650035370"</f>
        <v>4650035370</v>
      </c>
      <c r="F1125" t="str">
        <f>"CUST#52157/PCT#4"</f>
        <v>CUST#52157/PCT#4</v>
      </c>
      <c r="G1125" s="2">
        <v>70</v>
      </c>
      <c r="H1125" t="str">
        <f>"CUST#52157/PCT#4"</f>
        <v>CUST#52157/PCT#4</v>
      </c>
    </row>
    <row r="1126" spans="1:8" x14ac:dyDescent="0.25">
      <c r="E1126" t="str">
        <f>"4660010377"</f>
        <v>4660010377</v>
      </c>
      <c r="F1126" t="str">
        <f>"CUST#52158/PCT#2"</f>
        <v>CUST#52158/PCT#2</v>
      </c>
      <c r="G1126" s="2">
        <v>245</v>
      </c>
      <c r="H1126" t="str">
        <f>"CUST#52158/PCT#2"</f>
        <v>CUST#52158/PCT#2</v>
      </c>
    </row>
    <row r="1127" spans="1:8" x14ac:dyDescent="0.25">
      <c r="E1127" t="str">
        <f>"4660010408"</f>
        <v>4660010408</v>
      </c>
      <c r="F1127" t="str">
        <f>"CUST#52158/PCT#2"</f>
        <v>CUST#52158/PCT#2</v>
      </c>
      <c r="G1127" s="2">
        <v>1875.94</v>
      </c>
      <c r="H1127" t="str">
        <f>"CUST#52158/PCT#2"</f>
        <v>CUST#52158/PCT#2</v>
      </c>
    </row>
    <row r="1128" spans="1:8" x14ac:dyDescent="0.25">
      <c r="E1128" t="str">
        <f>"4660010494"</f>
        <v>4660010494</v>
      </c>
      <c r="F1128" t="str">
        <f>"CUST#52158/PCT#2"</f>
        <v>CUST#52158/PCT#2</v>
      </c>
      <c r="G1128" s="2">
        <v>3330.9</v>
      </c>
      <c r="H1128" t="str">
        <f>"CUST#52158/PCT#2"</f>
        <v>CUST#52158/PCT#2</v>
      </c>
    </row>
    <row r="1129" spans="1:8" x14ac:dyDescent="0.25">
      <c r="E1129" t="str">
        <f>"4660010762"</f>
        <v>4660010762</v>
      </c>
      <c r="F1129" t="str">
        <f>"CUST#52158/PCT#2"</f>
        <v>CUST#52158/PCT#2</v>
      </c>
      <c r="G1129" s="2">
        <v>1004.94</v>
      </c>
      <c r="H1129" t="str">
        <f>"CUST#52158/PCT#2"</f>
        <v>CUST#52158/PCT#2</v>
      </c>
    </row>
    <row r="1130" spans="1:8" x14ac:dyDescent="0.25">
      <c r="A1130" t="s">
        <v>323</v>
      </c>
      <c r="B1130">
        <v>131024</v>
      </c>
      <c r="C1130" s="2">
        <v>863.12</v>
      </c>
      <c r="D1130" s="1">
        <v>43885</v>
      </c>
      <c r="E1130" t="str">
        <f>"4650036621"</f>
        <v>4650036621</v>
      </c>
      <c r="F1130" t="str">
        <f>"CUST#52157/PCT#3"</f>
        <v>CUST#52157/PCT#3</v>
      </c>
      <c r="G1130" s="2">
        <v>863.12</v>
      </c>
      <c r="H1130" t="str">
        <f>"CUST#52157/PCT#3"</f>
        <v>CUST#52157/PCT#3</v>
      </c>
    </row>
    <row r="1131" spans="1:8" x14ac:dyDescent="0.25">
      <c r="A1131" t="s">
        <v>324</v>
      </c>
      <c r="B1131">
        <v>131025</v>
      </c>
      <c r="C1131" s="2">
        <v>25.57</v>
      </c>
      <c r="D1131" s="1">
        <v>43885</v>
      </c>
      <c r="E1131" t="str">
        <f>"9604456 013020"</f>
        <v>9604456 013020</v>
      </c>
      <c r="F1131" t="str">
        <f>"ACCT#46668439604456/JP#2"</f>
        <v>ACCT#46668439604456/JP#2</v>
      </c>
      <c r="G1131" s="2">
        <v>25.57</v>
      </c>
      <c r="H1131" t="str">
        <f>"ACCT#46668439604456/JP#2"</f>
        <v>ACCT#46668439604456/JP#2</v>
      </c>
    </row>
    <row r="1132" spans="1:8" x14ac:dyDescent="0.25">
      <c r="A1132" t="s">
        <v>325</v>
      </c>
      <c r="B1132">
        <v>131026</v>
      </c>
      <c r="C1132" s="2">
        <v>284.38</v>
      </c>
      <c r="D1132" s="1">
        <v>43885</v>
      </c>
      <c r="E1132" t="str">
        <f>"S1042495"</f>
        <v>S1042495</v>
      </c>
      <c r="F1132" t="str">
        <f>"ACCT#114382"</f>
        <v>ACCT#114382</v>
      </c>
      <c r="G1132" s="2">
        <v>284.38</v>
      </c>
      <c r="H1132" t="str">
        <f>"ACCT#114382"</f>
        <v>ACCT#114382</v>
      </c>
    </row>
    <row r="1133" spans="1:8" x14ac:dyDescent="0.25">
      <c r="A1133" t="s">
        <v>326</v>
      </c>
      <c r="B1133">
        <v>131027</v>
      </c>
      <c r="C1133" s="2">
        <v>93.46</v>
      </c>
      <c r="D1133" s="1">
        <v>43885</v>
      </c>
      <c r="E1133" t="str">
        <f>"202002185378"</f>
        <v>202002185378</v>
      </c>
      <c r="F1133" t="str">
        <f>"INDIGENT HEALTH"</f>
        <v>INDIGENT HEALTH</v>
      </c>
      <c r="G1133" s="2">
        <v>93.46</v>
      </c>
      <c r="H1133" t="str">
        <f>"INDIGENT HEALTH"</f>
        <v>INDIGENT HEALTH</v>
      </c>
    </row>
    <row r="1134" spans="1:8" x14ac:dyDescent="0.25">
      <c r="A1134" t="s">
        <v>327</v>
      </c>
      <c r="B1134">
        <v>131028</v>
      </c>
      <c r="C1134" s="2">
        <v>3136.86</v>
      </c>
      <c r="D1134" s="1">
        <v>43885</v>
      </c>
      <c r="E1134" t="str">
        <f>"202002185379"</f>
        <v>202002185379</v>
      </c>
      <c r="F1134" t="str">
        <f>"INDIGENT HEALTH"</f>
        <v>INDIGENT HEALTH</v>
      </c>
      <c r="G1134" s="2">
        <v>3136.86</v>
      </c>
      <c r="H1134" t="str">
        <f>"INDIGENT HEALTH"</f>
        <v>INDIGENT HEALTH</v>
      </c>
    </row>
    <row r="1135" spans="1:8" x14ac:dyDescent="0.25">
      <c r="A1135" t="s">
        <v>328</v>
      </c>
      <c r="B1135">
        <v>130845</v>
      </c>
      <c r="C1135" s="2">
        <v>3400.55</v>
      </c>
      <c r="D1135" s="1">
        <v>43871</v>
      </c>
      <c r="E1135" t="str">
        <f>"8057116266"</f>
        <v>8057116266</v>
      </c>
      <c r="F1135" t="str">
        <f>"SUM INV# 8057116266"</f>
        <v>SUM INV# 8057116266</v>
      </c>
      <c r="G1135" s="2">
        <v>3400.55</v>
      </c>
      <c r="H1135" t="str">
        <f>"INV# 3436298595-SPLI"</f>
        <v>INV# 3436298595-SPLI</v>
      </c>
    </row>
    <row r="1136" spans="1:8" x14ac:dyDescent="0.25">
      <c r="E1136" t="str">
        <f>""</f>
        <v/>
      </c>
      <c r="F1136" t="str">
        <f>""</f>
        <v/>
      </c>
      <c r="H1136" t="str">
        <f>"INV# 3436298614"</f>
        <v>INV# 3436298614</v>
      </c>
    </row>
    <row r="1137" spans="1:8" x14ac:dyDescent="0.25">
      <c r="E1137" t="str">
        <f>""</f>
        <v/>
      </c>
      <c r="F1137" t="str">
        <f>""</f>
        <v/>
      </c>
      <c r="H1137" t="str">
        <f>"INV# 3436298601"</f>
        <v>INV# 3436298601</v>
      </c>
    </row>
    <row r="1138" spans="1:8" x14ac:dyDescent="0.25">
      <c r="E1138" t="str">
        <f>""</f>
        <v/>
      </c>
      <c r="F1138" t="str">
        <f>""</f>
        <v/>
      </c>
      <c r="H1138" t="str">
        <f>"INV# 3436298606"</f>
        <v>INV# 3436298606</v>
      </c>
    </row>
    <row r="1139" spans="1:8" x14ac:dyDescent="0.25">
      <c r="E1139" t="str">
        <f>""</f>
        <v/>
      </c>
      <c r="F1139" t="str">
        <f>""</f>
        <v/>
      </c>
      <c r="H1139" t="str">
        <f>"INV# 3436298607"</f>
        <v>INV# 3436298607</v>
      </c>
    </row>
    <row r="1140" spans="1:8" x14ac:dyDescent="0.25">
      <c r="E1140" t="str">
        <f>""</f>
        <v/>
      </c>
      <c r="F1140" t="str">
        <f>""</f>
        <v/>
      </c>
      <c r="H1140" t="str">
        <f>"INV# 3436298602"</f>
        <v>INV# 3436298602</v>
      </c>
    </row>
    <row r="1141" spans="1:8" x14ac:dyDescent="0.25">
      <c r="E1141" t="str">
        <f>""</f>
        <v/>
      </c>
      <c r="F1141" t="str">
        <f>""</f>
        <v/>
      </c>
      <c r="H1141" t="str">
        <f>"INV# 3436298608"</f>
        <v>INV# 3436298608</v>
      </c>
    </row>
    <row r="1142" spans="1:8" x14ac:dyDescent="0.25">
      <c r="E1142" t="str">
        <f>""</f>
        <v/>
      </c>
      <c r="F1142" t="str">
        <f>""</f>
        <v/>
      </c>
      <c r="H1142" t="str">
        <f>"INV# 3436298596"</f>
        <v>INV# 3436298596</v>
      </c>
    </row>
    <row r="1143" spans="1:8" x14ac:dyDescent="0.25">
      <c r="E1143" t="str">
        <f>""</f>
        <v/>
      </c>
      <c r="F1143" t="str">
        <f>""</f>
        <v/>
      </c>
      <c r="H1143" t="str">
        <f>"INV# 3436298597"</f>
        <v>INV# 3436298597</v>
      </c>
    </row>
    <row r="1144" spans="1:8" x14ac:dyDescent="0.25">
      <c r="E1144" t="str">
        <f>""</f>
        <v/>
      </c>
      <c r="F1144" t="str">
        <f>""</f>
        <v/>
      </c>
      <c r="H1144" t="str">
        <f>"INV# 3436298599"</f>
        <v>INV# 3436298599</v>
      </c>
    </row>
    <row r="1145" spans="1:8" x14ac:dyDescent="0.25">
      <c r="E1145" t="str">
        <f>""</f>
        <v/>
      </c>
      <c r="F1145" t="str">
        <f>""</f>
        <v/>
      </c>
      <c r="H1145" t="str">
        <f>"INV# 3436298591"</f>
        <v>INV# 3436298591</v>
      </c>
    </row>
    <row r="1146" spans="1:8" x14ac:dyDescent="0.25">
      <c r="E1146" t="str">
        <f>""</f>
        <v/>
      </c>
      <c r="F1146" t="str">
        <f>""</f>
        <v/>
      </c>
      <c r="H1146" t="str">
        <f>"INV# 3436298609"</f>
        <v>INV# 3436298609</v>
      </c>
    </row>
    <row r="1147" spans="1:8" x14ac:dyDescent="0.25">
      <c r="E1147" t="str">
        <f>""</f>
        <v/>
      </c>
      <c r="F1147" t="str">
        <f>""</f>
        <v/>
      </c>
      <c r="H1147" t="str">
        <f>"INV# 3436298610"</f>
        <v>INV# 3436298610</v>
      </c>
    </row>
    <row r="1148" spans="1:8" x14ac:dyDescent="0.25">
      <c r="E1148" t="str">
        <f>""</f>
        <v/>
      </c>
      <c r="F1148" t="str">
        <f>""</f>
        <v/>
      </c>
      <c r="H1148" t="str">
        <f>"INV# 3436298613"</f>
        <v>INV# 3436298613</v>
      </c>
    </row>
    <row r="1149" spans="1:8" x14ac:dyDescent="0.25">
      <c r="E1149" t="str">
        <f>""</f>
        <v/>
      </c>
      <c r="F1149" t="str">
        <f>""</f>
        <v/>
      </c>
      <c r="H1149" t="str">
        <f>"INV# 3436298600"</f>
        <v>INV# 3436298600</v>
      </c>
    </row>
    <row r="1150" spans="1:8" x14ac:dyDescent="0.25">
      <c r="E1150" t="str">
        <f>""</f>
        <v/>
      </c>
      <c r="F1150" t="str">
        <f>""</f>
        <v/>
      </c>
      <c r="H1150" t="str">
        <f>"INV# 3436298594"</f>
        <v>INV# 3436298594</v>
      </c>
    </row>
    <row r="1151" spans="1:8" x14ac:dyDescent="0.25">
      <c r="E1151" t="str">
        <f>""</f>
        <v/>
      </c>
      <c r="F1151" t="str">
        <f>""</f>
        <v/>
      </c>
      <c r="H1151" t="str">
        <f>"INV# 3436298595-SPLI"</f>
        <v>INV# 3436298595-SPLI</v>
      </c>
    </row>
    <row r="1152" spans="1:8" x14ac:dyDescent="0.25">
      <c r="A1152" t="s">
        <v>328</v>
      </c>
      <c r="B1152">
        <v>131029</v>
      </c>
      <c r="C1152" s="2">
        <v>4553.8500000000004</v>
      </c>
      <c r="D1152" s="1">
        <v>43885</v>
      </c>
      <c r="E1152" t="str">
        <f>"202002195461"</f>
        <v>202002195461</v>
      </c>
      <c r="F1152" t="str">
        <f>"sum inv# 8057307068"</f>
        <v>sum inv# 8057307068</v>
      </c>
      <c r="G1152" s="2">
        <v>4553.8500000000004</v>
      </c>
      <c r="H1152" t="str">
        <f>"Inv# 3437973349"</f>
        <v>Inv# 3437973349</v>
      </c>
    </row>
    <row r="1153" spans="5:8" x14ac:dyDescent="0.25">
      <c r="E1153" t="str">
        <f>""</f>
        <v/>
      </c>
      <c r="F1153" t="str">
        <f>""</f>
        <v/>
      </c>
      <c r="H1153" t="str">
        <f>"Inv# 3737973363"</f>
        <v>Inv# 3737973363</v>
      </c>
    </row>
    <row r="1154" spans="5:8" x14ac:dyDescent="0.25">
      <c r="E1154" t="str">
        <f>""</f>
        <v/>
      </c>
      <c r="F1154" t="str">
        <f>""</f>
        <v/>
      </c>
      <c r="H1154" t="str">
        <f>"Inv# 3437973367"</f>
        <v>Inv# 3437973367</v>
      </c>
    </row>
    <row r="1155" spans="5:8" x14ac:dyDescent="0.25">
      <c r="E1155" t="str">
        <f>""</f>
        <v/>
      </c>
      <c r="F1155" t="str">
        <f>""</f>
        <v/>
      </c>
      <c r="H1155" t="str">
        <f>"Inv# 3437973439"</f>
        <v>Inv# 3437973439</v>
      </c>
    </row>
    <row r="1156" spans="5:8" x14ac:dyDescent="0.25">
      <c r="E1156" t="str">
        <f>""</f>
        <v/>
      </c>
      <c r="F1156" t="str">
        <f>""</f>
        <v/>
      </c>
      <c r="H1156" t="str">
        <f>"Inv# 3437973410"</f>
        <v>Inv# 3437973410</v>
      </c>
    </row>
    <row r="1157" spans="5:8" x14ac:dyDescent="0.25">
      <c r="E1157" t="str">
        <f>""</f>
        <v/>
      </c>
      <c r="F1157" t="str">
        <f>""</f>
        <v/>
      </c>
      <c r="H1157" t="str">
        <f>"Inv# 3437973414"</f>
        <v>Inv# 3437973414</v>
      </c>
    </row>
    <row r="1158" spans="5:8" x14ac:dyDescent="0.25">
      <c r="E1158" t="str">
        <f>""</f>
        <v/>
      </c>
      <c r="F1158" t="str">
        <f>""</f>
        <v/>
      </c>
      <c r="H1158" t="str">
        <f>"Inv# 3437973426"</f>
        <v>Inv# 3437973426</v>
      </c>
    </row>
    <row r="1159" spans="5:8" x14ac:dyDescent="0.25">
      <c r="E1159" t="str">
        <f>""</f>
        <v/>
      </c>
      <c r="F1159" t="str">
        <f>""</f>
        <v/>
      </c>
      <c r="H1159" t="str">
        <f>"Inv# 3437973428"</f>
        <v>Inv# 3437973428</v>
      </c>
    </row>
    <row r="1160" spans="5:8" x14ac:dyDescent="0.25">
      <c r="E1160" t="str">
        <f>""</f>
        <v/>
      </c>
      <c r="F1160" t="str">
        <f>""</f>
        <v/>
      </c>
      <c r="H1160" t="str">
        <f>"Inv# 3437973431"</f>
        <v>Inv# 3437973431</v>
      </c>
    </row>
    <row r="1161" spans="5:8" x14ac:dyDescent="0.25">
      <c r="E1161" t="str">
        <f>""</f>
        <v/>
      </c>
      <c r="F1161" t="str">
        <f>""</f>
        <v/>
      </c>
      <c r="H1161" t="str">
        <f>"Inv# 3437973434"</f>
        <v>Inv# 3437973434</v>
      </c>
    </row>
    <row r="1162" spans="5:8" x14ac:dyDescent="0.25">
      <c r="E1162" t="str">
        <f>""</f>
        <v/>
      </c>
      <c r="F1162" t="str">
        <f>""</f>
        <v/>
      </c>
      <c r="H1162" t="str">
        <f>"Inv# 3437973417"</f>
        <v>Inv# 3437973417</v>
      </c>
    </row>
    <row r="1163" spans="5:8" x14ac:dyDescent="0.25">
      <c r="E1163" t="str">
        <f>""</f>
        <v/>
      </c>
      <c r="F1163" t="str">
        <f>""</f>
        <v/>
      </c>
      <c r="H1163" t="str">
        <f>"Inv# 3437973388"</f>
        <v>Inv# 3437973388</v>
      </c>
    </row>
    <row r="1164" spans="5:8" x14ac:dyDescent="0.25">
      <c r="E1164" t="str">
        <f>""</f>
        <v/>
      </c>
      <c r="F1164" t="str">
        <f>""</f>
        <v/>
      </c>
      <c r="H1164" t="str">
        <f>"Inv# 3437973396"</f>
        <v>Inv# 3437973396</v>
      </c>
    </row>
    <row r="1165" spans="5:8" x14ac:dyDescent="0.25">
      <c r="E1165" t="str">
        <f>""</f>
        <v/>
      </c>
      <c r="F1165" t="str">
        <f>""</f>
        <v/>
      </c>
      <c r="H1165" t="str">
        <f>"Inv# 3437973400"</f>
        <v>Inv# 3437973400</v>
      </c>
    </row>
    <row r="1166" spans="5:8" x14ac:dyDescent="0.25">
      <c r="E1166" t="str">
        <f>""</f>
        <v/>
      </c>
      <c r="F1166" t="str">
        <f>""</f>
        <v/>
      </c>
      <c r="H1166" t="str">
        <f>"Inv# 3437973404"</f>
        <v>Inv# 3437973404</v>
      </c>
    </row>
    <row r="1167" spans="5:8" x14ac:dyDescent="0.25">
      <c r="E1167" t="str">
        <f>""</f>
        <v/>
      </c>
      <c r="F1167" t="str">
        <f>""</f>
        <v/>
      </c>
      <c r="H1167" t="str">
        <f>"Inv# 3437973406"</f>
        <v>Inv# 3437973406</v>
      </c>
    </row>
    <row r="1168" spans="5:8" x14ac:dyDescent="0.25">
      <c r="E1168" t="str">
        <f>""</f>
        <v/>
      </c>
      <c r="F1168" t="str">
        <f>""</f>
        <v/>
      </c>
      <c r="H1168" t="str">
        <f>"Inv# 3437973407"</f>
        <v>Inv# 3437973407</v>
      </c>
    </row>
    <row r="1169" spans="5:8" x14ac:dyDescent="0.25">
      <c r="E1169" t="str">
        <f>""</f>
        <v/>
      </c>
      <c r="F1169" t="str">
        <f>""</f>
        <v/>
      </c>
      <c r="H1169" t="str">
        <f>"Inv# 3437973419"</f>
        <v>Inv# 3437973419</v>
      </c>
    </row>
    <row r="1170" spans="5:8" x14ac:dyDescent="0.25">
      <c r="E1170" t="str">
        <f>""</f>
        <v/>
      </c>
      <c r="F1170" t="str">
        <f>""</f>
        <v/>
      </c>
      <c r="H1170" t="str">
        <f>"Inv# 3437973449"</f>
        <v>Inv# 3437973449</v>
      </c>
    </row>
    <row r="1171" spans="5:8" x14ac:dyDescent="0.25">
      <c r="E1171" t="str">
        <f>""</f>
        <v/>
      </c>
      <c r="F1171" t="str">
        <f>""</f>
        <v/>
      </c>
      <c r="H1171" t="str">
        <f>"Inv# 3437973452"</f>
        <v>Inv# 3437973452</v>
      </c>
    </row>
    <row r="1172" spans="5:8" x14ac:dyDescent="0.25">
      <c r="E1172" t="str">
        <f>""</f>
        <v/>
      </c>
      <c r="F1172" t="str">
        <f>""</f>
        <v/>
      </c>
      <c r="H1172" t="str">
        <f>"Inv# 3437973456"</f>
        <v>Inv# 3437973456</v>
      </c>
    </row>
    <row r="1173" spans="5:8" x14ac:dyDescent="0.25">
      <c r="E1173" t="str">
        <f>""</f>
        <v/>
      </c>
      <c r="F1173" t="str">
        <f>""</f>
        <v/>
      </c>
      <c r="H1173" t="str">
        <f>"Inv# 3437973462"</f>
        <v>Inv# 3437973462</v>
      </c>
    </row>
    <row r="1174" spans="5:8" x14ac:dyDescent="0.25">
      <c r="E1174" t="str">
        <f>""</f>
        <v/>
      </c>
      <c r="F1174" t="str">
        <f>""</f>
        <v/>
      </c>
      <c r="H1174" t="str">
        <f>"Inv# 3437973464"</f>
        <v>Inv# 3437973464</v>
      </c>
    </row>
    <row r="1175" spans="5:8" x14ac:dyDescent="0.25">
      <c r="E1175" t="str">
        <f>""</f>
        <v/>
      </c>
      <c r="F1175" t="str">
        <f>""</f>
        <v/>
      </c>
      <c r="H1175" t="str">
        <f>"Inv# 3437973465"</f>
        <v>Inv# 3437973465</v>
      </c>
    </row>
    <row r="1176" spans="5:8" x14ac:dyDescent="0.25">
      <c r="E1176" t="str">
        <f>""</f>
        <v/>
      </c>
      <c r="F1176" t="str">
        <f>""</f>
        <v/>
      </c>
      <c r="H1176" t="str">
        <f>"Inv# 3437973448"</f>
        <v>Inv# 3437973448</v>
      </c>
    </row>
    <row r="1177" spans="5:8" x14ac:dyDescent="0.25">
      <c r="E1177" t="str">
        <f>""</f>
        <v/>
      </c>
      <c r="F1177" t="str">
        <f>""</f>
        <v/>
      </c>
      <c r="H1177" t="str">
        <f>"Inv# 3437973443"</f>
        <v>Inv# 3437973443</v>
      </c>
    </row>
    <row r="1178" spans="5:8" x14ac:dyDescent="0.25">
      <c r="E1178" t="str">
        <f>""</f>
        <v/>
      </c>
      <c r="F1178" t="str">
        <f>""</f>
        <v/>
      </c>
      <c r="H1178" t="str">
        <f>"Inv# 3437973444"</f>
        <v>Inv# 3437973444</v>
      </c>
    </row>
    <row r="1179" spans="5:8" x14ac:dyDescent="0.25">
      <c r="E1179" t="str">
        <f>""</f>
        <v/>
      </c>
      <c r="F1179" t="str">
        <f>""</f>
        <v/>
      </c>
      <c r="H1179" t="str">
        <f>"Inv# 3437973445"</f>
        <v>Inv# 3437973445</v>
      </c>
    </row>
    <row r="1180" spans="5:8" x14ac:dyDescent="0.25">
      <c r="E1180" t="str">
        <f>""</f>
        <v/>
      </c>
      <c r="F1180" t="str">
        <f>""</f>
        <v/>
      </c>
      <c r="H1180" t="str">
        <f>"Inv# 3437973408"</f>
        <v>Inv# 3437973408</v>
      </c>
    </row>
    <row r="1181" spans="5:8" x14ac:dyDescent="0.25">
      <c r="E1181" t="str">
        <f>""</f>
        <v/>
      </c>
      <c r="F1181" t="str">
        <f>""</f>
        <v/>
      </c>
      <c r="H1181" t="str">
        <f>"Inv# 3437973424"</f>
        <v>Inv# 3437973424</v>
      </c>
    </row>
    <row r="1182" spans="5:8" x14ac:dyDescent="0.25">
      <c r="E1182" t="str">
        <f>""</f>
        <v/>
      </c>
      <c r="F1182" t="str">
        <f>""</f>
        <v/>
      </c>
      <c r="H1182" t="str">
        <f>"Inv# 3437973371"</f>
        <v>Inv# 3437973371</v>
      </c>
    </row>
    <row r="1183" spans="5:8" x14ac:dyDescent="0.25">
      <c r="E1183" t="str">
        <f>""</f>
        <v/>
      </c>
      <c r="F1183" t="str">
        <f>""</f>
        <v/>
      </c>
      <c r="H1183" t="str">
        <f>"Inv# 3437973374"</f>
        <v>Inv# 3437973374</v>
      </c>
    </row>
    <row r="1184" spans="5:8" x14ac:dyDescent="0.25">
      <c r="E1184" t="str">
        <f>""</f>
        <v/>
      </c>
      <c r="F1184" t="str">
        <f>""</f>
        <v/>
      </c>
      <c r="H1184" t="str">
        <f>"Inv# 3437973380"</f>
        <v>Inv# 3437973380</v>
      </c>
    </row>
    <row r="1185" spans="1:8" x14ac:dyDescent="0.25">
      <c r="E1185" t="str">
        <f>""</f>
        <v/>
      </c>
      <c r="F1185" t="str">
        <f>""</f>
        <v/>
      </c>
      <c r="H1185" t="str">
        <f>"Inv# 3437973384"</f>
        <v>Inv# 3437973384</v>
      </c>
    </row>
    <row r="1186" spans="1:8" x14ac:dyDescent="0.25">
      <c r="A1186" t="s">
        <v>329</v>
      </c>
      <c r="B1186">
        <v>131030</v>
      </c>
      <c r="C1186" s="2">
        <v>477.75</v>
      </c>
      <c r="D1186" s="1">
        <v>43885</v>
      </c>
      <c r="E1186" t="str">
        <f>"202002125289"</f>
        <v>202002125289</v>
      </c>
      <c r="F1186" t="str">
        <f>"JANUARY 2020"</f>
        <v>JANUARY 2020</v>
      </c>
      <c r="G1186" s="2">
        <v>477.75</v>
      </c>
      <c r="H1186" t="str">
        <f>"JANUARY 2020"</f>
        <v>JANUARY 2020</v>
      </c>
    </row>
    <row r="1187" spans="1:8" x14ac:dyDescent="0.25">
      <c r="A1187" t="s">
        <v>330</v>
      </c>
      <c r="B1187">
        <v>131031</v>
      </c>
      <c r="C1187" s="2">
        <v>282.7</v>
      </c>
      <c r="D1187" s="1">
        <v>43885</v>
      </c>
      <c r="E1187" t="str">
        <f>"202002195444"</f>
        <v>202002195444</v>
      </c>
      <c r="F1187" t="str">
        <f>"REIMBURSE FOR TOW"</f>
        <v>REIMBURSE FOR TOW</v>
      </c>
      <c r="G1187" s="2">
        <v>282.7</v>
      </c>
      <c r="H1187" t="str">
        <f>"REIMBURSE FOR TOW"</f>
        <v>REIMBURSE FOR TOW</v>
      </c>
    </row>
    <row r="1188" spans="1:8" x14ac:dyDescent="0.25">
      <c r="A1188" t="s">
        <v>331</v>
      </c>
      <c r="B1188">
        <v>130846</v>
      </c>
      <c r="C1188" s="2">
        <v>266.5</v>
      </c>
      <c r="D1188" s="1">
        <v>43871</v>
      </c>
      <c r="E1188" t="str">
        <f>"202002045009"</f>
        <v>202002045009</v>
      </c>
      <c r="F1188" t="str">
        <f>"TRASH REMOVAL 01/27-01/31 / P4"</f>
        <v>TRASH REMOVAL 01/27-01/31 / P4</v>
      </c>
      <c r="G1188" s="2">
        <v>123.5</v>
      </c>
      <c r="H1188" t="str">
        <f>"TRASH REMOVAL 01/27-01/31 / P4"</f>
        <v>TRASH REMOVAL 01/27-01/31 / P4</v>
      </c>
    </row>
    <row r="1189" spans="1:8" x14ac:dyDescent="0.25">
      <c r="E1189" t="str">
        <f>"202002045010"</f>
        <v>202002045010</v>
      </c>
      <c r="F1189" t="str">
        <f>"TRASH REMOVAL 02/03-02/07 / P4"</f>
        <v>TRASH REMOVAL 02/03-02/07 / P4</v>
      </c>
      <c r="G1189" s="2">
        <v>143</v>
      </c>
      <c r="H1189" t="str">
        <f>"TRASH REMOVAL 02/03-02/07 / P4"</f>
        <v>TRASH REMOVAL 02/03-02/07 / P4</v>
      </c>
    </row>
    <row r="1190" spans="1:8" x14ac:dyDescent="0.25">
      <c r="A1190" t="s">
        <v>331</v>
      </c>
      <c r="B1190">
        <v>131032</v>
      </c>
      <c r="C1190" s="2">
        <v>370.5</v>
      </c>
      <c r="D1190" s="1">
        <v>43885</v>
      </c>
      <c r="E1190" t="str">
        <f>"202002185386"</f>
        <v>202002185386</v>
      </c>
      <c r="F1190" t="str">
        <f>"TRASH REMOVAL 02/10-02/21/P4"</f>
        <v>TRASH REMOVAL 02/10-02/21/P4</v>
      </c>
      <c r="G1190" s="2">
        <v>370.5</v>
      </c>
      <c r="H1190" t="str">
        <f>"TRASH REMOVAL 02/10-02/21/P4"</f>
        <v>TRASH REMOVAL 02/10-02/21/P4</v>
      </c>
    </row>
    <row r="1191" spans="1:8" x14ac:dyDescent="0.25">
      <c r="A1191" t="s">
        <v>332</v>
      </c>
      <c r="B1191">
        <v>2137</v>
      </c>
      <c r="C1191" s="2">
        <v>10560</v>
      </c>
      <c r="D1191" s="1">
        <v>43872</v>
      </c>
      <c r="E1191" t="str">
        <f>"371"</f>
        <v>371</v>
      </c>
      <c r="F1191" t="str">
        <f>"REMOVED/TRIMMED VEG/PCT#2"</f>
        <v>REMOVED/TRIMMED VEG/PCT#2</v>
      </c>
      <c r="G1191" s="2">
        <v>10560</v>
      </c>
      <c r="H1191" t="str">
        <f>"REMOVED/TRIMMED VEG/PCT#2"</f>
        <v>REMOVED/TRIMMED VEG/PCT#2</v>
      </c>
    </row>
    <row r="1192" spans="1:8" x14ac:dyDescent="0.25">
      <c r="A1192" t="s">
        <v>332</v>
      </c>
      <c r="B1192">
        <v>2211</v>
      </c>
      <c r="C1192" s="2">
        <v>7280</v>
      </c>
      <c r="D1192" s="1">
        <v>43886</v>
      </c>
      <c r="E1192" t="str">
        <f>"376"</f>
        <v>376</v>
      </c>
      <c r="F1192" t="str">
        <f>"SHRED MOW WEEDEAT/PCT#2"</f>
        <v>SHRED MOW WEEDEAT/PCT#2</v>
      </c>
      <c r="G1192" s="2">
        <v>7280</v>
      </c>
      <c r="H1192" t="str">
        <f>"SHRED MOW WEEDEAT/PCT#2"</f>
        <v>SHRED MOW WEEDEAT/PCT#2</v>
      </c>
    </row>
    <row r="1193" spans="1:8" x14ac:dyDescent="0.25">
      <c r="A1193" t="s">
        <v>333</v>
      </c>
      <c r="B1193">
        <v>2144</v>
      </c>
      <c r="C1193" s="2">
        <v>5955.07</v>
      </c>
      <c r="D1193" s="1">
        <v>43872</v>
      </c>
      <c r="E1193" t="str">
        <f>"95576065"</f>
        <v>95576065</v>
      </c>
      <c r="F1193" t="str">
        <f>"ACCT#10187718/PCT#2"</f>
        <v>ACCT#10187718/PCT#2</v>
      </c>
      <c r="G1193" s="2">
        <v>3242.82</v>
      </c>
      <c r="H1193" t="str">
        <f>"ACCT#10187718/PCT#2"</f>
        <v>ACCT#10187718/PCT#2</v>
      </c>
    </row>
    <row r="1194" spans="1:8" x14ac:dyDescent="0.25">
      <c r="E1194" t="str">
        <f>"95588559"</f>
        <v>95588559</v>
      </c>
      <c r="F1194" t="str">
        <f>"ACCT#10187718/FUEL/PCT#2"</f>
        <v>ACCT#10187718/FUEL/PCT#2</v>
      </c>
      <c r="G1194" s="2">
        <v>2712.25</v>
      </c>
      <c r="H1194" t="str">
        <f>"ACCT#10187718/FUEL/PCT#2"</f>
        <v>ACCT#10187718/FUEL/PCT#2</v>
      </c>
    </row>
    <row r="1195" spans="1:8" x14ac:dyDescent="0.25">
      <c r="A1195" t="s">
        <v>333</v>
      </c>
      <c r="B1195">
        <v>2219</v>
      </c>
      <c r="C1195" s="2">
        <v>2236.88</v>
      </c>
      <c r="D1195" s="1">
        <v>43886</v>
      </c>
      <c r="E1195" t="str">
        <f>"95600602"</f>
        <v>95600602</v>
      </c>
      <c r="F1195" t="str">
        <f>"ACCT#10187718/PCT#2"</f>
        <v>ACCT#10187718/PCT#2</v>
      </c>
      <c r="G1195" s="2">
        <v>2236.88</v>
      </c>
      <c r="H1195" t="str">
        <f>"ACCT#10187718/PCT#2"</f>
        <v>ACCT#10187718/PCT#2</v>
      </c>
    </row>
    <row r="1196" spans="1:8" x14ac:dyDescent="0.25">
      <c r="A1196" t="s">
        <v>334</v>
      </c>
      <c r="B1196">
        <v>131033</v>
      </c>
      <c r="C1196" s="2">
        <v>54.41</v>
      </c>
      <c r="D1196" s="1">
        <v>43885</v>
      </c>
      <c r="E1196" t="str">
        <f>"202002185380"</f>
        <v>202002185380</v>
      </c>
      <c r="F1196" t="str">
        <f>"INDIGENT HEALTH"</f>
        <v>INDIGENT HEALTH</v>
      </c>
      <c r="G1196" s="2">
        <v>54.41</v>
      </c>
      <c r="H1196" t="str">
        <f>"INDIGENT HEALTH"</f>
        <v>INDIGENT HEALTH</v>
      </c>
    </row>
    <row r="1197" spans="1:8" x14ac:dyDescent="0.25">
      <c r="A1197" t="s">
        <v>335</v>
      </c>
      <c r="B1197">
        <v>2202</v>
      </c>
      <c r="C1197" s="2">
        <v>210.45</v>
      </c>
      <c r="D1197" s="1">
        <v>43886</v>
      </c>
      <c r="E1197" t="str">
        <f>"60129968"</f>
        <v>60129968</v>
      </c>
      <c r="F1197" t="str">
        <f>"inv# 60129968"</f>
        <v>inv# 60129968</v>
      </c>
      <c r="G1197" s="2">
        <v>210.45</v>
      </c>
      <c r="H1197" t="str">
        <f>"SINSY406-SF7SNM"</f>
        <v>SINSY406-SF7SNM</v>
      </c>
    </row>
    <row r="1198" spans="1:8" x14ac:dyDescent="0.25">
      <c r="E1198" t="str">
        <f>""</f>
        <v/>
      </c>
      <c r="F1198" t="str">
        <f>""</f>
        <v/>
      </c>
      <c r="H1198" t="str">
        <f>"SHIPPING"</f>
        <v>SHIPPING</v>
      </c>
    </row>
    <row r="1199" spans="1:8" x14ac:dyDescent="0.25">
      <c r="A1199" t="s">
        <v>336</v>
      </c>
      <c r="B1199">
        <v>131034</v>
      </c>
      <c r="C1199" s="2">
        <v>1845.37</v>
      </c>
      <c r="D1199" s="1">
        <v>43885</v>
      </c>
      <c r="E1199" t="str">
        <f>"IN1690318"</f>
        <v>IN1690318</v>
      </c>
      <c r="F1199" t="str">
        <f>"TASC ID 4816-5373-3697"</f>
        <v>TASC ID 4816-5373-3697</v>
      </c>
      <c r="G1199" s="2">
        <v>1845.37</v>
      </c>
      <c r="H1199" t="str">
        <f>"TASC ID 4816-5373-3697"</f>
        <v>TASC ID 4816-5373-3697</v>
      </c>
    </row>
    <row r="1200" spans="1:8" x14ac:dyDescent="0.25">
      <c r="A1200" t="s">
        <v>337</v>
      </c>
      <c r="B1200">
        <v>2135</v>
      </c>
      <c r="C1200" s="2">
        <v>59.44</v>
      </c>
      <c r="D1200" s="1">
        <v>43872</v>
      </c>
      <c r="E1200" t="str">
        <f>"20020302"</f>
        <v>20020302</v>
      </c>
      <c r="F1200" t="str">
        <f>"SVC CONTRACT 01/02 - 02/03"</f>
        <v>SVC CONTRACT 01/02 - 02/03</v>
      </c>
      <c r="G1200" s="2">
        <v>59.44</v>
      </c>
      <c r="H1200" t="str">
        <f>"SVC CONTRACT 01/02 - 02/03"</f>
        <v>SVC CONTRACT 01/02 - 02/03</v>
      </c>
    </row>
    <row r="1201" spans="1:8" x14ac:dyDescent="0.25">
      <c r="A1201" t="s">
        <v>338</v>
      </c>
      <c r="B1201">
        <v>131035</v>
      </c>
      <c r="C1201" s="2">
        <v>180.44</v>
      </c>
      <c r="D1201" s="1">
        <v>43885</v>
      </c>
      <c r="E1201" t="str">
        <f>"58358"</f>
        <v>58358</v>
      </c>
      <c r="F1201" t="str">
        <f>"METER/LABOR/PCT#3"</f>
        <v>METER/LABOR/PCT#3</v>
      </c>
      <c r="G1201" s="2">
        <v>180.44</v>
      </c>
      <c r="H1201" t="str">
        <f>"METER/LABOR/PCT#3"</f>
        <v>METER/LABOR/PCT#3</v>
      </c>
    </row>
    <row r="1202" spans="1:8" x14ac:dyDescent="0.25">
      <c r="A1202" t="s">
        <v>339</v>
      </c>
      <c r="B1202">
        <v>130847</v>
      </c>
      <c r="C1202" s="2">
        <v>1408.44</v>
      </c>
      <c r="D1202" s="1">
        <v>43871</v>
      </c>
      <c r="E1202" t="str">
        <f>"78089"</f>
        <v>78089</v>
      </c>
      <c r="F1202" t="str">
        <f>"ACCT#60-039798/ANNUAL MONITOR"</f>
        <v>ACCT#60-039798/ANNUAL MONITOR</v>
      </c>
      <c r="G1202" s="2">
        <v>1001.04</v>
      </c>
      <c r="H1202" t="str">
        <f>"ACCT#60-039798/ANNUAL MONITOR"</f>
        <v>ACCT#60-039798/ANNUAL MONITOR</v>
      </c>
    </row>
    <row r="1203" spans="1:8" x14ac:dyDescent="0.25">
      <c r="E1203" t="str">
        <f>"78104"</f>
        <v>78104</v>
      </c>
      <c r="F1203" t="str">
        <f>"ACCT#60-03-9799/ANNUAL MONITOR"</f>
        <v>ACCT#60-03-9799/ANNUAL MONITOR</v>
      </c>
      <c r="G1203" s="2">
        <v>407.4</v>
      </c>
      <c r="H1203" t="str">
        <f>"ACCT#60-03-9799/ANNUAL MONITOR"</f>
        <v>ACCT#60-03-9799/ANNUAL MONITOR</v>
      </c>
    </row>
    <row r="1204" spans="1:8" x14ac:dyDescent="0.25">
      <c r="A1204" t="s">
        <v>340</v>
      </c>
      <c r="B1204">
        <v>131036</v>
      </c>
      <c r="C1204" s="2">
        <v>315</v>
      </c>
      <c r="D1204" s="1">
        <v>43885</v>
      </c>
      <c r="E1204" t="str">
        <f>"20-0039"</f>
        <v>20-0039</v>
      </c>
      <c r="F1204" t="str">
        <f>"INV 20-0039"</f>
        <v>INV 20-0039</v>
      </c>
      <c r="G1204" s="2">
        <v>315</v>
      </c>
    </row>
    <row r="1205" spans="1:8" x14ac:dyDescent="0.25">
      <c r="A1205" t="s">
        <v>341</v>
      </c>
      <c r="B1205">
        <v>2247</v>
      </c>
      <c r="C1205" s="2">
        <v>217</v>
      </c>
      <c r="D1205" s="1">
        <v>43886</v>
      </c>
      <c r="E1205" t="str">
        <f>"2003054"</f>
        <v>2003054</v>
      </c>
      <c r="F1205" t="str">
        <f>"MONTHLY CONTRACT BILLING"</f>
        <v>MONTHLY CONTRACT BILLING</v>
      </c>
      <c r="G1205" s="2">
        <v>217</v>
      </c>
      <c r="H1205" t="str">
        <f>"MONTHLY CONTRACT BILLING"</f>
        <v>MONTHLY CONTRACT BILLING</v>
      </c>
    </row>
    <row r="1206" spans="1:8" x14ac:dyDescent="0.25">
      <c r="A1206" t="s">
        <v>342</v>
      </c>
      <c r="B1206">
        <v>130848</v>
      </c>
      <c r="C1206" s="2">
        <v>535.36</v>
      </c>
      <c r="D1206" s="1">
        <v>43871</v>
      </c>
      <c r="E1206" t="str">
        <f>"383203"</f>
        <v>383203</v>
      </c>
      <c r="F1206" t="str">
        <f>"INV 383203"</f>
        <v>INV 383203</v>
      </c>
      <c r="G1206" s="2">
        <v>535.36</v>
      </c>
      <c r="H1206" t="str">
        <f>"INV 383203"</f>
        <v>INV 383203</v>
      </c>
    </row>
    <row r="1207" spans="1:8" x14ac:dyDescent="0.25">
      <c r="A1207" t="s">
        <v>343</v>
      </c>
      <c r="B1207">
        <v>2166</v>
      </c>
      <c r="C1207" s="2">
        <v>41.78</v>
      </c>
      <c r="D1207" s="1">
        <v>43872</v>
      </c>
      <c r="E1207" t="str">
        <f>"82822"</f>
        <v>82822</v>
      </c>
      <c r="F1207" t="str">
        <f>"ACCT#63275/CUST ID:BASCO1"</f>
        <v>ACCT#63275/CUST ID:BASCO1</v>
      </c>
      <c r="G1207" s="2">
        <v>41.78</v>
      </c>
      <c r="H1207" t="str">
        <f>"ACCT#63275/CUST ID:BASCO1"</f>
        <v>ACCT#63275/CUST ID:BASCO1</v>
      </c>
    </row>
    <row r="1208" spans="1:8" x14ac:dyDescent="0.25">
      <c r="A1208" t="s">
        <v>344</v>
      </c>
      <c r="B1208">
        <v>130849</v>
      </c>
      <c r="C1208" s="2">
        <v>9500.98</v>
      </c>
      <c r="D1208" s="1">
        <v>43871</v>
      </c>
      <c r="E1208" t="str">
        <f>"0938808-IN"</f>
        <v>0938808-IN</v>
      </c>
      <c r="F1208" t="str">
        <f>"ACCT#01-0112917/PCT#4"</f>
        <v>ACCT#01-0112917/PCT#4</v>
      </c>
      <c r="G1208" s="2">
        <v>5813.17</v>
      </c>
      <c r="H1208" t="str">
        <f>"ACCT#01-0112917/PCT#4"</f>
        <v>ACCT#01-0112917/PCT#4</v>
      </c>
    </row>
    <row r="1209" spans="1:8" x14ac:dyDescent="0.25">
      <c r="E1209" t="str">
        <f>"0940695-IN"</f>
        <v>0940695-IN</v>
      </c>
      <c r="F1209" t="str">
        <f>"ACCT#01-0112917/FUEL/PCT#3"</f>
        <v>ACCT#01-0112917/FUEL/PCT#3</v>
      </c>
      <c r="G1209" s="2">
        <v>3687.81</v>
      </c>
      <c r="H1209" t="str">
        <f>"ACCT#01-0112917/FUEL/PCT#3"</f>
        <v>ACCT#01-0112917/FUEL/PCT#3</v>
      </c>
    </row>
    <row r="1210" spans="1:8" x14ac:dyDescent="0.25">
      <c r="A1210" t="s">
        <v>344</v>
      </c>
      <c r="B1210">
        <v>131037</v>
      </c>
      <c r="C1210" s="2">
        <v>13249.98</v>
      </c>
      <c r="D1210" s="1">
        <v>43885</v>
      </c>
      <c r="E1210" t="str">
        <f>"0242743-IN"</f>
        <v>0242743-IN</v>
      </c>
      <c r="F1210" t="str">
        <f>"INV 0242743-IN"</f>
        <v>INV 0242743-IN</v>
      </c>
      <c r="G1210" s="2">
        <v>363.35</v>
      </c>
      <c r="H1210" t="str">
        <f>"INV 0242743-IN"</f>
        <v>INV 0242743-IN</v>
      </c>
    </row>
    <row r="1211" spans="1:8" x14ac:dyDescent="0.25">
      <c r="E1211" t="str">
        <f>"0944050-IN"</f>
        <v>0944050-IN</v>
      </c>
      <c r="F1211" t="str">
        <f>"ACCT#01-0112917/PCT#1"</f>
        <v>ACCT#01-0112917/PCT#1</v>
      </c>
      <c r="G1211" s="2">
        <v>4826.2700000000004</v>
      </c>
      <c r="H1211" t="str">
        <f>"ACCT#01-0112917/PCT#1"</f>
        <v>ACCT#01-0112917/PCT#1</v>
      </c>
    </row>
    <row r="1212" spans="1:8" x14ac:dyDescent="0.25">
      <c r="E1212" t="str">
        <f>"0945807-IN"</f>
        <v>0945807-IN</v>
      </c>
      <c r="F1212" t="str">
        <f>"ACCT#01-0112917/PCT#4"</f>
        <v>ACCT#01-0112917/PCT#4</v>
      </c>
      <c r="G1212" s="2">
        <v>4644.59</v>
      </c>
      <c r="H1212" t="str">
        <f>"ACCT#01-0112917/PCT#4"</f>
        <v>ACCT#01-0112917/PCT#4</v>
      </c>
    </row>
    <row r="1213" spans="1:8" x14ac:dyDescent="0.25">
      <c r="E1213" t="str">
        <f>"945496R-IN"</f>
        <v>945496R-IN</v>
      </c>
      <c r="F1213" t="str">
        <f>"ACCT#01-0112917/FUEL/PCT#3"</f>
        <v>ACCT#01-0112917/FUEL/PCT#3</v>
      </c>
      <c r="G1213" s="2">
        <v>3415.77</v>
      </c>
      <c r="H1213" t="str">
        <f>"ACCT#01-0112917/FUEL/PCT#3"</f>
        <v>ACCT#01-0112917/FUEL/PCT#3</v>
      </c>
    </row>
    <row r="1214" spans="1:8" x14ac:dyDescent="0.25">
      <c r="A1214" t="s">
        <v>345</v>
      </c>
      <c r="B1214">
        <v>131038</v>
      </c>
      <c r="C1214" s="2">
        <v>118.95</v>
      </c>
      <c r="D1214" s="1">
        <v>43885</v>
      </c>
      <c r="E1214" t="str">
        <f>"202002185381"</f>
        <v>202002185381</v>
      </c>
      <c r="F1214" t="str">
        <f>"INDIGENT HEALTH"</f>
        <v>INDIGENT HEALTH</v>
      </c>
      <c r="G1214" s="2">
        <v>118.95</v>
      </c>
      <c r="H1214" t="str">
        <f>"INDIGENT HEALTH"</f>
        <v>INDIGENT HEALTH</v>
      </c>
    </row>
    <row r="1215" spans="1:8" x14ac:dyDescent="0.25">
      <c r="A1215" t="s">
        <v>346</v>
      </c>
      <c r="B1215">
        <v>130850</v>
      </c>
      <c r="C1215" s="2">
        <v>101.4</v>
      </c>
      <c r="D1215" s="1">
        <v>43871</v>
      </c>
      <c r="E1215" t="str">
        <f>"4617"</f>
        <v>4617</v>
      </c>
      <c r="F1215" t="str">
        <f>"TICKET#1140659/PCT#1"</f>
        <v>TICKET#1140659/PCT#1</v>
      </c>
      <c r="G1215" s="2">
        <v>101.4</v>
      </c>
      <c r="H1215" t="str">
        <f>"TICKET#1140659/PCT#1"</f>
        <v>TICKET#1140659/PCT#1</v>
      </c>
    </row>
    <row r="1216" spans="1:8" x14ac:dyDescent="0.25">
      <c r="A1216" t="s">
        <v>347</v>
      </c>
      <c r="B1216">
        <v>131039</v>
      </c>
      <c r="C1216" s="2">
        <v>580.03</v>
      </c>
      <c r="D1216" s="1">
        <v>43885</v>
      </c>
      <c r="E1216" t="str">
        <f>"202002195446"</f>
        <v>202002195446</v>
      </c>
      <c r="F1216" t="str">
        <f>"MARCH BONDS"</f>
        <v>MARCH BONDS</v>
      </c>
      <c r="G1216" s="2">
        <v>150</v>
      </c>
      <c r="H1216" t="str">
        <f>"MARCH BONDS"</f>
        <v>MARCH BONDS</v>
      </c>
    </row>
    <row r="1217" spans="1:8" x14ac:dyDescent="0.25">
      <c r="E1217" t="str">
        <f>"4701"</f>
        <v>4701</v>
      </c>
      <c r="F1217" t="str">
        <f>"ACCT#BASTCOU-08/AUDITOR'S OFF"</f>
        <v>ACCT#BASTCOU-08/AUDITOR'S OFF</v>
      </c>
      <c r="G1217" s="2">
        <v>430.03</v>
      </c>
      <c r="H1217" t="str">
        <f>"ACCT#BASTCOU-08/AUDITOR'S OFF"</f>
        <v>ACCT#BASTCOU-08/AUDITOR'S OFF</v>
      </c>
    </row>
    <row r="1218" spans="1:8" x14ac:dyDescent="0.25">
      <c r="A1218" t="s">
        <v>348</v>
      </c>
      <c r="B1218">
        <v>131040</v>
      </c>
      <c r="C1218" s="2">
        <v>2843</v>
      </c>
      <c r="D1218" s="1">
        <v>43885</v>
      </c>
      <c r="E1218" t="str">
        <f>"NRNC-28054-WC5"</f>
        <v>NRNC-28054-WC5</v>
      </c>
      <c r="F1218" t="str">
        <f>"WORKER COMPENSATION/#0110"</f>
        <v>WORKER COMPENSATION/#0110</v>
      </c>
      <c r="G1218" s="2">
        <v>2843</v>
      </c>
      <c r="H1218" t="str">
        <f t="shared" ref="H1218:H1223" si="17">"WORKER COMPENSATION/#0110"</f>
        <v>WORKER COMPENSATION/#0110</v>
      </c>
    </row>
    <row r="1219" spans="1:8" x14ac:dyDescent="0.25">
      <c r="E1219" t="str">
        <f>""</f>
        <v/>
      </c>
      <c r="F1219" t="str">
        <f>""</f>
        <v/>
      </c>
      <c r="H1219" t="str">
        <f t="shared" si="17"/>
        <v>WORKER COMPENSATION/#0110</v>
      </c>
    </row>
    <row r="1220" spans="1:8" x14ac:dyDescent="0.25">
      <c r="E1220" t="str">
        <f>""</f>
        <v/>
      </c>
      <c r="F1220" t="str">
        <f>""</f>
        <v/>
      </c>
      <c r="H1220" t="str">
        <f t="shared" si="17"/>
        <v>WORKER COMPENSATION/#0110</v>
      </c>
    </row>
    <row r="1221" spans="1:8" x14ac:dyDescent="0.25">
      <c r="E1221" t="str">
        <f>""</f>
        <v/>
      </c>
      <c r="F1221" t="str">
        <f>""</f>
        <v/>
      </c>
      <c r="H1221" t="str">
        <f t="shared" si="17"/>
        <v>WORKER COMPENSATION/#0110</v>
      </c>
    </row>
    <row r="1222" spans="1:8" x14ac:dyDescent="0.25">
      <c r="E1222" t="str">
        <f>""</f>
        <v/>
      </c>
      <c r="F1222" t="str">
        <f>""</f>
        <v/>
      </c>
      <c r="H1222" t="str">
        <f t="shared" si="17"/>
        <v>WORKER COMPENSATION/#0110</v>
      </c>
    </row>
    <row r="1223" spans="1:8" x14ac:dyDescent="0.25">
      <c r="E1223" t="str">
        <f>""</f>
        <v/>
      </c>
      <c r="F1223" t="str">
        <f>""</f>
        <v/>
      </c>
      <c r="H1223" t="str">
        <f t="shared" si="17"/>
        <v>WORKER COMPENSATION/#0110</v>
      </c>
    </row>
    <row r="1224" spans="1:8" x14ac:dyDescent="0.25">
      <c r="A1224" t="s">
        <v>348</v>
      </c>
      <c r="B1224">
        <v>131041</v>
      </c>
      <c r="C1224" s="2">
        <v>125</v>
      </c>
      <c r="D1224" s="1">
        <v>43885</v>
      </c>
      <c r="E1224" t="str">
        <f>"298905"</f>
        <v>298905</v>
      </c>
      <c r="F1224" t="str">
        <f>"BILL ID:253260/PROBATE ACADEMY"</f>
        <v>BILL ID:253260/PROBATE ACADEMY</v>
      </c>
      <c r="G1224" s="2">
        <v>125</v>
      </c>
      <c r="H1224" t="str">
        <f>"BILL ID:253260/PROBATE ACADEMY"</f>
        <v>BILL ID:253260/PROBATE ACADEMY</v>
      </c>
    </row>
    <row r="1225" spans="1:8" x14ac:dyDescent="0.25">
      <c r="A1225" t="s">
        <v>349</v>
      </c>
      <c r="B1225">
        <v>131042</v>
      </c>
      <c r="C1225" s="2">
        <v>2918.74</v>
      </c>
      <c r="D1225" s="1">
        <v>43885</v>
      </c>
      <c r="E1225" t="str">
        <f>"2019-11-07A"</f>
        <v>2019-11-07A</v>
      </c>
      <c r="F1225" t="str">
        <f>"RECEIPT#136968/PCT#1"</f>
        <v>RECEIPT#136968/PCT#1</v>
      </c>
      <c r="G1225" s="2">
        <v>169.99</v>
      </c>
      <c r="H1225" t="str">
        <f>"RECEIPT#136968/PCT#1"</f>
        <v>RECEIPT#136968/PCT#1</v>
      </c>
    </row>
    <row r="1226" spans="1:8" x14ac:dyDescent="0.25">
      <c r="E1226" t="str">
        <f>"2019-11-22B"</f>
        <v>2019-11-22B</v>
      </c>
      <c r="F1226" t="str">
        <f>"RECEIPT#137806/PCT#1"</f>
        <v>RECEIPT#137806/PCT#1</v>
      </c>
      <c r="G1226" s="2">
        <v>169.99</v>
      </c>
      <c r="H1226" t="str">
        <f>"RECEIPT#137806/PCT#1"</f>
        <v>RECEIPT#137806/PCT#1</v>
      </c>
    </row>
    <row r="1227" spans="1:8" x14ac:dyDescent="0.25">
      <c r="E1227" t="str">
        <f>"2019-12-19A"</f>
        <v>2019-12-19A</v>
      </c>
      <c r="F1227" t="str">
        <f>"BOOTS/PCT#1"</f>
        <v>BOOTS/PCT#1</v>
      </c>
      <c r="G1227" s="2">
        <v>1458.82</v>
      </c>
      <c r="H1227" t="str">
        <f>"BOOTS/PCT#1"</f>
        <v>BOOTS/PCT#1</v>
      </c>
    </row>
    <row r="1228" spans="1:8" x14ac:dyDescent="0.25">
      <c r="E1228" t="str">
        <f>"2019-12-19C"</f>
        <v>2019-12-19C</v>
      </c>
      <c r="F1228" t="str">
        <f>"RECEIPT#140137/PCT#1"</f>
        <v>RECEIPT#140137/PCT#1</v>
      </c>
      <c r="G1228" s="2">
        <v>179.99</v>
      </c>
      <c r="H1228" t="str">
        <f>"RECEIPT#140137/PCT#1"</f>
        <v>RECEIPT#140137/PCT#1</v>
      </c>
    </row>
    <row r="1229" spans="1:8" x14ac:dyDescent="0.25">
      <c r="E1229" t="str">
        <f>"2020-01-22A"</f>
        <v>2020-01-22A</v>
      </c>
      <c r="F1229" t="str">
        <f>"WORKBOOTS/PCT#4"</f>
        <v>WORKBOOTS/PCT#4</v>
      </c>
      <c r="G1229" s="2">
        <v>739.96</v>
      </c>
      <c r="H1229" t="str">
        <f>"WORKBOOTS/PCT#4"</f>
        <v>WORKBOOTS/PCT#4</v>
      </c>
    </row>
    <row r="1230" spans="1:8" x14ac:dyDescent="0.25">
      <c r="E1230" t="str">
        <f>"2020-02-07A"</f>
        <v>2020-02-07A</v>
      </c>
      <c r="F1230" t="str">
        <f>"WORK BOOTS-NEITH ALEXANDER"</f>
        <v>WORK BOOTS-NEITH ALEXANDER</v>
      </c>
      <c r="G1230" s="2">
        <v>199.99</v>
      </c>
      <c r="H1230" t="str">
        <f>"WORK BOOTS-NEITH ALEXANDER"</f>
        <v>WORK BOOTS-NEITH ALEXANDER</v>
      </c>
    </row>
    <row r="1231" spans="1:8" x14ac:dyDescent="0.25">
      <c r="A1231" t="s">
        <v>350</v>
      </c>
      <c r="B1231">
        <v>130851</v>
      </c>
      <c r="C1231" s="2">
        <v>790</v>
      </c>
      <c r="D1231" s="1">
        <v>43871</v>
      </c>
      <c r="E1231" t="str">
        <f>"202001294894"</f>
        <v>202001294894</v>
      </c>
      <c r="F1231" t="str">
        <f>"CONFERENCE REG-P PAPE/R DAWSON"</f>
        <v>CONFERENCE REG-P PAPE/R DAWSON</v>
      </c>
      <c r="G1231" s="2">
        <v>790</v>
      </c>
      <c r="H1231" t="str">
        <f>"CONFERENCE REG-P PAPE/R DAWSON"</f>
        <v>CONFERENCE REG-P PAPE/R DAWSON</v>
      </c>
    </row>
    <row r="1232" spans="1:8" x14ac:dyDescent="0.25">
      <c r="A1232" t="s">
        <v>351</v>
      </c>
      <c r="B1232">
        <v>130852</v>
      </c>
      <c r="C1232" s="2">
        <v>200</v>
      </c>
      <c r="D1232" s="1">
        <v>43871</v>
      </c>
      <c r="E1232" t="str">
        <f>"10237"</f>
        <v>10237</v>
      </c>
      <c r="F1232" t="str">
        <f>"MEMBERSHIP DUES TX IND HLTH CA"</f>
        <v>MEMBERSHIP DUES TX IND HLTH CA</v>
      </c>
      <c r="G1232" s="2">
        <v>200</v>
      </c>
      <c r="H1232" t="str">
        <f>"MEMBERSHIP DUES TX IND HLTH CA"</f>
        <v>MEMBERSHIP DUES TX IND HLTH CA</v>
      </c>
    </row>
    <row r="1233" spans="1:8" x14ac:dyDescent="0.25">
      <c r="A1233" t="s">
        <v>352</v>
      </c>
      <c r="B1233">
        <v>131043</v>
      </c>
      <c r="C1233" s="2">
        <v>1267.4000000000001</v>
      </c>
      <c r="D1233" s="1">
        <v>43885</v>
      </c>
      <c r="E1233" t="str">
        <f>"147113"</f>
        <v>147113</v>
      </c>
      <c r="F1233" t="str">
        <f>"REF#Y-3798/PCT#1"</f>
        <v>REF#Y-3798/PCT#1</v>
      </c>
      <c r="G1233" s="2">
        <v>1267.4000000000001</v>
      </c>
      <c r="H1233" t="str">
        <f>"REF#Y-3798/PCT#1"</f>
        <v>REF#Y-3798/PCT#1</v>
      </c>
    </row>
    <row r="1234" spans="1:8" x14ac:dyDescent="0.25">
      <c r="A1234" t="s">
        <v>353</v>
      </c>
      <c r="B1234">
        <v>130853</v>
      </c>
      <c r="C1234" s="2">
        <v>2325.9899999999998</v>
      </c>
      <c r="D1234" s="1">
        <v>43871</v>
      </c>
      <c r="E1234" t="str">
        <f>"167817"</f>
        <v>167817</v>
      </c>
      <c r="F1234" t="str">
        <f>"CUST#1574/HARD STONE/PCT#4"</f>
        <v>CUST#1574/HARD STONE/PCT#4</v>
      </c>
      <c r="G1234" s="2">
        <v>650.95000000000005</v>
      </c>
      <c r="H1234" t="str">
        <f>"CUST#1574/HARD STONE/PCT#4"</f>
        <v>CUST#1574/HARD STONE/PCT#4</v>
      </c>
    </row>
    <row r="1235" spans="1:8" x14ac:dyDescent="0.25">
      <c r="E1235" t="str">
        <f>"168048"</f>
        <v>168048</v>
      </c>
      <c r="F1235" t="str">
        <f>"CUST#1574/HARD STONE/PCT#4"</f>
        <v>CUST#1574/HARD STONE/PCT#4</v>
      </c>
      <c r="G1235" s="2">
        <v>827.72</v>
      </c>
      <c r="H1235" t="str">
        <f>"CUST#1574/HARD STONE/PCT#4"</f>
        <v>CUST#1574/HARD STONE/PCT#4</v>
      </c>
    </row>
    <row r="1236" spans="1:8" x14ac:dyDescent="0.25">
      <c r="E1236" t="str">
        <f>"168300"</f>
        <v>168300</v>
      </c>
      <c r="F1236" t="str">
        <f>"CUST#1574/HARD STONE/PCT#4"</f>
        <v>CUST#1574/HARD STONE/PCT#4</v>
      </c>
      <c r="G1236" s="2">
        <v>847.32</v>
      </c>
      <c r="H1236" t="str">
        <f>"CUST#1574/HARD STONE/PCT#4"</f>
        <v>CUST#1574/HARD STONE/PCT#4</v>
      </c>
    </row>
    <row r="1237" spans="1:8" x14ac:dyDescent="0.25">
      <c r="A1237" t="s">
        <v>354</v>
      </c>
      <c r="B1237">
        <v>131044</v>
      </c>
      <c r="C1237" s="2">
        <v>125</v>
      </c>
      <c r="D1237" s="1">
        <v>43885</v>
      </c>
      <c r="E1237" t="str">
        <f>" 667208"</f>
        <v xml:space="preserve"> 667208</v>
      </c>
      <c r="F1237" t="str">
        <f>"GO TEXAN BOOTH-AUSTIN"</f>
        <v>GO TEXAN BOOTH-AUSTIN</v>
      </c>
      <c r="G1237" s="2">
        <v>125</v>
      </c>
      <c r="H1237" t="str">
        <f>"GO TEXAN BOOTH-AUSTIN"</f>
        <v>GO TEXAN BOOTH-AUSTIN</v>
      </c>
    </row>
    <row r="1238" spans="1:8" x14ac:dyDescent="0.25">
      <c r="A1238" t="s">
        <v>355</v>
      </c>
      <c r="B1238">
        <v>131045</v>
      </c>
      <c r="C1238" s="2">
        <v>3450</v>
      </c>
      <c r="D1238" s="1">
        <v>43885</v>
      </c>
      <c r="E1238" t="str">
        <f>"202002135324"</f>
        <v>202002135324</v>
      </c>
      <c r="F1238" t="str">
        <f>"OVER AXLE/OVER GROSS APP/P2"</f>
        <v>OVER AXLE/OVER GROSS APP/P2</v>
      </c>
      <c r="G1238" s="2">
        <v>3450</v>
      </c>
      <c r="H1238" t="str">
        <f>"OVER AXLE/OVER GROSS APP/P4"</f>
        <v>OVER AXLE/OVER GROSS APP/P4</v>
      </c>
    </row>
    <row r="1239" spans="1:8" x14ac:dyDescent="0.25">
      <c r="A1239" t="s">
        <v>356</v>
      </c>
      <c r="B1239">
        <v>130854</v>
      </c>
      <c r="C1239" s="2">
        <v>30</v>
      </c>
      <c r="D1239" s="1">
        <v>43871</v>
      </c>
      <c r="E1239" t="str">
        <f>"CRS-201911-184246"</f>
        <v>CRS-201911-184246</v>
      </c>
      <c r="F1239" t="str">
        <f>"SECURE SITE CCH NAME SEARCH"</f>
        <v>SECURE SITE CCH NAME SEARCH</v>
      </c>
      <c r="G1239" s="2">
        <v>30</v>
      </c>
      <c r="H1239" t="str">
        <f>"SECURE SITE CCH NAME SEARCH"</f>
        <v>SECURE SITE CCH NAME SEARCH</v>
      </c>
    </row>
    <row r="1240" spans="1:8" x14ac:dyDescent="0.25">
      <c r="A1240" t="s">
        <v>356</v>
      </c>
      <c r="B1240">
        <v>131046</v>
      </c>
      <c r="C1240" s="2">
        <v>14</v>
      </c>
      <c r="D1240" s="1">
        <v>43885</v>
      </c>
      <c r="E1240" t="str">
        <f>"CRS-201912-186117"</f>
        <v>CRS-201912-186117</v>
      </c>
      <c r="F1240" t="str">
        <f>"SECURE SITE CCH NAME SEARCH"</f>
        <v>SECURE SITE CCH NAME SEARCH</v>
      </c>
      <c r="G1240" s="2">
        <v>14</v>
      </c>
      <c r="H1240" t="str">
        <f>"SECURE SITE CCH NAME SEARCH"</f>
        <v>SECURE SITE CCH NAME SEARCH</v>
      </c>
    </row>
    <row r="1241" spans="1:8" x14ac:dyDescent="0.25">
      <c r="A1241" t="s">
        <v>357</v>
      </c>
      <c r="B1241">
        <v>131047</v>
      </c>
      <c r="C1241" s="2">
        <v>155</v>
      </c>
      <c r="D1241" s="1">
        <v>43885</v>
      </c>
      <c r="E1241" t="str">
        <f>"5261982"</f>
        <v>5261982</v>
      </c>
      <c r="F1241" t="str">
        <f>"CUST#1-238865/TAHITIAN VILLAGE"</f>
        <v>CUST#1-238865/TAHITIAN VILLAGE</v>
      </c>
      <c r="G1241" s="2">
        <v>155</v>
      </c>
      <c r="H1241" t="str">
        <f>"CUST#1-238865/TAHITIAN VILLAGE"</f>
        <v>CUST#1-238865/TAHITIAN VILLAGE</v>
      </c>
    </row>
    <row r="1242" spans="1:8" x14ac:dyDescent="0.25">
      <c r="A1242" t="s">
        <v>358</v>
      </c>
      <c r="B1242">
        <v>130855</v>
      </c>
      <c r="C1242" s="2">
        <v>582.04</v>
      </c>
      <c r="D1242" s="1">
        <v>43871</v>
      </c>
      <c r="E1242" t="str">
        <f>"1436"</f>
        <v>1436</v>
      </c>
      <c r="F1242" t="str">
        <f>"INV 1436"</f>
        <v>INV 1436</v>
      </c>
      <c r="G1242" s="2">
        <v>582.04</v>
      </c>
      <c r="H1242" t="str">
        <f>"INV 1436"</f>
        <v>INV 1436</v>
      </c>
    </row>
    <row r="1243" spans="1:8" x14ac:dyDescent="0.25">
      <c r="A1243" t="s">
        <v>359</v>
      </c>
      <c r="B1243">
        <v>131048</v>
      </c>
      <c r="C1243" s="2">
        <v>2314.9499999999998</v>
      </c>
      <c r="D1243" s="1">
        <v>43885</v>
      </c>
      <c r="E1243" t="str">
        <f>"200845437"</f>
        <v>200845437</v>
      </c>
      <c r="F1243" t="str">
        <f>"CUST#255120/PCT#2"</f>
        <v>CUST#255120/PCT#2</v>
      </c>
      <c r="G1243" s="2">
        <v>2314.9499999999998</v>
      </c>
      <c r="H1243" t="str">
        <f>"CUST#255120/PCT#2"</f>
        <v>CUST#255120/PCT#2</v>
      </c>
    </row>
    <row r="1244" spans="1:8" x14ac:dyDescent="0.25">
      <c r="A1244" t="s">
        <v>360</v>
      </c>
      <c r="B1244">
        <v>130856</v>
      </c>
      <c r="C1244" s="2">
        <v>1049.75</v>
      </c>
      <c r="D1244" s="1">
        <v>43871</v>
      </c>
      <c r="E1244" t="str">
        <f>"19-2590J4"</f>
        <v>19-2590J4</v>
      </c>
      <c r="F1244" t="str">
        <f>"A8286595 ARREDONDO-RODRIGUEZ"</f>
        <v>A8286595 ARREDONDO-RODRIGUEZ</v>
      </c>
      <c r="G1244" s="2">
        <v>425</v>
      </c>
      <c r="H1244" t="str">
        <f>"A8286595 ARREDONDO-RODRIGUEZ"</f>
        <v>A8286595 ARREDONDO-RODRIGUEZ</v>
      </c>
    </row>
    <row r="1245" spans="1:8" x14ac:dyDescent="0.25">
      <c r="E1245" t="str">
        <f>"1CO-1946-13"</f>
        <v>1CO-1946-13</v>
      </c>
      <c r="F1245" t="str">
        <f>"A8047413 - M. WEARLS"</f>
        <v>A8047413 - M. WEARLS</v>
      </c>
      <c r="G1245" s="2">
        <v>157.25</v>
      </c>
      <c r="H1245" t="str">
        <f>"A8047413 - M. WEARLS"</f>
        <v>A8047413 - M. WEARLS</v>
      </c>
    </row>
    <row r="1246" spans="1:8" x14ac:dyDescent="0.25">
      <c r="E1246" t="str">
        <f>"3CO-0295-18"</f>
        <v>3CO-0295-18</v>
      </c>
      <c r="F1246" t="str">
        <f>"A8243943 - C. WARREN"</f>
        <v>A8243943 - C. WARREN</v>
      </c>
      <c r="G1246" s="2">
        <v>114.75</v>
      </c>
      <c r="H1246" t="str">
        <f>"A8243943 - C. WARREN"</f>
        <v>A8243943 - C. WARREN</v>
      </c>
    </row>
    <row r="1247" spans="1:8" x14ac:dyDescent="0.25">
      <c r="E1247" t="str">
        <f>"3CO-1688-19"</f>
        <v>3CO-1688-19</v>
      </c>
      <c r="F1247" t="str">
        <f>"A8286484 - J.D. KEEN"</f>
        <v>A8286484 - J.D. KEEN</v>
      </c>
      <c r="G1247" s="2">
        <v>80.75</v>
      </c>
      <c r="H1247" t="str">
        <f>"A8286484 - J.D. KEEN"</f>
        <v>A8286484 - J.D. KEEN</v>
      </c>
    </row>
    <row r="1248" spans="1:8" x14ac:dyDescent="0.25">
      <c r="E1248" t="str">
        <f>"J2-66017"</f>
        <v>J2-66017</v>
      </c>
      <c r="F1248" t="str">
        <f>"A8286486 - D. HENSON"</f>
        <v>A8286486 - D. HENSON</v>
      </c>
      <c r="G1248" s="2">
        <v>157.25</v>
      </c>
      <c r="H1248" t="str">
        <f>"A8286486 - D. HENSON"</f>
        <v>A8286486 - D. HENSON</v>
      </c>
    </row>
    <row r="1249" spans="1:8" x14ac:dyDescent="0.25">
      <c r="E1249" t="str">
        <f>"J2-67242"</f>
        <v>J2-67242</v>
      </c>
      <c r="F1249" t="str">
        <f>"A8303700 - T. BENOIT"</f>
        <v>A8303700 - T. BENOIT</v>
      </c>
      <c r="G1249" s="2">
        <v>114.75</v>
      </c>
      <c r="H1249" t="str">
        <f>"A8303700 - T. BENOIT"</f>
        <v>A8303700 - T. BENOIT</v>
      </c>
    </row>
    <row r="1250" spans="1:8" x14ac:dyDescent="0.25">
      <c r="A1250" t="s">
        <v>361</v>
      </c>
      <c r="B1250">
        <v>130857</v>
      </c>
      <c r="C1250" s="2">
        <v>295</v>
      </c>
      <c r="D1250" s="1">
        <v>43871</v>
      </c>
      <c r="E1250" t="str">
        <f>"111419"</f>
        <v>111419</v>
      </c>
      <c r="F1250" t="str">
        <f>"INV 111419"</f>
        <v>INV 111419</v>
      </c>
      <c r="G1250" s="2">
        <v>295</v>
      </c>
      <c r="H1250" t="str">
        <f>"INV 111419"</f>
        <v>INV 111419</v>
      </c>
    </row>
    <row r="1251" spans="1:8" x14ac:dyDescent="0.25">
      <c r="A1251" t="s">
        <v>362</v>
      </c>
      <c r="B1251">
        <v>131049</v>
      </c>
      <c r="C1251" s="2">
        <v>184.44</v>
      </c>
      <c r="D1251" s="1">
        <v>43885</v>
      </c>
      <c r="E1251" t="str">
        <f>"202002185382"</f>
        <v>202002185382</v>
      </c>
      <c r="F1251" t="str">
        <f>"INDIGENT HEALTH"</f>
        <v>INDIGENT HEALTH</v>
      </c>
      <c r="G1251" s="2">
        <v>184.44</v>
      </c>
      <c r="H1251" t="str">
        <f>"INDIGENT HEALTH"</f>
        <v>INDIGENT HEALTH</v>
      </c>
    </row>
    <row r="1252" spans="1:8" x14ac:dyDescent="0.25">
      <c r="A1252" t="s">
        <v>363</v>
      </c>
      <c r="B1252">
        <v>131050</v>
      </c>
      <c r="C1252" s="2">
        <v>22511.27</v>
      </c>
      <c r="D1252" s="1">
        <v>43885</v>
      </c>
      <c r="E1252" t="str">
        <f>"9-3829"</f>
        <v>9-3829</v>
      </c>
      <c r="F1252" t="str">
        <f>"inv# 9-3829"</f>
        <v>inv# 9-3829</v>
      </c>
      <c r="G1252" s="2">
        <v>17906.59</v>
      </c>
      <c r="H1252" t="str">
        <f>"inv# 9-3829"</f>
        <v>inv# 9-3829</v>
      </c>
    </row>
    <row r="1253" spans="1:8" x14ac:dyDescent="0.25">
      <c r="E1253" t="str">
        <f>"9-3832"</f>
        <v>9-3832</v>
      </c>
      <c r="F1253" t="str">
        <f>"inv# 9-3832"</f>
        <v>inv# 9-3832</v>
      </c>
      <c r="G1253" s="2">
        <v>4604.68</v>
      </c>
      <c r="H1253" t="str">
        <f>"inv# 9-3832"</f>
        <v>inv# 9-3832</v>
      </c>
    </row>
    <row r="1254" spans="1:8" x14ac:dyDescent="0.25">
      <c r="A1254" t="s">
        <v>364</v>
      </c>
      <c r="B1254">
        <v>2221</v>
      </c>
      <c r="C1254" s="2">
        <v>670.14</v>
      </c>
      <c r="D1254" s="1">
        <v>43886</v>
      </c>
      <c r="E1254" t="str">
        <f>"202002185383"</f>
        <v>202002185383</v>
      </c>
      <c r="F1254" t="str">
        <f>"INDIGENT HEALTH"</f>
        <v>INDIGENT HEALTH</v>
      </c>
      <c r="G1254" s="2">
        <v>670.14</v>
      </c>
      <c r="H1254" t="str">
        <f>"INDIGENT HEALTH"</f>
        <v>INDIGENT HEALTH</v>
      </c>
    </row>
    <row r="1255" spans="1:8" x14ac:dyDescent="0.25">
      <c r="A1255" t="s">
        <v>365</v>
      </c>
      <c r="B1255">
        <v>130858</v>
      </c>
      <c r="C1255" s="2">
        <v>27</v>
      </c>
      <c r="D1255" s="1">
        <v>43871</v>
      </c>
      <c r="E1255" t="str">
        <f>"200127-005"</f>
        <v>200127-005</v>
      </c>
      <c r="F1255" t="str">
        <f>"INV 200127-005"</f>
        <v>INV 200127-005</v>
      </c>
      <c r="G1255" s="2">
        <v>27</v>
      </c>
      <c r="H1255" t="str">
        <f>"INV 200127-005"</f>
        <v>INV 200127-005</v>
      </c>
    </row>
    <row r="1256" spans="1:8" x14ac:dyDescent="0.25">
      <c r="A1256" t="s">
        <v>366</v>
      </c>
      <c r="B1256">
        <v>130859</v>
      </c>
      <c r="C1256" s="2">
        <v>1679</v>
      </c>
      <c r="D1256" s="1">
        <v>43871</v>
      </c>
      <c r="E1256" t="str">
        <f>"141853"</f>
        <v>141853</v>
      </c>
      <c r="F1256" t="str">
        <f>"ACCT#188757/JP3 TAX OFFICE"</f>
        <v>ACCT#188757/JP3 TAX OFFICE</v>
      </c>
      <c r="G1256" s="2">
        <v>95</v>
      </c>
      <c r="H1256" t="str">
        <f>"ACCT#188757/JP3 TAX OFFICE"</f>
        <v>ACCT#188757/JP3 TAX OFFICE</v>
      </c>
    </row>
    <row r="1257" spans="1:8" x14ac:dyDescent="0.25">
      <c r="E1257" t="str">
        <f>"141926"</f>
        <v>141926</v>
      </c>
      <c r="F1257" t="str">
        <f>"ACCT#188757/RD&amp;BRIDGE/SIGN SHP"</f>
        <v>ACCT#188757/RD&amp;BRIDGE/SIGN SHP</v>
      </c>
      <c r="G1257" s="2">
        <v>95</v>
      </c>
      <c r="H1257" t="str">
        <f>"ACCT#188757/RD&amp;BRIDGE/SIGN SHP"</f>
        <v>ACCT#188757/RD&amp;BRIDGE/SIGN SHP</v>
      </c>
    </row>
    <row r="1258" spans="1:8" x14ac:dyDescent="0.25">
      <c r="E1258" t="str">
        <f>"141945"</f>
        <v>141945</v>
      </c>
      <c r="F1258" t="str">
        <f>"ACCT#188757JUVENILE BOOT CAMP"</f>
        <v>ACCT#188757JUVENILE BOOT CAMP</v>
      </c>
      <c r="G1258" s="2">
        <v>118.5</v>
      </c>
      <c r="H1258" t="str">
        <f>"ACCT#188757JUVENILE BOOT CAMP"</f>
        <v>ACCT#188757JUVENILE BOOT CAMP</v>
      </c>
    </row>
    <row r="1259" spans="1:8" x14ac:dyDescent="0.25">
      <c r="E1259" t="str">
        <f>"142036"</f>
        <v>142036</v>
      </c>
      <c r="F1259" t="str">
        <f>"ACCT#188757/STONY POINT PARK"</f>
        <v>ACCT#188757/STONY POINT PARK</v>
      </c>
      <c r="G1259" s="2">
        <v>95</v>
      </c>
      <c r="H1259" t="str">
        <f>"ACCT#188757/STONY POINT PARK"</f>
        <v>ACCT#188757/STONY POINT PARK</v>
      </c>
    </row>
    <row r="1260" spans="1:8" x14ac:dyDescent="0.25">
      <c r="E1260" t="str">
        <f>"142079"</f>
        <v>142079</v>
      </c>
      <c r="F1260" t="str">
        <f>"ACCT#188757/PCT#4 RD &amp; BRIDGE"</f>
        <v>ACCT#188757/PCT#4 RD &amp; BRIDGE</v>
      </c>
      <c r="G1260" s="2">
        <v>95.5</v>
      </c>
      <c r="H1260" t="str">
        <f>"ACCT#188757/PCT#4 RD &amp; BRIDGE"</f>
        <v>ACCT#188757/PCT#4 RD &amp; BRIDGE</v>
      </c>
    </row>
    <row r="1261" spans="1:8" x14ac:dyDescent="0.25">
      <c r="E1261" t="str">
        <f>"142086"</f>
        <v>142086</v>
      </c>
      <c r="F1261" t="str">
        <f>"ACCT#188757/LBJ BLDG/HLTH DPT"</f>
        <v>ACCT#188757/LBJ BLDG/HLTH DPT</v>
      </c>
      <c r="G1261" s="2">
        <v>69</v>
      </c>
      <c r="H1261" t="str">
        <f>"ACCT#188757/LBJ BLDG/HLTH DPT"</f>
        <v>ACCT#188757/LBJ BLDG/HLTH DPT</v>
      </c>
    </row>
    <row r="1262" spans="1:8" x14ac:dyDescent="0.25">
      <c r="E1262" t="str">
        <f>"142090"</f>
        <v>142090</v>
      </c>
      <c r="F1262" t="str">
        <f>"ACCT#188757/TAX OFFICE"</f>
        <v>ACCT#188757/TAX OFFICE</v>
      </c>
      <c r="G1262" s="2">
        <v>102</v>
      </c>
      <c r="H1262" t="str">
        <f>"ACCT#188757/TAX OFFICE"</f>
        <v>ACCT#188757/TAX OFFICE</v>
      </c>
    </row>
    <row r="1263" spans="1:8" x14ac:dyDescent="0.25">
      <c r="E1263" t="str">
        <f>"142102"</f>
        <v>142102</v>
      </c>
      <c r="F1263" t="str">
        <f>"ACCT#188757/ANIMAL SHELTER"</f>
        <v>ACCT#188757/ANIMAL SHELTER</v>
      </c>
      <c r="G1263" s="2">
        <v>290</v>
      </c>
      <c r="H1263" t="str">
        <f>"ACCT#188757/ANIMAL SHELTER"</f>
        <v>ACCT#188757/ANIMAL SHELTER</v>
      </c>
    </row>
    <row r="1264" spans="1:8" x14ac:dyDescent="0.25">
      <c r="E1264" t="str">
        <f>"142195"</f>
        <v>142195</v>
      </c>
      <c r="F1264" t="str">
        <f>"ACCT#188757/PCT#2 MAINT BARN"</f>
        <v>ACCT#188757/PCT#2 MAINT BARN</v>
      </c>
      <c r="G1264" s="2">
        <v>95</v>
      </c>
      <c r="H1264" t="str">
        <f>"ACCT#188757/PCT#2 MAINT BARN"</f>
        <v>ACCT#188757/PCT#2 MAINT BARN</v>
      </c>
    </row>
    <row r="1265" spans="1:8" x14ac:dyDescent="0.25">
      <c r="E1265" t="str">
        <f>"142208"</f>
        <v>142208</v>
      </c>
      <c r="F1265" t="str">
        <f>"ACCT#188757/JP2 ANNEX BLDG"</f>
        <v>ACCT#188757/JP2 ANNEX BLDG</v>
      </c>
      <c r="G1265" s="2">
        <v>95</v>
      </c>
      <c r="H1265" t="str">
        <f>"ACCT#188757/JP2 ANNEX BLDG"</f>
        <v>ACCT#188757/JP2 ANNEX BLDG</v>
      </c>
    </row>
    <row r="1266" spans="1:8" x14ac:dyDescent="0.25">
      <c r="E1266" t="str">
        <f>"142597"</f>
        <v>142597</v>
      </c>
      <c r="F1266" t="str">
        <f>"ACCT#188757/EXT HABITAT OFF BL"</f>
        <v>ACCT#188757/EXT HABITAT OFF BL</v>
      </c>
      <c r="G1266" s="2">
        <v>89</v>
      </c>
      <c r="H1266" t="str">
        <f>"ACCT#188757/EXT HABITAT OFF BL"</f>
        <v>ACCT#188757/EXT HABITAT OFF BL</v>
      </c>
    </row>
    <row r="1267" spans="1:8" x14ac:dyDescent="0.25">
      <c r="E1267" t="str">
        <f>"142614"</f>
        <v>142614</v>
      </c>
      <c r="F1267" t="str">
        <f>"ACCT#188757/HISTORIC JAIL"</f>
        <v>ACCT#188757/HISTORIC JAIL</v>
      </c>
      <c r="G1267" s="2">
        <v>76</v>
      </c>
      <c r="H1267" t="str">
        <f>"ACCT#188757/HISTORIC JAIL"</f>
        <v>ACCT#188757/HISTORIC JAIL</v>
      </c>
    </row>
    <row r="1268" spans="1:8" x14ac:dyDescent="0.25">
      <c r="E1268" t="str">
        <f>"142647"</f>
        <v>142647</v>
      </c>
      <c r="F1268" t="str">
        <f>"ACCT#188757/CT HSE MAIN/ANNEX"</f>
        <v>ACCT#188757/CT HSE MAIN/ANNEX</v>
      </c>
      <c r="G1268" s="2">
        <v>137</v>
      </c>
      <c r="H1268" t="str">
        <f>"ACCT#188757/CT HSE MAIN/ANNEX"</f>
        <v>ACCT#188757/CT HSE MAIN/ANNEX</v>
      </c>
    </row>
    <row r="1269" spans="1:8" x14ac:dyDescent="0.25">
      <c r="E1269" t="str">
        <f>"142655"</f>
        <v>142655</v>
      </c>
      <c r="F1269" t="str">
        <f>"ACCT#188757/JUVENILE PROBATION"</f>
        <v>ACCT#188757/JUVENILE PROBATION</v>
      </c>
      <c r="G1269" s="2">
        <v>132</v>
      </c>
      <c r="H1269" t="str">
        <f>"ACCT#188757/JUVENILE PROBATION"</f>
        <v>ACCT#188757/JUVENILE PROBATION</v>
      </c>
    </row>
    <row r="1270" spans="1:8" x14ac:dyDescent="0.25">
      <c r="E1270" t="str">
        <f>"142704"</f>
        <v>142704</v>
      </c>
      <c r="F1270" t="str">
        <f>"ACCT#188757/PCT#3 WAREHOUSE"</f>
        <v>ACCT#188757/PCT#3 WAREHOUSE</v>
      </c>
      <c r="G1270" s="2">
        <v>95</v>
      </c>
      <c r="H1270" t="str">
        <f>"ACCT#188757/PCT#3 WAREHOUSE"</f>
        <v>ACCT#188757/PCT#3 WAREHOUSE</v>
      </c>
    </row>
    <row r="1271" spans="1:8" x14ac:dyDescent="0.25">
      <c r="A1271" t="s">
        <v>366</v>
      </c>
      <c r="B1271">
        <v>131051</v>
      </c>
      <c r="C1271" s="2">
        <v>201</v>
      </c>
      <c r="D1271" s="1">
        <v>43885</v>
      </c>
      <c r="E1271" t="str">
        <f>"144287"</f>
        <v>144287</v>
      </c>
      <c r="F1271" t="str">
        <f>"ACCT#188757/CEDAR CREEK PARK"</f>
        <v>ACCT#188757/CEDAR CREEK PARK</v>
      </c>
      <c r="G1271" s="2">
        <v>125</v>
      </c>
      <c r="H1271" t="str">
        <f>"ACCT#188757/CEDAR CREEK PARK"</f>
        <v>ACCT#188757/CEDAR CREEK PARK</v>
      </c>
    </row>
    <row r="1272" spans="1:8" x14ac:dyDescent="0.25">
      <c r="E1272" t="str">
        <f>"144686"</f>
        <v>144686</v>
      </c>
      <c r="F1272" t="str">
        <f>"ACCT#188757/DPS/TDL"</f>
        <v>ACCT#188757/DPS/TDL</v>
      </c>
      <c r="G1272" s="2">
        <v>76</v>
      </c>
      <c r="H1272" t="str">
        <f>"ACCT#188757/DPS/TDL"</f>
        <v>ACCT#188757/DPS/TDL</v>
      </c>
    </row>
    <row r="1273" spans="1:8" x14ac:dyDescent="0.25">
      <c r="A1273" t="s">
        <v>367</v>
      </c>
      <c r="B1273">
        <v>2123</v>
      </c>
      <c r="C1273" s="2">
        <v>2550</v>
      </c>
      <c r="D1273" s="1">
        <v>43872</v>
      </c>
      <c r="E1273" t="str">
        <f>"202001284825"</f>
        <v>202001284825</v>
      </c>
      <c r="F1273" t="str">
        <f>"16 902"</f>
        <v>16 902</v>
      </c>
      <c r="G1273" s="2">
        <v>400</v>
      </c>
      <c r="H1273" t="str">
        <f>"16 902"</f>
        <v>16 902</v>
      </c>
    </row>
    <row r="1274" spans="1:8" x14ac:dyDescent="0.25">
      <c r="E1274" t="str">
        <f>"202001284835"</f>
        <v>202001284835</v>
      </c>
      <c r="F1274" t="str">
        <f>"19-147  423-7076"</f>
        <v>19-147  423-7076</v>
      </c>
      <c r="G1274" s="2">
        <v>100</v>
      </c>
      <c r="H1274" t="str">
        <f>"19-147  423-7076"</f>
        <v>19-147  423-7076</v>
      </c>
    </row>
    <row r="1275" spans="1:8" x14ac:dyDescent="0.25">
      <c r="E1275" t="str">
        <f>"202001304919"</f>
        <v>202001304919</v>
      </c>
      <c r="F1275" t="str">
        <f>"17 022"</f>
        <v>17 022</v>
      </c>
      <c r="G1275" s="2">
        <v>400</v>
      </c>
      <c r="H1275" t="str">
        <f>"17 022"</f>
        <v>17 022</v>
      </c>
    </row>
    <row r="1276" spans="1:8" x14ac:dyDescent="0.25">
      <c r="E1276" t="str">
        <f>"202002034980"</f>
        <v>202002034980</v>
      </c>
      <c r="F1276" t="str">
        <f>"20-20054"</f>
        <v>20-20054</v>
      </c>
      <c r="G1276" s="2">
        <v>250</v>
      </c>
      <c r="H1276" t="str">
        <f>"20-20054"</f>
        <v>20-20054</v>
      </c>
    </row>
    <row r="1277" spans="1:8" x14ac:dyDescent="0.25">
      <c r="E1277" t="str">
        <f>"202002045123"</f>
        <v>202002045123</v>
      </c>
      <c r="F1277" t="str">
        <f>"57 331"</f>
        <v>57 331</v>
      </c>
      <c r="G1277" s="2">
        <v>250</v>
      </c>
      <c r="H1277" t="str">
        <f>"57 331"</f>
        <v>57 331</v>
      </c>
    </row>
    <row r="1278" spans="1:8" x14ac:dyDescent="0.25">
      <c r="E1278" t="str">
        <f>"202002045124"</f>
        <v>202002045124</v>
      </c>
      <c r="F1278" t="str">
        <f>"56 497  56 564"</f>
        <v>56 497  56 564</v>
      </c>
      <c r="G1278" s="2">
        <v>375</v>
      </c>
      <c r="H1278" t="str">
        <f>"56 497  56 564"</f>
        <v>56 497  56 564</v>
      </c>
    </row>
    <row r="1279" spans="1:8" x14ac:dyDescent="0.25">
      <c r="E1279" t="str">
        <f>"202002055177"</f>
        <v>202002055177</v>
      </c>
      <c r="F1279" t="str">
        <f>"19-19811"</f>
        <v>19-19811</v>
      </c>
      <c r="G1279" s="2">
        <v>175</v>
      </c>
      <c r="H1279" t="str">
        <f>"19-19811"</f>
        <v>19-19811</v>
      </c>
    </row>
    <row r="1280" spans="1:8" x14ac:dyDescent="0.25">
      <c r="E1280" t="str">
        <f>"202002055178"</f>
        <v>202002055178</v>
      </c>
      <c r="F1280" t="str">
        <f>"54 843"</f>
        <v>54 843</v>
      </c>
      <c r="G1280" s="2">
        <v>600</v>
      </c>
      <c r="H1280" t="str">
        <f>"54 843"</f>
        <v>54 843</v>
      </c>
    </row>
    <row r="1281" spans="1:8" x14ac:dyDescent="0.25">
      <c r="A1281" t="s">
        <v>367</v>
      </c>
      <c r="B1281">
        <v>2196</v>
      </c>
      <c r="C1281" s="2">
        <v>250</v>
      </c>
      <c r="D1281" s="1">
        <v>43886</v>
      </c>
      <c r="E1281" t="str">
        <f>"202002145346"</f>
        <v>202002145346</v>
      </c>
      <c r="F1281" t="str">
        <f>"303232016-C"</f>
        <v>303232016-C</v>
      </c>
      <c r="G1281" s="2">
        <v>250</v>
      </c>
      <c r="H1281" t="str">
        <f>"303232016-C"</f>
        <v>303232016-C</v>
      </c>
    </row>
    <row r="1282" spans="1:8" x14ac:dyDescent="0.25">
      <c r="A1282" t="s">
        <v>368</v>
      </c>
      <c r="B1282">
        <v>130860</v>
      </c>
      <c r="C1282" s="2">
        <v>1144</v>
      </c>
      <c r="D1282" s="1">
        <v>43871</v>
      </c>
      <c r="E1282" t="str">
        <f>"841550396"</f>
        <v>841550396</v>
      </c>
      <c r="F1282" t="str">
        <f>"ACCT#1000648597/WEST INFO CHRG"</f>
        <v>ACCT#1000648597/WEST INFO CHRG</v>
      </c>
      <c r="G1282" s="2">
        <v>572</v>
      </c>
      <c r="H1282" t="str">
        <f>"ACCT#1000648597/WEST INFO CHRG"</f>
        <v>ACCT#1000648597/WEST INFO CHRG</v>
      </c>
    </row>
    <row r="1283" spans="1:8" x14ac:dyDescent="0.25">
      <c r="E1283" t="str">
        <f>"841732192"</f>
        <v>841732192</v>
      </c>
      <c r="F1283" t="str">
        <f>"ACCT#1000648597/ JAN 2020"</f>
        <v>ACCT#1000648597/ JAN 2020</v>
      </c>
      <c r="G1283" s="2">
        <v>572</v>
      </c>
      <c r="H1283" t="str">
        <f>"ACCT#1000648597/ JAN 2020"</f>
        <v>ACCT#1000648597/ JAN 2020</v>
      </c>
    </row>
    <row r="1284" spans="1:8" x14ac:dyDescent="0.25">
      <c r="A1284" t="s">
        <v>369</v>
      </c>
      <c r="B1284">
        <v>131052</v>
      </c>
      <c r="C1284" s="2">
        <v>530</v>
      </c>
      <c r="D1284" s="1">
        <v>43885</v>
      </c>
      <c r="E1284" t="str">
        <f>"202002115244"</f>
        <v>202002115244</v>
      </c>
      <c r="F1284" t="str">
        <f>"423-6426"</f>
        <v>423-6426</v>
      </c>
      <c r="G1284" s="2">
        <v>530</v>
      </c>
      <c r="H1284" t="str">
        <f>"423-6426"</f>
        <v>423-6426</v>
      </c>
    </row>
    <row r="1285" spans="1:8" x14ac:dyDescent="0.25">
      <c r="A1285" t="s">
        <v>370</v>
      </c>
      <c r="B1285">
        <v>131053</v>
      </c>
      <c r="C1285" s="2">
        <v>11267.05</v>
      </c>
      <c r="D1285" s="1">
        <v>43885</v>
      </c>
      <c r="E1285" t="str">
        <f>"202002145334"</f>
        <v>202002145334</v>
      </c>
      <c r="F1285" t="str">
        <f>"ACCT#8260163000003669"</f>
        <v>ACCT#8260163000003669</v>
      </c>
      <c r="G1285" s="2">
        <v>11267.05</v>
      </c>
      <c r="H1285" t="str">
        <f>"ACCT#8260163000003669"</f>
        <v>ACCT#8260163000003669</v>
      </c>
    </row>
    <row r="1286" spans="1:8" x14ac:dyDescent="0.25">
      <c r="E1286" t="str">
        <f>""</f>
        <v/>
      </c>
      <c r="F1286" t="str">
        <f>""</f>
        <v/>
      </c>
      <c r="H1286" t="str">
        <f>"ACCT#8260163000003669"</f>
        <v>ACCT#8260163000003669</v>
      </c>
    </row>
    <row r="1287" spans="1:8" x14ac:dyDescent="0.25">
      <c r="A1287" t="s">
        <v>371</v>
      </c>
      <c r="B1287">
        <v>131054</v>
      </c>
      <c r="C1287" s="2">
        <v>85</v>
      </c>
      <c r="D1287" s="1">
        <v>43885</v>
      </c>
      <c r="E1287" t="str">
        <f>"12826"</f>
        <v>12826</v>
      </c>
      <c r="F1287" t="str">
        <f>"SERVICE"</f>
        <v>SERVICE</v>
      </c>
      <c r="G1287" s="2">
        <v>85</v>
      </c>
      <c r="H1287" t="str">
        <f>"SERVICE"</f>
        <v>SERVICE</v>
      </c>
    </row>
    <row r="1288" spans="1:8" x14ac:dyDescent="0.25">
      <c r="A1288" t="s">
        <v>372</v>
      </c>
      <c r="B1288">
        <v>131055</v>
      </c>
      <c r="C1288" s="2">
        <v>6880</v>
      </c>
      <c r="D1288" s="1">
        <v>43885</v>
      </c>
      <c r="E1288" t="str">
        <f>"3990"</f>
        <v>3990</v>
      </c>
      <c r="F1288" t="str">
        <f>"Evapco Coil Removal"</f>
        <v>Evapco Coil Removal</v>
      </c>
      <c r="G1288" s="2">
        <v>6880</v>
      </c>
      <c r="H1288" t="str">
        <f>"Evapco Coil Removal"</f>
        <v>Evapco Coil Removal</v>
      </c>
    </row>
    <row r="1289" spans="1:8" x14ac:dyDescent="0.25">
      <c r="A1289" t="s">
        <v>373</v>
      </c>
      <c r="B1289">
        <v>130861</v>
      </c>
      <c r="C1289" s="2">
        <v>123.74</v>
      </c>
      <c r="D1289" s="1">
        <v>43871</v>
      </c>
      <c r="E1289" t="str">
        <f>"200370145 10061953"</f>
        <v>200370145 10061953</v>
      </c>
      <c r="F1289" t="str">
        <f>"acct# 6035301200160982"</f>
        <v>acct# 6035301200160982</v>
      </c>
      <c r="G1289" s="2">
        <v>123.74</v>
      </c>
      <c r="H1289" t="str">
        <f>"Inv# 100619531"</f>
        <v>Inv# 100619531</v>
      </c>
    </row>
    <row r="1290" spans="1:8" x14ac:dyDescent="0.25">
      <c r="E1290" t="str">
        <f>""</f>
        <v/>
      </c>
      <c r="F1290" t="str">
        <f>""</f>
        <v/>
      </c>
      <c r="H1290" t="str">
        <f>"inv# 200621366"</f>
        <v>inv# 200621366</v>
      </c>
    </row>
    <row r="1291" spans="1:8" x14ac:dyDescent="0.25">
      <c r="E1291" t="str">
        <f>""</f>
        <v/>
      </c>
      <c r="F1291" t="str">
        <f>""</f>
        <v/>
      </c>
      <c r="H1291" t="str">
        <f>"inv# 200370145"</f>
        <v>inv# 200370145</v>
      </c>
    </row>
    <row r="1292" spans="1:8" x14ac:dyDescent="0.25">
      <c r="A1292" t="s">
        <v>374</v>
      </c>
      <c r="B1292">
        <v>131056</v>
      </c>
      <c r="C1292" s="2">
        <v>926</v>
      </c>
      <c r="D1292" s="1">
        <v>43885</v>
      </c>
      <c r="E1292" t="str">
        <f>"20-000170"</f>
        <v>20-000170</v>
      </c>
      <c r="F1292" t="str">
        <f>"C-1-MH-20-000170"</f>
        <v>C-1-MH-20-000170</v>
      </c>
      <c r="G1292" s="2">
        <v>463</v>
      </c>
      <c r="H1292" t="str">
        <f>"C-1-MH-20-000170"</f>
        <v>C-1-MH-20-000170</v>
      </c>
    </row>
    <row r="1293" spans="1:8" x14ac:dyDescent="0.25">
      <c r="E1293" t="str">
        <f>"20-000171"</f>
        <v>20-000171</v>
      </c>
      <c r="F1293" t="str">
        <f>"C-1-MH-20-000171"</f>
        <v>C-1-MH-20-000171</v>
      </c>
      <c r="G1293" s="2">
        <v>463</v>
      </c>
      <c r="H1293" t="str">
        <f>"C-1-MH-20-000171"</f>
        <v>C-1-MH-20-000171</v>
      </c>
    </row>
    <row r="1294" spans="1:8" x14ac:dyDescent="0.25">
      <c r="A1294" t="s">
        <v>375</v>
      </c>
      <c r="B1294">
        <v>131057</v>
      </c>
      <c r="C1294" s="2">
        <v>150</v>
      </c>
      <c r="D1294" s="1">
        <v>43885</v>
      </c>
      <c r="E1294" t="str">
        <f>"12197"</f>
        <v>12197</v>
      </c>
      <c r="F1294" t="str">
        <f>"SERVICE"</f>
        <v>SERVICE</v>
      </c>
      <c r="G1294" s="2">
        <v>75</v>
      </c>
      <c r="H1294" t="str">
        <f>"SERVICE"</f>
        <v>SERVICE</v>
      </c>
    </row>
    <row r="1295" spans="1:8" x14ac:dyDescent="0.25">
      <c r="E1295" t="str">
        <f>"13142"</f>
        <v>13142</v>
      </c>
      <c r="F1295" t="str">
        <f>"SERVICE"</f>
        <v>SERVICE</v>
      </c>
      <c r="G1295" s="2">
        <v>75</v>
      </c>
      <c r="H1295" t="str">
        <f>"SERVICE"</f>
        <v>SERVICE</v>
      </c>
    </row>
    <row r="1296" spans="1:8" x14ac:dyDescent="0.25">
      <c r="A1296" t="s">
        <v>376</v>
      </c>
      <c r="B1296">
        <v>130862</v>
      </c>
      <c r="C1296" s="2">
        <v>105.4</v>
      </c>
      <c r="D1296" s="1">
        <v>43871</v>
      </c>
      <c r="E1296" t="str">
        <f>"202002055187"</f>
        <v>202002055187</v>
      </c>
      <c r="F1296" t="str">
        <f>"JAIL MEDICAL"</f>
        <v>JAIL MEDICAL</v>
      </c>
      <c r="G1296" s="2">
        <v>105.4</v>
      </c>
      <c r="H1296" t="str">
        <f>"JAIL MEDICAL"</f>
        <v>JAIL MEDICAL</v>
      </c>
    </row>
    <row r="1297" spans="1:8" x14ac:dyDescent="0.25">
      <c r="A1297" t="s">
        <v>377</v>
      </c>
      <c r="B1297">
        <v>131058</v>
      </c>
      <c r="C1297" s="2">
        <v>26100</v>
      </c>
      <c r="D1297" s="1">
        <v>43885</v>
      </c>
      <c r="E1297" t="str">
        <f>"3300003086"</f>
        <v>3300003086</v>
      </c>
      <c r="F1297" t="str">
        <f>"CUST#100010/INV#3300003086"</f>
        <v>CUST#100010/INV#3300003086</v>
      </c>
      <c r="G1297" s="2">
        <v>17400</v>
      </c>
      <c r="H1297" t="str">
        <f>"CUST#100010/INV#3300003086"</f>
        <v>CUST#100010/INV#3300003086</v>
      </c>
    </row>
    <row r="1298" spans="1:8" x14ac:dyDescent="0.25">
      <c r="E1298" t="str">
        <f>"3300003089"</f>
        <v>3300003089</v>
      </c>
      <c r="F1298" t="str">
        <f>"CUST#100009/INV#3300003089"</f>
        <v>CUST#100009/INV#3300003089</v>
      </c>
      <c r="G1298" s="2">
        <v>5800</v>
      </c>
      <c r="H1298" t="str">
        <f>"CUST#100009/INV#3300003089"</f>
        <v>CUST#100009/INV#3300003089</v>
      </c>
    </row>
    <row r="1299" spans="1:8" x14ac:dyDescent="0.25">
      <c r="E1299" t="str">
        <f>"3300003153"</f>
        <v>3300003153</v>
      </c>
      <c r="F1299" t="str">
        <f>"CUST#100733/INV#3300003153"</f>
        <v>CUST#100733/INV#3300003153</v>
      </c>
      <c r="G1299" s="2">
        <v>2900</v>
      </c>
      <c r="H1299" t="str">
        <f>"CUST#100733/INV#3300003153"</f>
        <v>CUST#100733/INV#3300003153</v>
      </c>
    </row>
    <row r="1300" spans="1:8" x14ac:dyDescent="0.25">
      <c r="A1300" t="s">
        <v>378</v>
      </c>
      <c r="B1300">
        <v>2126</v>
      </c>
      <c r="C1300" s="2">
        <v>3867.48</v>
      </c>
      <c r="D1300" s="1">
        <v>43872</v>
      </c>
      <c r="E1300" t="str">
        <f>"202002055148"</f>
        <v>202002055148</v>
      </c>
      <c r="F1300" t="str">
        <f>"TIRES TO REPLENISH STOCK"</f>
        <v>TIRES TO REPLENISH STOCK</v>
      </c>
      <c r="G1300" s="2">
        <v>1136.8800000000001</v>
      </c>
      <c r="H1300" t="str">
        <f>"TIRES FOR STOCK"</f>
        <v>TIRES FOR STOCK</v>
      </c>
    </row>
    <row r="1301" spans="1:8" x14ac:dyDescent="0.25">
      <c r="E1301" t="str">
        <f>"797583"</f>
        <v>797583</v>
      </c>
      <c r="F1301" t="str">
        <f>"INV 797583 / UNIT 8382"</f>
        <v>INV 797583 / UNIT 8382</v>
      </c>
      <c r="G1301" s="2">
        <v>135.79</v>
      </c>
      <c r="H1301" t="str">
        <f>"INV 797583 / UNIT 8382"</f>
        <v>INV 797583 / UNIT 8382</v>
      </c>
    </row>
    <row r="1302" spans="1:8" x14ac:dyDescent="0.25">
      <c r="E1302" t="str">
        <f>"797584"</f>
        <v>797584</v>
      </c>
      <c r="F1302" t="str">
        <f>"INV 797584 / UNIT 0005"</f>
        <v>INV 797584 / UNIT 0005</v>
      </c>
      <c r="G1302" s="2">
        <v>543.16</v>
      </c>
      <c r="H1302" t="str">
        <f>"INV 797584 / UNIT 0005"</f>
        <v>INV 797584 / UNIT 0005</v>
      </c>
    </row>
    <row r="1303" spans="1:8" x14ac:dyDescent="0.25">
      <c r="E1303" t="str">
        <f>"798083"</f>
        <v>798083</v>
      </c>
      <c r="F1303" t="str">
        <f>"INV 798083 / UNIT 6520"</f>
        <v>INV 798083 / UNIT 6520</v>
      </c>
      <c r="G1303" s="2">
        <v>426.33</v>
      </c>
      <c r="H1303" t="str">
        <f>"INV 798083 / UNIT 6520"</f>
        <v>INV 798083 / UNIT 6520</v>
      </c>
    </row>
    <row r="1304" spans="1:8" x14ac:dyDescent="0.25">
      <c r="E1304" t="str">
        <f>"798615"</f>
        <v>798615</v>
      </c>
      <c r="F1304" t="str">
        <f>"INV 798615 / UNIT 6539"</f>
        <v>INV 798615 / UNIT 6539</v>
      </c>
      <c r="G1304" s="2">
        <v>426.33</v>
      </c>
      <c r="H1304" t="str">
        <f>"INV 798615 / UNIT 6539"</f>
        <v>INV 798615 / UNIT 6539</v>
      </c>
    </row>
    <row r="1305" spans="1:8" x14ac:dyDescent="0.25">
      <c r="E1305" t="str">
        <f>"798738"</f>
        <v>798738</v>
      </c>
      <c r="F1305" t="str">
        <f>"INV 798738 / UNIT6486"</f>
        <v>INV 798738 / UNIT6486</v>
      </c>
      <c r="G1305" s="2">
        <v>568.44000000000005</v>
      </c>
      <c r="H1305" t="str">
        <f>"INV 798738 / UNIT6486"</f>
        <v>INV 798738 / UNIT6486</v>
      </c>
    </row>
    <row r="1306" spans="1:8" x14ac:dyDescent="0.25">
      <c r="E1306" t="str">
        <f>"798739"</f>
        <v>798739</v>
      </c>
      <c r="F1306" t="str">
        <f>"INV 798739 / UNIT 1995"</f>
        <v>INV 798739 / UNIT 1995</v>
      </c>
      <c r="G1306" s="2">
        <v>488.44</v>
      </c>
      <c r="H1306" t="str">
        <f>"INV 798739 / UNIT 1995"</f>
        <v>INV 798739 / UNIT 1995</v>
      </c>
    </row>
    <row r="1307" spans="1:8" x14ac:dyDescent="0.25">
      <c r="E1307" t="str">
        <f>"798913"</f>
        <v>798913</v>
      </c>
      <c r="F1307" t="str">
        <f>"INV 798913 / UNIT 6531"</f>
        <v>INV 798913 / UNIT 6531</v>
      </c>
      <c r="G1307" s="2">
        <v>142.11000000000001</v>
      </c>
      <c r="H1307" t="str">
        <f>"INV 798913 / UNIT 6531"</f>
        <v>INV 798913 / UNIT 6531</v>
      </c>
    </row>
    <row r="1308" spans="1:8" x14ac:dyDescent="0.25">
      <c r="A1308" t="s">
        <v>378</v>
      </c>
      <c r="B1308">
        <v>2197</v>
      </c>
      <c r="C1308" s="2">
        <v>117.22</v>
      </c>
      <c r="D1308" s="1">
        <v>43886</v>
      </c>
      <c r="E1308" t="str">
        <f>"799751"</f>
        <v>799751</v>
      </c>
      <c r="F1308" t="str">
        <f>"INV 799751 / UNIT 0313"</f>
        <v>INV 799751 / UNIT 0313</v>
      </c>
      <c r="G1308" s="2">
        <v>117.22</v>
      </c>
      <c r="H1308" t="str">
        <f>"INV 799751 / UNIT 0313"</f>
        <v>INV 799751 / UNIT 0313</v>
      </c>
    </row>
    <row r="1309" spans="1:8" x14ac:dyDescent="0.25">
      <c r="A1309" t="s">
        <v>379</v>
      </c>
      <c r="B1309">
        <v>130863</v>
      </c>
      <c r="C1309" s="2">
        <v>754.65</v>
      </c>
      <c r="D1309" s="1">
        <v>43871</v>
      </c>
      <c r="E1309" t="str">
        <f>"4628*131*1"</f>
        <v>4628*131*1</v>
      </c>
      <c r="F1309" t="str">
        <f>"JAIL MEDICAL"</f>
        <v>JAIL MEDICAL</v>
      </c>
      <c r="G1309" s="2">
        <v>754.65</v>
      </c>
      <c r="H1309" t="str">
        <f>"JAIL MEDICAL"</f>
        <v>JAIL MEDICAL</v>
      </c>
    </row>
    <row r="1310" spans="1:8" x14ac:dyDescent="0.25">
      <c r="A1310" t="s">
        <v>380</v>
      </c>
      <c r="B1310">
        <v>131059</v>
      </c>
      <c r="C1310" s="2">
        <v>150</v>
      </c>
      <c r="D1310" s="1">
        <v>43885</v>
      </c>
      <c r="E1310" t="str">
        <f>"00005303"</f>
        <v>00005303</v>
      </c>
      <c r="F1310" t="str">
        <f>"CUST#BASTROPCO/PCT#3"</f>
        <v>CUST#BASTROPCO/PCT#3</v>
      </c>
      <c r="G1310" s="2">
        <v>150</v>
      </c>
      <c r="H1310" t="str">
        <f>"CUST#BASTROPCO/PCT#3"</f>
        <v>CUST#BASTROPCO/PCT#3</v>
      </c>
    </row>
    <row r="1311" spans="1:8" x14ac:dyDescent="0.25">
      <c r="A1311" t="s">
        <v>381</v>
      </c>
      <c r="B1311">
        <v>130864</v>
      </c>
      <c r="C1311" s="2">
        <v>540</v>
      </c>
      <c r="D1311" s="1">
        <v>43871</v>
      </c>
      <c r="E1311" t="str">
        <f>"200018355"</f>
        <v>200018355</v>
      </c>
      <c r="F1311" t="str">
        <f>"REGISTRATION-A. LEWIS/F. HUNTE"</f>
        <v>REGISTRATION-A. LEWIS/F. HUNTE</v>
      </c>
      <c r="G1311" s="2">
        <v>540</v>
      </c>
      <c r="H1311" t="str">
        <f>"REGISTRATION-A. LEWIS/F. HUNTE"</f>
        <v>REGISTRATION-A. LEWIS/F. HUNTE</v>
      </c>
    </row>
    <row r="1312" spans="1:8" x14ac:dyDescent="0.25">
      <c r="A1312" t="s">
        <v>382</v>
      </c>
      <c r="B1312">
        <v>2180</v>
      </c>
      <c r="C1312" s="2">
        <v>300</v>
      </c>
      <c r="D1312" s="1">
        <v>43872</v>
      </c>
      <c r="E1312" t="str">
        <f>"202001304905"</f>
        <v>202001304905</v>
      </c>
      <c r="F1312" t="str">
        <f>"423-7086"</f>
        <v>423-7086</v>
      </c>
      <c r="G1312" s="2">
        <v>100</v>
      </c>
      <c r="H1312" t="str">
        <f>"423-7086"</f>
        <v>423-7086</v>
      </c>
    </row>
    <row r="1313" spans="1:8" x14ac:dyDescent="0.25">
      <c r="E1313" t="str">
        <f>"202001304906"</f>
        <v>202001304906</v>
      </c>
      <c r="F1313" t="str">
        <f>"1428-21"</f>
        <v>1428-21</v>
      </c>
      <c r="G1313" s="2">
        <v>100</v>
      </c>
      <c r="H1313" t="str">
        <f>"1428-21"</f>
        <v>1428-21</v>
      </c>
    </row>
    <row r="1314" spans="1:8" x14ac:dyDescent="0.25">
      <c r="E1314" t="str">
        <f>"202001304907"</f>
        <v>202001304907</v>
      </c>
      <c r="F1314" t="str">
        <f>"1432-335"</f>
        <v>1432-335</v>
      </c>
      <c r="G1314" s="2">
        <v>100</v>
      </c>
      <c r="H1314" t="str">
        <f>"1432-335"</f>
        <v>1432-335</v>
      </c>
    </row>
    <row r="1315" spans="1:8" x14ac:dyDescent="0.25">
      <c r="A1315" t="s">
        <v>382</v>
      </c>
      <c r="B1315">
        <v>2251</v>
      </c>
      <c r="C1315" s="2">
        <v>1800</v>
      </c>
      <c r="D1315" s="1">
        <v>43886</v>
      </c>
      <c r="E1315" t="str">
        <f>"202002115252"</f>
        <v>202002115252</v>
      </c>
      <c r="F1315" t="str">
        <f>"16 513"</f>
        <v>16 513</v>
      </c>
      <c r="G1315" s="2">
        <v>400</v>
      </c>
      <c r="H1315" t="str">
        <f>"16 513"</f>
        <v>16 513</v>
      </c>
    </row>
    <row r="1316" spans="1:8" x14ac:dyDescent="0.25">
      <c r="E1316" t="str">
        <f>"202002115253"</f>
        <v>202002115253</v>
      </c>
      <c r="F1316" t="str">
        <f>"17 054"</f>
        <v>17 054</v>
      </c>
      <c r="G1316" s="2">
        <v>800</v>
      </c>
      <c r="H1316" t="str">
        <f>"17 054"</f>
        <v>17 054</v>
      </c>
    </row>
    <row r="1317" spans="1:8" x14ac:dyDescent="0.25">
      <c r="E1317" t="str">
        <f>"202002115254"</f>
        <v>202002115254</v>
      </c>
      <c r="F1317" t="str">
        <f>"1437-335  1432-21"</f>
        <v>1437-335  1432-21</v>
      </c>
      <c r="G1317" s="2">
        <v>200</v>
      </c>
      <c r="H1317" t="str">
        <f>"1437-335  1432-21"</f>
        <v>1437-335  1432-21</v>
      </c>
    </row>
    <row r="1318" spans="1:8" x14ac:dyDescent="0.25">
      <c r="E1318" t="str">
        <f>"202002145343"</f>
        <v>202002145343</v>
      </c>
      <c r="F1318" t="str">
        <f>"16 915"</f>
        <v>16 915</v>
      </c>
      <c r="G1318" s="2">
        <v>400</v>
      </c>
      <c r="H1318" t="str">
        <f>"16 915"</f>
        <v>16 915</v>
      </c>
    </row>
    <row r="1319" spans="1:8" x14ac:dyDescent="0.25">
      <c r="A1319" t="s">
        <v>383</v>
      </c>
      <c r="B1319">
        <v>2116</v>
      </c>
      <c r="C1319" s="2">
        <v>39</v>
      </c>
      <c r="D1319" s="1">
        <v>43872</v>
      </c>
      <c r="E1319" t="str">
        <f>"C200200207"</f>
        <v>C200200207</v>
      </c>
      <c r="F1319" t="str">
        <f>"ACCT#33036/CHARGES IV:20020:02"</f>
        <v>ACCT#33036/CHARGES IV:20020:02</v>
      </c>
      <c r="G1319" s="2">
        <v>39</v>
      </c>
      <c r="H1319" t="str">
        <f>"ACCT#33036/CHARGES IV:20020:02"</f>
        <v>ACCT#33036/CHARGES IV:20020:02</v>
      </c>
    </row>
    <row r="1320" spans="1:8" x14ac:dyDescent="0.25">
      <c r="A1320" t="s">
        <v>384</v>
      </c>
      <c r="B1320">
        <v>130865</v>
      </c>
      <c r="C1320" s="2">
        <v>1000</v>
      </c>
      <c r="D1320" s="1">
        <v>43871</v>
      </c>
      <c r="E1320" t="str">
        <f>"025-280566"</f>
        <v>025-280566</v>
      </c>
      <c r="F1320" t="str">
        <f>"CUST#42161/ORD#51916"</f>
        <v>CUST#42161/ORD#51916</v>
      </c>
      <c r="G1320" s="2">
        <v>1000</v>
      </c>
      <c r="H1320" t="str">
        <f>"CUST#42161/ORD#51916"</f>
        <v>CUST#42161/ORD#51916</v>
      </c>
    </row>
    <row r="1321" spans="1:8" x14ac:dyDescent="0.25">
      <c r="A1321" t="s">
        <v>384</v>
      </c>
      <c r="B1321">
        <v>131060</v>
      </c>
      <c r="C1321" s="2">
        <v>1562.5</v>
      </c>
      <c r="D1321" s="1">
        <v>43885</v>
      </c>
      <c r="E1321" t="str">
        <f>"025-285573"</f>
        <v>025-285573</v>
      </c>
      <c r="F1321" t="str">
        <f>"CUST#42161/AUDITOR'S OFFICE"</f>
        <v>CUST#42161/AUDITOR'S OFFICE</v>
      </c>
      <c r="G1321" s="2">
        <v>1562.5</v>
      </c>
      <c r="H1321" t="str">
        <f>"CUST#42161/AUDITOR'S OFFICE"</f>
        <v>CUST#42161/AUDITOR'S OFFICE</v>
      </c>
    </row>
    <row r="1322" spans="1:8" x14ac:dyDescent="0.25">
      <c r="A1322" t="s">
        <v>385</v>
      </c>
      <c r="B1322">
        <v>2193</v>
      </c>
      <c r="C1322" s="2">
        <v>166.11</v>
      </c>
      <c r="D1322" s="1">
        <v>43886</v>
      </c>
      <c r="E1322" t="str">
        <f>"10799486"</f>
        <v>10799486</v>
      </c>
      <c r="F1322" t="str">
        <f>"ACCT#38049/PCT#4"</f>
        <v>ACCT#38049/PCT#4</v>
      </c>
      <c r="G1322" s="2">
        <v>166.11</v>
      </c>
      <c r="H1322" t="str">
        <f>"ACCT#38049/PCT#4"</f>
        <v>ACCT#38049/PCT#4</v>
      </c>
    </row>
    <row r="1323" spans="1:8" x14ac:dyDescent="0.25">
      <c r="A1323" t="s">
        <v>386</v>
      </c>
      <c r="B1323">
        <v>2171</v>
      </c>
      <c r="C1323" s="2">
        <v>497.06</v>
      </c>
      <c r="D1323" s="1">
        <v>43872</v>
      </c>
      <c r="E1323" t="str">
        <f>"71880030-00"</f>
        <v>71880030-00</v>
      </c>
      <c r="F1323" t="str">
        <f>"CUST#706810"</f>
        <v>CUST#706810</v>
      </c>
      <c r="G1323" s="2">
        <v>497.06</v>
      </c>
      <c r="H1323" t="str">
        <f>"CUST#706810"</f>
        <v>CUST#706810</v>
      </c>
    </row>
    <row r="1324" spans="1:8" x14ac:dyDescent="0.25">
      <c r="A1324" t="s">
        <v>309</v>
      </c>
      <c r="B1324">
        <v>130866</v>
      </c>
      <c r="C1324" s="2">
        <v>36904.699999999997</v>
      </c>
      <c r="D1324" s="1">
        <v>43871</v>
      </c>
      <c r="E1324" t="str">
        <f>"202002055184"</f>
        <v>202002055184</v>
      </c>
      <c r="F1324" t="str">
        <f>"JAIL MEDICAL"</f>
        <v>JAIL MEDICAL</v>
      </c>
      <c r="G1324" s="2">
        <v>36904.699999999997</v>
      </c>
      <c r="H1324" t="str">
        <f>"JAIL MEDICAL"</f>
        <v>JAIL MEDICAL</v>
      </c>
    </row>
    <row r="1325" spans="1:8" x14ac:dyDescent="0.25">
      <c r="A1325" t="s">
        <v>309</v>
      </c>
      <c r="B1325">
        <v>131061</v>
      </c>
      <c r="C1325" s="2">
        <v>5883.12</v>
      </c>
      <c r="D1325" s="1">
        <v>43885</v>
      </c>
      <c r="E1325" t="str">
        <f>"202002185370"</f>
        <v>202002185370</v>
      </c>
      <c r="F1325" t="str">
        <f>"INDIGENT HEALTH"</f>
        <v>INDIGENT HEALTH</v>
      </c>
      <c r="G1325" s="2">
        <v>5883.12</v>
      </c>
      <c r="H1325" t="str">
        <f>"INDIGENT HEALTH"</f>
        <v>INDIGENT HEALTH</v>
      </c>
    </row>
    <row r="1326" spans="1:8" x14ac:dyDescent="0.25">
      <c r="E1326" t="str">
        <f>""</f>
        <v/>
      </c>
      <c r="F1326" t="str">
        <f>""</f>
        <v/>
      </c>
      <c r="H1326" t="str">
        <f>"INDIGENT HEALTH"</f>
        <v>INDIGENT HEALTH</v>
      </c>
    </row>
    <row r="1327" spans="1:8" x14ac:dyDescent="0.25">
      <c r="A1327" t="s">
        <v>387</v>
      </c>
      <c r="B1327">
        <v>131062</v>
      </c>
      <c r="C1327" s="2">
        <v>1010</v>
      </c>
      <c r="D1327" s="1">
        <v>43885</v>
      </c>
      <c r="E1327" t="str">
        <f>"672320027"</f>
        <v>672320027</v>
      </c>
      <c r="F1327" t="str">
        <f>"Purchasing Class"</f>
        <v>Purchasing Class</v>
      </c>
      <c r="G1327" s="2">
        <v>435</v>
      </c>
      <c r="H1327" t="str">
        <f>"Purchasing 101"</f>
        <v>Purchasing 101</v>
      </c>
    </row>
    <row r="1328" spans="1:8" x14ac:dyDescent="0.25">
      <c r="E1328" t="str">
        <f>"672420015"</f>
        <v>672420015</v>
      </c>
      <c r="F1328" t="str">
        <f>"Classes for Lynsey"</f>
        <v>Classes for Lynsey</v>
      </c>
      <c r="G1328" s="2">
        <v>575</v>
      </c>
      <c r="H1328" t="str">
        <f>"Three Class Price"</f>
        <v>Three Class Price</v>
      </c>
    </row>
    <row r="1329" spans="1:8" x14ac:dyDescent="0.25">
      <c r="A1329" t="s">
        <v>388</v>
      </c>
      <c r="B1329">
        <v>130867</v>
      </c>
      <c r="C1329" s="2">
        <v>345.35</v>
      </c>
      <c r="D1329" s="1">
        <v>43871</v>
      </c>
      <c r="E1329" t="str">
        <f>"202002055188"</f>
        <v>202002055188</v>
      </c>
      <c r="F1329" t="str">
        <f>"JAIL MEDICAL/PHYSICIAN SVCS"</f>
        <v>JAIL MEDICAL/PHYSICIAN SVCS</v>
      </c>
      <c r="G1329" s="2">
        <v>345.35</v>
      </c>
      <c r="H1329" t="str">
        <f>"JAIL MEDICAL/PHYSICIAN SVCS"</f>
        <v>JAIL MEDICAL/PHYSICIAN SVCS</v>
      </c>
    </row>
    <row r="1330" spans="1:8" x14ac:dyDescent="0.25">
      <c r="E1330" t="str">
        <f>""</f>
        <v/>
      </c>
      <c r="F1330" t="str">
        <f>""</f>
        <v/>
      </c>
      <c r="H1330" t="str">
        <f>"JAIL MEDICAL/PHYSICIAN SVCS"</f>
        <v>JAIL MEDICAL/PHYSICIAN SVCS</v>
      </c>
    </row>
    <row r="1331" spans="1:8" x14ac:dyDescent="0.25">
      <c r="A1331" t="s">
        <v>388</v>
      </c>
      <c r="B1331">
        <v>131063</v>
      </c>
      <c r="C1331" s="2">
        <v>124.84</v>
      </c>
      <c r="D1331" s="1">
        <v>43885</v>
      </c>
      <c r="E1331" t="str">
        <f>"202002185384"</f>
        <v>202002185384</v>
      </c>
      <c r="F1331" t="str">
        <f>"INDIGENT HEALTH"</f>
        <v>INDIGENT HEALTH</v>
      </c>
      <c r="G1331" s="2">
        <v>124.84</v>
      </c>
      <c r="H1331" t="str">
        <f>"INDIGENT HEALTH"</f>
        <v>INDIGENT HEALTH</v>
      </c>
    </row>
    <row r="1332" spans="1:8" x14ac:dyDescent="0.25">
      <c r="A1332" t="s">
        <v>389</v>
      </c>
      <c r="B1332">
        <v>131064</v>
      </c>
      <c r="C1332" s="2">
        <v>1620</v>
      </c>
      <c r="D1332" s="1">
        <v>43885</v>
      </c>
      <c r="E1332" t="str">
        <f>"073-20-13"</f>
        <v>073-20-13</v>
      </c>
      <c r="F1332" t="str">
        <f>"INV 073-20-13"</f>
        <v>INV 073-20-13</v>
      </c>
      <c r="G1332" s="2">
        <v>1620</v>
      </c>
      <c r="H1332" t="str">
        <f>"INV 073-20-13"</f>
        <v>INV 073-20-13</v>
      </c>
    </row>
    <row r="1333" spans="1:8" x14ac:dyDescent="0.25">
      <c r="A1333" t="s">
        <v>390</v>
      </c>
      <c r="B1333">
        <v>131065</v>
      </c>
      <c r="C1333" s="2">
        <v>243.39</v>
      </c>
      <c r="D1333" s="1">
        <v>43885</v>
      </c>
      <c r="E1333" t="str">
        <f>"2010132"</f>
        <v>2010132</v>
      </c>
      <c r="F1333" t="str">
        <f>"REMOTE BIRTH ACCESS JAN 1-31"</f>
        <v>REMOTE BIRTH ACCESS JAN 1-31</v>
      </c>
      <c r="G1333" s="2">
        <v>243.39</v>
      </c>
      <c r="H1333" t="str">
        <f>"REMOTE BIRTH ACCESS JAN 1-31"</f>
        <v>REMOTE BIRTH ACCESS JAN 1-31</v>
      </c>
    </row>
    <row r="1334" spans="1:8" x14ac:dyDescent="0.25">
      <c r="A1334" t="s">
        <v>391</v>
      </c>
      <c r="B1334">
        <v>130868</v>
      </c>
      <c r="C1334" s="2">
        <v>41627.61</v>
      </c>
      <c r="D1334" s="1">
        <v>43871</v>
      </c>
      <c r="E1334" t="str">
        <f>"202002055150"</f>
        <v>202002055150</v>
      </c>
      <c r="F1334" t="str">
        <f>"acct# 869395921"</f>
        <v>acct# 869395921</v>
      </c>
      <c r="G1334" s="2">
        <v>41627.61</v>
      </c>
      <c r="H1334" t="str">
        <f>"Fuel"</f>
        <v>Fuel</v>
      </c>
    </row>
    <row r="1335" spans="1:8" x14ac:dyDescent="0.25">
      <c r="E1335" t="str">
        <f>""</f>
        <v/>
      </c>
      <c r="F1335" t="str">
        <f>""</f>
        <v/>
      </c>
      <c r="H1335" t="str">
        <f>"Tax"</f>
        <v>Tax</v>
      </c>
    </row>
    <row r="1336" spans="1:8" x14ac:dyDescent="0.25">
      <c r="E1336" t="str">
        <f>""</f>
        <v/>
      </c>
      <c r="F1336" t="str">
        <f>""</f>
        <v/>
      </c>
      <c r="H1336" t="str">
        <f>"Fuel"</f>
        <v>Fuel</v>
      </c>
    </row>
    <row r="1337" spans="1:8" x14ac:dyDescent="0.25">
      <c r="E1337" t="str">
        <f>""</f>
        <v/>
      </c>
      <c r="F1337" t="str">
        <f>""</f>
        <v/>
      </c>
      <c r="H1337" t="str">
        <f>"Tax"</f>
        <v>Tax</v>
      </c>
    </row>
    <row r="1338" spans="1:8" x14ac:dyDescent="0.25">
      <c r="E1338" t="str">
        <f>""</f>
        <v/>
      </c>
      <c r="F1338" t="str">
        <f>""</f>
        <v/>
      </c>
      <c r="H1338" t="str">
        <f>"Fuel"</f>
        <v>Fuel</v>
      </c>
    </row>
    <row r="1339" spans="1:8" x14ac:dyDescent="0.25">
      <c r="E1339" t="str">
        <f>""</f>
        <v/>
      </c>
      <c r="F1339" t="str">
        <f>""</f>
        <v/>
      </c>
      <c r="H1339" t="str">
        <f>"Tax"</f>
        <v>Tax</v>
      </c>
    </row>
    <row r="1340" spans="1:8" x14ac:dyDescent="0.25">
      <c r="E1340" t="str">
        <f>""</f>
        <v/>
      </c>
      <c r="F1340" t="str">
        <f>""</f>
        <v/>
      </c>
      <c r="H1340" t="str">
        <f>"Fuel"</f>
        <v>Fuel</v>
      </c>
    </row>
    <row r="1341" spans="1:8" x14ac:dyDescent="0.25">
      <c r="E1341" t="str">
        <f>""</f>
        <v/>
      </c>
      <c r="F1341" t="str">
        <f>""</f>
        <v/>
      </c>
      <c r="H1341" t="str">
        <f>"Tax"</f>
        <v>Tax</v>
      </c>
    </row>
    <row r="1342" spans="1:8" x14ac:dyDescent="0.25">
      <c r="E1342" t="str">
        <f>""</f>
        <v/>
      </c>
      <c r="F1342" t="str">
        <f>""</f>
        <v/>
      </c>
      <c r="H1342" t="str">
        <f>"Maintenance"</f>
        <v>Maintenance</v>
      </c>
    </row>
    <row r="1343" spans="1:8" x14ac:dyDescent="0.25">
      <c r="E1343" t="str">
        <f>""</f>
        <v/>
      </c>
      <c r="F1343" t="str">
        <f>""</f>
        <v/>
      </c>
      <c r="H1343" t="str">
        <f>"Fuel"</f>
        <v>Fuel</v>
      </c>
    </row>
    <row r="1344" spans="1:8" x14ac:dyDescent="0.25">
      <c r="E1344" t="str">
        <f>""</f>
        <v/>
      </c>
      <c r="F1344" t="str">
        <f>""</f>
        <v/>
      </c>
      <c r="H1344" t="str">
        <f>"Tax"</f>
        <v>Tax</v>
      </c>
    </row>
    <row r="1345" spans="1:8" x14ac:dyDescent="0.25">
      <c r="E1345" t="str">
        <f>""</f>
        <v/>
      </c>
      <c r="F1345" t="str">
        <f>""</f>
        <v/>
      </c>
      <c r="H1345" t="str">
        <f>"Maintenance"</f>
        <v>Maintenance</v>
      </c>
    </row>
    <row r="1346" spans="1:8" x14ac:dyDescent="0.25">
      <c r="E1346" t="str">
        <f>""</f>
        <v/>
      </c>
      <c r="F1346" t="str">
        <f>""</f>
        <v/>
      </c>
      <c r="H1346" t="str">
        <f>"Fuel"</f>
        <v>Fuel</v>
      </c>
    </row>
    <row r="1347" spans="1:8" x14ac:dyDescent="0.25">
      <c r="E1347" t="str">
        <f>""</f>
        <v/>
      </c>
      <c r="F1347" t="str">
        <f>""</f>
        <v/>
      </c>
      <c r="H1347" t="str">
        <f>"Maintenance"</f>
        <v>Maintenance</v>
      </c>
    </row>
    <row r="1348" spans="1:8" x14ac:dyDescent="0.25">
      <c r="E1348" t="str">
        <f>""</f>
        <v/>
      </c>
      <c r="F1348" t="str">
        <f>""</f>
        <v/>
      </c>
      <c r="H1348" t="str">
        <f>"Fuel"</f>
        <v>Fuel</v>
      </c>
    </row>
    <row r="1349" spans="1:8" x14ac:dyDescent="0.25">
      <c r="E1349" t="str">
        <f>""</f>
        <v/>
      </c>
      <c r="F1349" t="str">
        <f>""</f>
        <v/>
      </c>
      <c r="H1349" t="str">
        <f>"Tax"</f>
        <v>Tax</v>
      </c>
    </row>
    <row r="1350" spans="1:8" x14ac:dyDescent="0.25">
      <c r="E1350" t="str">
        <f>""</f>
        <v/>
      </c>
      <c r="F1350" t="str">
        <f>""</f>
        <v/>
      </c>
      <c r="H1350" t="str">
        <f>"Fuel"</f>
        <v>Fuel</v>
      </c>
    </row>
    <row r="1351" spans="1:8" x14ac:dyDescent="0.25">
      <c r="E1351" t="str">
        <f>""</f>
        <v/>
      </c>
      <c r="F1351" t="str">
        <f>""</f>
        <v/>
      </c>
      <c r="H1351" t="str">
        <f>"Tax"</f>
        <v>Tax</v>
      </c>
    </row>
    <row r="1352" spans="1:8" x14ac:dyDescent="0.25">
      <c r="E1352" t="str">
        <f>""</f>
        <v/>
      </c>
      <c r="F1352" t="str">
        <f>""</f>
        <v/>
      </c>
      <c r="H1352" t="str">
        <f>"Maintenance"</f>
        <v>Maintenance</v>
      </c>
    </row>
    <row r="1353" spans="1:8" x14ac:dyDescent="0.25">
      <c r="E1353" t="str">
        <f>""</f>
        <v/>
      </c>
      <c r="F1353" t="str">
        <f>""</f>
        <v/>
      </c>
      <c r="H1353" t="str">
        <f>"Fuel"</f>
        <v>Fuel</v>
      </c>
    </row>
    <row r="1354" spans="1:8" x14ac:dyDescent="0.25">
      <c r="E1354" t="str">
        <f>""</f>
        <v/>
      </c>
      <c r="F1354" t="str">
        <f>""</f>
        <v/>
      </c>
      <c r="H1354" t="str">
        <f>"Tax"</f>
        <v>Tax</v>
      </c>
    </row>
    <row r="1355" spans="1:8" x14ac:dyDescent="0.25">
      <c r="E1355" t="str">
        <f>""</f>
        <v/>
      </c>
      <c r="F1355" t="str">
        <f>""</f>
        <v/>
      </c>
      <c r="H1355" t="str">
        <f>"Fuel"</f>
        <v>Fuel</v>
      </c>
    </row>
    <row r="1356" spans="1:8" x14ac:dyDescent="0.25">
      <c r="E1356" t="str">
        <f>""</f>
        <v/>
      </c>
      <c r="F1356" t="str">
        <f>""</f>
        <v/>
      </c>
      <c r="H1356" t="str">
        <f>"Tax"</f>
        <v>Tax</v>
      </c>
    </row>
    <row r="1357" spans="1:8" x14ac:dyDescent="0.25">
      <c r="E1357" t="str">
        <f>""</f>
        <v/>
      </c>
      <c r="F1357" t="str">
        <f>""</f>
        <v/>
      </c>
      <c r="H1357" t="str">
        <f>"maintenance"</f>
        <v>maintenance</v>
      </c>
    </row>
    <row r="1358" spans="1:8" x14ac:dyDescent="0.25">
      <c r="E1358" t="str">
        <f>""</f>
        <v/>
      </c>
      <c r="F1358" t="str">
        <f>""</f>
        <v/>
      </c>
      <c r="H1358" t="str">
        <f>"Maintenace"</f>
        <v>Maintenace</v>
      </c>
    </row>
    <row r="1359" spans="1:8" x14ac:dyDescent="0.25">
      <c r="A1359" t="s">
        <v>392</v>
      </c>
      <c r="B1359">
        <v>131066</v>
      </c>
      <c r="C1359" s="2">
        <v>74.05</v>
      </c>
      <c r="D1359" s="1">
        <v>43885</v>
      </c>
      <c r="E1359" t="str">
        <f>"0120 - DR14926"</f>
        <v>0120 - DR14926</v>
      </c>
      <c r="F1359" t="str">
        <f>"CXD 14926 / 01/01 - 01/31"</f>
        <v>CXD 14926 / 01/01 - 01/31</v>
      </c>
      <c r="G1359" s="2">
        <v>74.05</v>
      </c>
      <c r="H1359" t="str">
        <f>"CXD 14926 / 01/01 - 01/31"</f>
        <v>CXD 14926 / 01/01 - 01/31</v>
      </c>
    </row>
    <row r="1360" spans="1:8" x14ac:dyDescent="0.25">
      <c r="A1360" t="s">
        <v>393</v>
      </c>
      <c r="B1360">
        <v>2132</v>
      </c>
      <c r="C1360" s="2">
        <v>5428.34</v>
      </c>
      <c r="D1360" s="1">
        <v>43872</v>
      </c>
      <c r="E1360" t="str">
        <f>"18080"</f>
        <v>18080</v>
      </c>
      <c r="F1360" t="str">
        <f>"COLD MIX/FREIGHT/PCT#4"</f>
        <v>COLD MIX/FREIGHT/PCT#4</v>
      </c>
      <c r="G1360" s="2">
        <v>2635.49</v>
      </c>
      <c r="H1360" t="str">
        <f>"COLD MIX/FREIGHT/PCT#4"</f>
        <v>COLD MIX/FREIGHT/PCT#4</v>
      </c>
    </row>
    <row r="1361" spans="1:8" x14ac:dyDescent="0.25">
      <c r="E1361" t="str">
        <f>"18100"</f>
        <v>18100</v>
      </c>
      <c r="F1361" t="str">
        <f>"COLD MIX/FREIGHT/PCT#3"</f>
        <v>COLD MIX/FREIGHT/PCT#3</v>
      </c>
      <c r="G1361" s="2">
        <v>2792.85</v>
      </c>
      <c r="H1361" t="str">
        <f>"COLD MIX/FREIGHT/PCT#3"</f>
        <v>COLD MIX/FREIGHT/PCT#3</v>
      </c>
    </row>
    <row r="1362" spans="1:8" x14ac:dyDescent="0.25">
      <c r="A1362" t="s">
        <v>393</v>
      </c>
      <c r="B1362">
        <v>2201</v>
      </c>
      <c r="C1362" s="2">
        <v>7106.28</v>
      </c>
      <c r="D1362" s="1">
        <v>43886</v>
      </c>
      <c r="E1362" t="str">
        <f>"18179"</f>
        <v>18179</v>
      </c>
      <c r="F1362" t="str">
        <f>"COLD MIX/FREIGHT/PCT#4"</f>
        <v>COLD MIX/FREIGHT/PCT#4</v>
      </c>
      <c r="G1362" s="2">
        <v>2616.6799999999998</v>
      </c>
      <c r="H1362" t="str">
        <f>"COLD MIX/FREIGHT/PCT#4"</f>
        <v>COLD MIX/FREIGHT/PCT#4</v>
      </c>
    </row>
    <row r="1363" spans="1:8" x14ac:dyDescent="0.25">
      <c r="E1363" t="str">
        <f>"18232"</f>
        <v>18232</v>
      </c>
      <c r="F1363" t="str">
        <f>"COLD MIX/FREIGHT/PCT#4"</f>
        <v>COLD MIX/FREIGHT/PCT#4</v>
      </c>
      <c r="G1363" s="2">
        <v>2607.2800000000002</v>
      </c>
      <c r="H1363" t="str">
        <f>"COLD MIX/FREIGHT/PCT#4"</f>
        <v>COLD MIX/FREIGHT/PCT#4</v>
      </c>
    </row>
    <row r="1364" spans="1:8" x14ac:dyDescent="0.25">
      <c r="E1364" t="str">
        <f>"18237"</f>
        <v>18237</v>
      </c>
      <c r="F1364" t="str">
        <f>"COLD MIX / PCT#1"</f>
        <v>COLD MIX / PCT#1</v>
      </c>
      <c r="G1364" s="2">
        <v>1882.32</v>
      </c>
      <c r="H1364" t="str">
        <f>"COLD MIX / PCT#1"</f>
        <v>COLD MIX / PCT#1</v>
      </c>
    </row>
    <row r="1365" spans="1:8" x14ac:dyDescent="0.25">
      <c r="A1365" t="s">
        <v>394</v>
      </c>
      <c r="B1365">
        <v>130733</v>
      </c>
      <c r="C1365" s="2">
        <v>24357.16</v>
      </c>
      <c r="D1365" s="1">
        <v>43868</v>
      </c>
      <c r="E1365" t="str">
        <f>"10330735"</f>
        <v>10330735</v>
      </c>
      <c r="F1365" t="str">
        <f>"ACCT#5150-005117630/02012020"</f>
        <v>ACCT#5150-005117630/02012020</v>
      </c>
      <c r="G1365" s="2">
        <v>262.81</v>
      </c>
      <c r="H1365" t="str">
        <f>"ACCT#5150-005117630/02012020"</f>
        <v>ACCT#5150-005117630/02012020</v>
      </c>
    </row>
    <row r="1366" spans="1:8" x14ac:dyDescent="0.25">
      <c r="E1366" t="str">
        <f>"10330742"</f>
        <v>10330742</v>
      </c>
      <c r="F1366" t="str">
        <f>"ACCT#5150-005117766/02012020"</f>
        <v>ACCT#5150-005117766/02012020</v>
      </c>
      <c r="G1366" s="2">
        <v>115.36</v>
      </c>
      <c r="H1366" t="str">
        <f>"ACCT#5150-005117766/02012020"</f>
        <v>ACCT#5150-005117766/02012020</v>
      </c>
    </row>
    <row r="1367" spans="1:8" x14ac:dyDescent="0.25">
      <c r="E1367" t="str">
        <f>"10330746"</f>
        <v>10330746</v>
      </c>
      <c r="F1367" t="str">
        <f>"ACCT#5150-005117838/02012020"</f>
        <v>ACCT#5150-005117838/02012020</v>
      </c>
      <c r="G1367" s="2">
        <v>106.76</v>
      </c>
      <c r="H1367" t="str">
        <f>"ACCT#5150-005117838/02012020"</f>
        <v>ACCT#5150-005117838/02012020</v>
      </c>
    </row>
    <row r="1368" spans="1:8" x14ac:dyDescent="0.25">
      <c r="E1368" t="str">
        <f>"10330748"</f>
        <v>10330748</v>
      </c>
      <c r="F1368" t="str">
        <f>"ACCT#5150-005117882/02012020"</f>
        <v>ACCT#5150-005117882/02012020</v>
      </c>
      <c r="G1368" s="2">
        <v>144.19</v>
      </c>
      <c r="H1368" t="str">
        <f>"ACCT#5150-005117882/02012020"</f>
        <v>ACCT#5150-005117882/02012020</v>
      </c>
    </row>
    <row r="1369" spans="1:8" x14ac:dyDescent="0.25">
      <c r="E1369" t="str">
        <f>"10330756"</f>
        <v>10330756</v>
      </c>
      <c r="F1369" t="str">
        <f>"ACCT#5150-005118183/02012020"</f>
        <v>ACCT#5150-005118183/02012020</v>
      </c>
      <c r="G1369" s="2">
        <v>366.97</v>
      </c>
      <c r="H1369" t="str">
        <f>"ACCT#5150-005118183/02012020"</f>
        <v>ACCT#5150-005118183/02012020</v>
      </c>
    </row>
    <row r="1370" spans="1:8" x14ac:dyDescent="0.25">
      <c r="E1370" t="str">
        <f>"10330793"</f>
        <v>10330793</v>
      </c>
      <c r="F1370" t="str">
        <f>"ACCT#5150-005129483/02012020"</f>
        <v>ACCT#5150-005129483/02012020</v>
      </c>
      <c r="G1370" s="2">
        <v>23248.7</v>
      </c>
      <c r="H1370" t="str">
        <f>"ACCT#5150-005129483/02012020"</f>
        <v>ACCT#5150-005129483/02012020</v>
      </c>
    </row>
    <row r="1371" spans="1:8" x14ac:dyDescent="0.25">
      <c r="E1371" t="str">
        <f>"10335360"</f>
        <v>10335360</v>
      </c>
      <c r="F1371" t="str">
        <f>"ACCT#5150-16203415/02012020"</f>
        <v>ACCT#5150-16203415/02012020</v>
      </c>
      <c r="G1371" s="2">
        <v>83.48</v>
      </c>
      <c r="H1371" t="str">
        <f>"ACCT#5150-16203415/02012020"</f>
        <v>ACCT#5150-16203415/02012020</v>
      </c>
    </row>
    <row r="1372" spans="1:8" x14ac:dyDescent="0.25">
      <c r="E1372" t="str">
        <f>"10335361"</f>
        <v>10335361</v>
      </c>
      <c r="F1372" t="str">
        <f>"ACCT#5150-16203417/02012020"</f>
        <v>ACCT#5150-16203417/02012020</v>
      </c>
      <c r="G1372" s="2">
        <v>28.89</v>
      </c>
      <c r="H1372" t="str">
        <f>"ACCT#5150-16203417/02012020"</f>
        <v>ACCT#5150-16203417/02012020</v>
      </c>
    </row>
    <row r="1373" spans="1:8" x14ac:dyDescent="0.25">
      <c r="A1373" t="s">
        <v>395</v>
      </c>
      <c r="B1373">
        <v>130869</v>
      </c>
      <c r="C1373" s="2">
        <v>413.5</v>
      </c>
      <c r="D1373" s="1">
        <v>43871</v>
      </c>
      <c r="E1373" t="str">
        <f>"0071731-2161-2"</f>
        <v>0071731-2161-2</v>
      </c>
      <c r="F1373" t="str">
        <f>"CUST ID:2-56581-95066/ANIMAL C"</f>
        <v>CUST ID:2-56581-95066/ANIMAL C</v>
      </c>
      <c r="G1373" s="2">
        <v>413.5</v>
      </c>
      <c r="H1373" t="str">
        <f>"CUST ID:2-56581-95066/ANIMAL C"</f>
        <v>CUST ID:2-56581-95066/ANIMAL C</v>
      </c>
    </row>
    <row r="1374" spans="1:8" x14ac:dyDescent="0.25">
      <c r="A1374" t="s">
        <v>395</v>
      </c>
      <c r="B1374">
        <v>131067</v>
      </c>
      <c r="C1374" s="2">
        <v>5180.63</v>
      </c>
      <c r="D1374" s="1">
        <v>43885</v>
      </c>
      <c r="E1374" t="str">
        <f>"0025376-2161-3"</f>
        <v>0025376-2161-3</v>
      </c>
      <c r="F1374" t="str">
        <f>"CUST ID:2-57060-55062/PCT#4"</f>
        <v>CUST ID:2-57060-55062/PCT#4</v>
      </c>
      <c r="G1374" s="2">
        <v>4954.17</v>
      </c>
      <c r="H1374" t="str">
        <f>"CUST ID:2-57060-55062/PCT#4"</f>
        <v>CUST ID:2-57060-55062/PCT#4</v>
      </c>
    </row>
    <row r="1375" spans="1:8" x14ac:dyDescent="0.25">
      <c r="E1375" t="str">
        <f>"0040042-2162-0"</f>
        <v>0040042-2162-0</v>
      </c>
      <c r="F1375" t="str">
        <f>"CUST ID:16-27603-83003"</f>
        <v>CUST ID:16-27603-83003</v>
      </c>
      <c r="G1375" s="2">
        <v>226.46</v>
      </c>
      <c r="H1375" t="str">
        <f>"CUST ID:16-27603-83003"</f>
        <v>CUST ID:16-27603-83003</v>
      </c>
    </row>
    <row r="1376" spans="1:8" x14ac:dyDescent="0.25">
      <c r="A1376" t="s">
        <v>396</v>
      </c>
      <c r="B1376">
        <v>130870</v>
      </c>
      <c r="C1376" s="2">
        <v>62890</v>
      </c>
      <c r="D1376" s="1">
        <v>43871</v>
      </c>
      <c r="E1376" t="str">
        <f>"CMINV0000279 4B0IN"</f>
        <v>CMINV0000279 4B0IN</v>
      </c>
      <c r="F1376" t="str">
        <f>"Watchguard Cloud Storage"</f>
        <v>Watchguard Cloud Storage</v>
      </c>
      <c r="G1376" s="2">
        <v>62890</v>
      </c>
      <c r="H1376" t="str">
        <f>"Watchguard Cloud Storage"</f>
        <v>Watchguard Cloud Storage</v>
      </c>
    </row>
    <row r="1377" spans="1:9" x14ac:dyDescent="0.25">
      <c r="E1377" t="str">
        <f>""</f>
        <v/>
      </c>
      <c r="F1377" t="str">
        <f>""</f>
        <v/>
      </c>
      <c r="H1377" t="str">
        <f>"Watchguard Cloud Storage"</f>
        <v>Watchguard Cloud Storage</v>
      </c>
    </row>
    <row r="1378" spans="1:9" x14ac:dyDescent="0.25">
      <c r="A1378" t="s">
        <v>397</v>
      </c>
      <c r="B1378">
        <v>2208</v>
      </c>
      <c r="C1378" s="2">
        <v>14326.52</v>
      </c>
      <c r="D1378" s="1">
        <v>43886</v>
      </c>
      <c r="E1378" t="str">
        <f>"24020"</f>
        <v>24020</v>
      </c>
      <c r="F1378" t="str">
        <f>"INV 24020"</f>
        <v>INV 24020</v>
      </c>
      <c r="G1378" s="2">
        <v>14326.52</v>
      </c>
      <c r="H1378" t="str">
        <f>"INV 24020"</f>
        <v>INV 24020</v>
      </c>
    </row>
    <row r="1379" spans="1:9" x14ac:dyDescent="0.25">
      <c r="A1379" t="s">
        <v>398</v>
      </c>
      <c r="B1379">
        <v>131068</v>
      </c>
      <c r="C1379" s="2">
        <v>60740</v>
      </c>
      <c r="D1379" s="1">
        <v>43885</v>
      </c>
      <c r="E1379" t="str">
        <f>"1468"</f>
        <v>1468</v>
      </c>
      <c r="F1379" t="str">
        <f>"O'GRADY ROAD / PCT #2"</f>
        <v>O'GRADY ROAD / PCT #2</v>
      </c>
      <c r="G1379" s="2">
        <v>60740</v>
      </c>
      <c r="H1379" t="str">
        <f>"O'GRADY ROAD / PCT #2"</f>
        <v>O'GRADY ROAD / PCT #2</v>
      </c>
    </row>
    <row r="1380" spans="1:9" x14ac:dyDescent="0.25">
      <c r="A1380" t="s">
        <v>399</v>
      </c>
      <c r="B1380">
        <v>130871</v>
      </c>
      <c r="C1380" s="2">
        <v>852.9</v>
      </c>
      <c r="D1380" s="1">
        <v>43871</v>
      </c>
      <c r="E1380" t="str">
        <f>"90678063"</f>
        <v>90678063</v>
      </c>
      <c r="F1380" t="str">
        <f>"CUST#2000053103/ANIMAL SHELTER"</f>
        <v>CUST#2000053103/ANIMAL SHELTER</v>
      </c>
      <c r="G1380" s="2">
        <v>-308.14999999999998</v>
      </c>
      <c r="H1380" t="str">
        <f>"CUST#2000053103/ANIMAL SHELTER"</f>
        <v>CUST#2000053103/ANIMAL SHELTER</v>
      </c>
    </row>
    <row r="1381" spans="1:9" x14ac:dyDescent="0.25">
      <c r="E1381" t="str">
        <f>"9009738904"</f>
        <v>9009738904</v>
      </c>
      <c r="F1381" t="str">
        <f>"CUST#2000053103/ANIMAL SHELTER"</f>
        <v>CUST#2000053103/ANIMAL SHELTER</v>
      </c>
      <c r="G1381" s="2">
        <v>305.60000000000002</v>
      </c>
      <c r="H1381" t="str">
        <f>"CUST#2000053103/ANIMAL SHELTER"</f>
        <v>CUST#2000053103/ANIMAL SHELTER</v>
      </c>
    </row>
    <row r="1382" spans="1:9" x14ac:dyDescent="0.25">
      <c r="E1382" t="str">
        <f>""</f>
        <v/>
      </c>
      <c r="F1382" t="str">
        <f>""</f>
        <v/>
      </c>
      <c r="H1382" t="str">
        <f>"CUST#2000053103/ANIMAL SHELTER"</f>
        <v>CUST#2000053103/ANIMAL SHELTER</v>
      </c>
    </row>
    <row r="1383" spans="1:9" x14ac:dyDescent="0.25">
      <c r="E1383" t="str">
        <f>"9009780705"</f>
        <v>9009780705</v>
      </c>
      <c r="F1383" t="str">
        <f>"CUST#2000053103/ANIMAL SHELTER"</f>
        <v>CUST#2000053103/ANIMAL SHELTER</v>
      </c>
      <c r="G1383" s="2">
        <v>166.5</v>
      </c>
      <c r="H1383" t="str">
        <f>"CUST#2000053103/ANIMAL SHELTER"</f>
        <v>CUST#2000053103/ANIMAL SHELTER</v>
      </c>
    </row>
    <row r="1384" spans="1:9" x14ac:dyDescent="0.25">
      <c r="E1384" t="str">
        <f>"9009780726"</f>
        <v>9009780726</v>
      </c>
      <c r="F1384" t="str">
        <f>"CUST#2000053103/ANIMAL SERVICE"</f>
        <v>CUST#2000053103/ANIMAL SERVICE</v>
      </c>
      <c r="G1384" s="2">
        <v>688.95</v>
      </c>
      <c r="H1384" t="str">
        <f>"CUST#2000053103/ANIMAL SERVICE"</f>
        <v>CUST#2000053103/ANIMAL SERVICE</v>
      </c>
    </row>
    <row r="1385" spans="1:9" x14ac:dyDescent="0.25">
      <c r="E1385" t="str">
        <f>""</f>
        <v/>
      </c>
      <c r="F1385" t="str">
        <f>""</f>
        <v/>
      </c>
      <c r="H1385" t="str">
        <f>"CUST#2000053103/ANIMAL SERVICE"</f>
        <v>CUST#2000053103/ANIMAL SERVICE</v>
      </c>
    </row>
    <row r="1386" spans="1:9" x14ac:dyDescent="0.25">
      <c r="A1386" t="s">
        <v>399</v>
      </c>
      <c r="B1386">
        <v>131069</v>
      </c>
      <c r="C1386" s="2">
        <v>1007.2</v>
      </c>
      <c r="D1386" s="1">
        <v>43885</v>
      </c>
      <c r="E1386" t="str">
        <f>"9009822843"</f>
        <v>9009822843</v>
      </c>
      <c r="F1386" t="str">
        <f>"CUST#2000053103/ANIMAL SHELTER"</f>
        <v>CUST#2000053103/ANIMAL SHELTER</v>
      </c>
      <c r="G1386" s="2">
        <v>1007.2</v>
      </c>
      <c r="H1386" t="str">
        <f>"CUST#2000053103/ANIMAL SHELTER"</f>
        <v>CUST#2000053103/ANIMAL SHELTER</v>
      </c>
    </row>
    <row r="1387" spans="1:9" x14ac:dyDescent="0.25">
      <c r="A1387" t="s">
        <v>400</v>
      </c>
      <c r="B1387">
        <v>131070</v>
      </c>
      <c r="C1387" s="2">
        <v>100</v>
      </c>
      <c r="D1387" s="1">
        <v>43885</v>
      </c>
      <c r="E1387" t="s">
        <v>401</v>
      </c>
      <c r="F1387" t="s">
        <v>402</v>
      </c>
      <c r="G1387" s="2" t="str">
        <f>"RESTITUTION - E.F. RAMON"</f>
        <v>RESTITUTION - E.F. RAMON</v>
      </c>
      <c r="H1387" t="str">
        <f>"210-0000"</f>
        <v>210-0000</v>
      </c>
      <c r="I1387" t="str">
        <f>""</f>
        <v/>
      </c>
    </row>
    <row r="1388" spans="1:9" x14ac:dyDescent="0.25">
      <c r="A1388" t="s">
        <v>32</v>
      </c>
      <c r="B1388">
        <v>130872</v>
      </c>
      <c r="C1388" s="2">
        <v>104.97</v>
      </c>
      <c r="D1388" s="1">
        <v>43871</v>
      </c>
      <c r="E1388" t="str">
        <f>"202002045019"</f>
        <v>202002045019</v>
      </c>
      <c r="F1388" t="str">
        <f>"ACCT#015397/JUVENILE BOOT CAMP"</f>
        <v>ACCT#015397/JUVENILE BOOT CAMP</v>
      </c>
      <c r="G1388" s="2">
        <v>104.97</v>
      </c>
      <c r="H1388" t="str">
        <f>"ACCT#015397/JUVENILE BOOT CAMP"</f>
        <v>ACCT#015397/JUVENILE BOOT CAMP</v>
      </c>
    </row>
    <row r="1389" spans="1:9" x14ac:dyDescent="0.25">
      <c r="A1389" t="s">
        <v>403</v>
      </c>
      <c r="B1389">
        <v>130730</v>
      </c>
      <c r="C1389" s="2">
        <v>10000</v>
      </c>
      <c r="D1389" s="1">
        <v>43867</v>
      </c>
      <c r="E1389" t="str">
        <f>"202002065210"</f>
        <v>202002065210</v>
      </c>
      <c r="F1389" t="str">
        <f>"Cause 19-20028 Em Domain Parac"</f>
        <v>Cause 19-20028 Em Domain Parac</v>
      </c>
      <c r="G1389" s="2">
        <v>10000</v>
      </c>
      <c r="H1389" t="str">
        <f>"Eminent Domain Parachini"</f>
        <v>Eminent Domain Parachini</v>
      </c>
    </row>
    <row r="1390" spans="1:9" x14ac:dyDescent="0.25">
      <c r="A1390" t="s">
        <v>67</v>
      </c>
      <c r="B1390">
        <v>130882</v>
      </c>
      <c r="C1390" s="2">
        <v>331.36</v>
      </c>
      <c r="D1390" s="1">
        <v>43872</v>
      </c>
      <c r="E1390" t="str">
        <f>"202002115236"</f>
        <v>202002115236</v>
      </c>
      <c r="F1390" t="str">
        <f>"ACCT#5000057374 / 02032020"</f>
        <v>ACCT#5000057374 / 02032020</v>
      </c>
      <c r="G1390" s="2">
        <v>331.36</v>
      </c>
      <c r="H1390" t="str">
        <f>"ACCT#5000057374 / 02032020"</f>
        <v>ACCT#5000057374 / 02032020</v>
      </c>
    </row>
    <row r="1391" spans="1:9" x14ac:dyDescent="0.25">
      <c r="A1391" t="s">
        <v>404</v>
      </c>
      <c r="B1391">
        <v>130873</v>
      </c>
      <c r="C1391" s="2">
        <v>87.66</v>
      </c>
      <c r="D1391" s="1">
        <v>43871</v>
      </c>
      <c r="E1391" t="str">
        <f>"202001294893"</f>
        <v>202001294893</v>
      </c>
      <c r="F1391" t="str">
        <f>"REIMBURSEMENT- AMMUNITION"</f>
        <v>REIMBURSEMENT- AMMUNITION</v>
      </c>
      <c r="G1391" s="2">
        <v>87.66</v>
      </c>
      <c r="H1391" t="str">
        <f>"REIMBURSEMENT- AMMUNITION"</f>
        <v>REIMBURSEMENT- AMMUNITION</v>
      </c>
    </row>
    <row r="1392" spans="1:9" x14ac:dyDescent="0.25">
      <c r="A1392" t="s">
        <v>115</v>
      </c>
      <c r="B1392">
        <v>130874</v>
      </c>
      <c r="C1392" s="2">
        <v>4574.3999999999996</v>
      </c>
      <c r="D1392" s="1">
        <v>43871</v>
      </c>
      <c r="E1392" t="str">
        <f>"10370520796"</f>
        <v>10370520796</v>
      </c>
      <c r="F1392" t="str">
        <f>"Precision 7920 for Develo"</f>
        <v>Precision 7920 for Develo</v>
      </c>
      <c r="G1392" s="2">
        <v>4574.3999999999996</v>
      </c>
      <c r="H1392" t="str">
        <f>"Precision 7920 for Develo"</f>
        <v>Precision 7920 for Develo</v>
      </c>
    </row>
    <row r="1393" spans="1:8" x14ac:dyDescent="0.25">
      <c r="E1393" t="str">
        <f>""</f>
        <v/>
      </c>
      <c r="F1393" t="str">
        <f>""</f>
        <v/>
      </c>
      <c r="H1393" t="str">
        <f>"Discount"</f>
        <v>Discount</v>
      </c>
    </row>
    <row r="1394" spans="1:8" x14ac:dyDescent="0.25">
      <c r="A1394" t="s">
        <v>405</v>
      </c>
      <c r="B1394">
        <v>130875</v>
      </c>
      <c r="C1394" s="2">
        <v>44374</v>
      </c>
      <c r="D1394" s="1">
        <v>43871</v>
      </c>
      <c r="E1394" t="str">
        <f>"202002045021"</f>
        <v>202002045021</v>
      </c>
      <c r="F1394" t="str">
        <f>"2020 Dodge 1-ton"</f>
        <v>2020 Dodge 1-ton</v>
      </c>
      <c r="G1394" s="2">
        <v>44374</v>
      </c>
      <c r="H1394" t="str">
        <f>"2020 Dodge One tone"</f>
        <v>2020 Dodge One tone</v>
      </c>
    </row>
    <row r="1395" spans="1:8" x14ac:dyDescent="0.25">
      <c r="E1395" t="str">
        <f>""</f>
        <v/>
      </c>
      <c r="F1395" t="str">
        <f>""</f>
        <v/>
      </c>
      <c r="H1395" t="str">
        <f>"buyboard fee"</f>
        <v>buyboard fee</v>
      </c>
    </row>
    <row r="1396" spans="1:8" x14ac:dyDescent="0.25">
      <c r="A1396" t="s">
        <v>173</v>
      </c>
      <c r="B1396">
        <v>130876</v>
      </c>
      <c r="C1396" s="2">
        <v>398.88</v>
      </c>
      <c r="D1396" s="1">
        <v>43871</v>
      </c>
      <c r="E1396" t="str">
        <f>"9090711  9540988"</f>
        <v>9090711  9540988</v>
      </c>
      <c r="F1396" t="str">
        <f>"acct# 0130"</f>
        <v>acct# 0130</v>
      </c>
      <c r="G1396" s="2">
        <v>398.88</v>
      </c>
      <c r="H1396" t="str">
        <f>"Inv# 9090711"</f>
        <v>Inv# 9090711</v>
      </c>
    </row>
    <row r="1397" spans="1:8" x14ac:dyDescent="0.25">
      <c r="E1397" t="str">
        <f>""</f>
        <v/>
      </c>
      <c r="F1397" t="str">
        <f>""</f>
        <v/>
      </c>
      <c r="H1397" t="str">
        <f>"inv# 9540988"</f>
        <v>inv# 9540988</v>
      </c>
    </row>
    <row r="1398" spans="1:8" x14ac:dyDescent="0.25">
      <c r="A1398" t="s">
        <v>406</v>
      </c>
      <c r="B1398">
        <v>130877</v>
      </c>
      <c r="C1398" s="2">
        <v>2460.2800000000002</v>
      </c>
      <c r="D1398" s="1">
        <v>43871</v>
      </c>
      <c r="E1398" t="str">
        <f>"202002045020"</f>
        <v>202002045020</v>
      </c>
      <c r="F1398" t="str">
        <f>"Animal Control Security"</f>
        <v>Animal Control Security</v>
      </c>
      <c r="G1398" s="2">
        <v>2460.2800000000002</v>
      </c>
      <c r="H1398" t="str">
        <f>"Deposit"</f>
        <v>Deposit</v>
      </c>
    </row>
    <row r="1399" spans="1:8" x14ac:dyDescent="0.25">
      <c r="A1399" t="s">
        <v>316</v>
      </c>
      <c r="B1399">
        <v>130878</v>
      </c>
      <c r="C1399" s="2">
        <v>144572</v>
      </c>
      <c r="D1399" s="1">
        <v>43871</v>
      </c>
      <c r="E1399" t="str">
        <f>"GB00355395"</f>
        <v>GB00355395</v>
      </c>
      <c r="F1399" t="str">
        <f>"VMware Workspace One - 5"</f>
        <v>VMware Workspace One - 5</v>
      </c>
      <c r="G1399" s="2">
        <v>144572</v>
      </c>
      <c r="H1399" t="str">
        <f>"WSU-AECAP-60PT0-C1S"</f>
        <v>WSU-AECAP-60PT0-C1S</v>
      </c>
    </row>
    <row r="1400" spans="1:8" x14ac:dyDescent="0.25">
      <c r="E1400" t="str">
        <f>""</f>
        <v/>
      </c>
      <c r="F1400" t="str">
        <f>""</f>
        <v/>
      </c>
      <c r="H1400" t="str">
        <f>"WDS-WOADA-1TCT0-C1S"</f>
        <v>WDS-WOADA-1TCT0-C1S</v>
      </c>
    </row>
    <row r="1401" spans="1:8" x14ac:dyDescent="0.25">
      <c r="A1401" t="s">
        <v>407</v>
      </c>
      <c r="B1401">
        <v>131071</v>
      </c>
      <c r="C1401" s="2">
        <v>204</v>
      </c>
      <c r="D1401" s="1">
        <v>43885</v>
      </c>
      <c r="E1401" t="str">
        <f>"202002125299"</f>
        <v>202002125299</v>
      </c>
      <c r="F1401" t="str">
        <f>"PANTS/COATS/JUVENILE BOOTCAMP"</f>
        <v>PANTS/COATS/JUVENILE BOOTCAMP</v>
      </c>
      <c r="G1401" s="2">
        <v>204</v>
      </c>
      <c r="H1401" t="str">
        <f>"PANTS/COATS/JUVENILE BOOTCAMP"</f>
        <v>PANTS/COATS/JUVENILE BOOTCAMP</v>
      </c>
    </row>
    <row r="1402" spans="1:8" x14ac:dyDescent="0.25">
      <c r="A1402" t="s">
        <v>348</v>
      </c>
      <c r="B1402">
        <v>131072</v>
      </c>
      <c r="C1402" s="2">
        <v>49</v>
      </c>
      <c r="D1402" s="1">
        <v>43885</v>
      </c>
      <c r="E1402" t="str">
        <f>"NRCN-28054-WC5-APT"</f>
        <v>NRCN-28054-WC5-APT</v>
      </c>
      <c r="F1402" t="str">
        <f>"WORKERS COMPENSATION/#0110"</f>
        <v>WORKERS COMPENSATION/#0110</v>
      </c>
      <c r="G1402" s="2">
        <v>49</v>
      </c>
      <c r="H1402" t="str">
        <f>"WORKERS COMPENSATION/#0110"</f>
        <v>WORKERS COMPENSATION/#0110</v>
      </c>
    </row>
    <row r="1403" spans="1:8" x14ac:dyDescent="0.25">
      <c r="A1403" t="s">
        <v>408</v>
      </c>
      <c r="B1403">
        <v>414</v>
      </c>
      <c r="C1403" s="2">
        <v>2513.5</v>
      </c>
      <c r="D1403" s="1">
        <v>43868</v>
      </c>
      <c r="E1403" t="str">
        <f>"AS 202002045138"</f>
        <v>AS 202002045138</v>
      </c>
      <c r="F1403" t="str">
        <f t="shared" ref="F1403:F1409" si="18">"ALLSTATE"</f>
        <v>ALLSTATE</v>
      </c>
      <c r="G1403" s="2">
        <v>478.93</v>
      </c>
      <c r="H1403" t="str">
        <f t="shared" ref="H1403:H1409" si="19">"ALLSTATE"</f>
        <v>ALLSTATE</v>
      </c>
    </row>
    <row r="1404" spans="1:8" x14ac:dyDescent="0.25">
      <c r="E1404" t="str">
        <f>"AS 202002055139"</f>
        <v>AS 202002055139</v>
      </c>
      <c r="F1404" t="str">
        <f t="shared" si="18"/>
        <v>ALLSTATE</v>
      </c>
      <c r="G1404" s="2">
        <v>27.14</v>
      </c>
      <c r="H1404" t="str">
        <f t="shared" si="19"/>
        <v>ALLSTATE</v>
      </c>
    </row>
    <row r="1405" spans="1:8" x14ac:dyDescent="0.25">
      <c r="E1405" t="str">
        <f>"ASD202002045138"</f>
        <v>ASD202002045138</v>
      </c>
      <c r="F1405" t="str">
        <f t="shared" si="18"/>
        <v>ALLSTATE</v>
      </c>
      <c r="G1405" s="2">
        <v>170.21</v>
      </c>
      <c r="H1405" t="str">
        <f t="shared" si="19"/>
        <v>ALLSTATE</v>
      </c>
    </row>
    <row r="1406" spans="1:8" x14ac:dyDescent="0.25">
      <c r="E1406" t="str">
        <f>"ASI202002045138"</f>
        <v>ASI202002045138</v>
      </c>
      <c r="F1406" t="str">
        <f t="shared" si="18"/>
        <v>ALLSTATE</v>
      </c>
      <c r="G1406" s="2">
        <v>592.16</v>
      </c>
      <c r="H1406" t="str">
        <f t="shared" si="19"/>
        <v>ALLSTATE</v>
      </c>
    </row>
    <row r="1407" spans="1:8" x14ac:dyDescent="0.25">
      <c r="E1407" t="str">
        <f>"ASI202002055139"</f>
        <v>ASI202002055139</v>
      </c>
      <c r="F1407" t="str">
        <f t="shared" si="18"/>
        <v>ALLSTATE</v>
      </c>
      <c r="G1407" s="2">
        <v>67.150000000000006</v>
      </c>
      <c r="H1407" t="str">
        <f t="shared" si="19"/>
        <v>ALLSTATE</v>
      </c>
    </row>
    <row r="1408" spans="1:8" x14ac:dyDescent="0.25">
      <c r="E1408" t="str">
        <f>"AST202002045138"</f>
        <v>AST202002045138</v>
      </c>
      <c r="F1408" t="str">
        <f t="shared" si="18"/>
        <v>ALLSTATE</v>
      </c>
      <c r="G1408" s="2">
        <v>1135.3</v>
      </c>
      <c r="H1408" t="str">
        <f t="shared" si="19"/>
        <v>ALLSTATE</v>
      </c>
    </row>
    <row r="1409" spans="1:8" x14ac:dyDescent="0.25">
      <c r="E1409" t="str">
        <f>"AST202002055139"</f>
        <v>AST202002055139</v>
      </c>
      <c r="F1409" t="str">
        <f t="shared" si="18"/>
        <v>ALLSTATE</v>
      </c>
      <c r="G1409" s="2">
        <v>42.61</v>
      </c>
      <c r="H1409" t="str">
        <f t="shared" si="19"/>
        <v>ALLSTATE</v>
      </c>
    </row>
    <row r="1410" spans="1:8" x14ac:dyDescent="0.25">
      <c r="A1410" t="s">
        <v>408</v>
      </c>
      <c r="B1410">
        <v>428</v>
      </c>
      <c r="C1410" s="2">
        <v>2513.54</v>
      </c>
      <c r="D1410" s="1">
        <v>43886</v>
      </c>
      <c r="E1410" t="str">
        <f>"202002255476"</f>
        <v>202002255476</v>
      </c>
      <c r="F1410" t="str">
        <f>"ALLSTATE-AMERICAN HERITAGE LIF"</f>
        <v>ALLSTATE-AMERICAN HERITAGE LIF</v>
      </c>
      <c r="G1410" s="2">
        <v>0.04</v>
      </c>
      <c r="H1410" t="str">
        <f>"ALLSTATE-AMERICAN HERITAGE LIF"</f>
        <v>ALLSTATE-AMERICAN HERITAGE LIF</v>
      </c>
    </row>
    <row r="1411" spans="1:8" x14ac:dyDescent="0.25">
      <c r="E1411" t="str">
        <f>"AS 202002195431"</f>
        <v>AS 202002195431</v>
      </c>
      <c r="F1411" t="str">
        <f t="shared" ref="F1411:F1417" si="20">"ALLSTATE"</f>
        <v>ALLSTATE</v>
      </c>
      <c r="G1411" s="2">
        <v>478.93</v>
      </c>
      <c r="H1411" t="str">
        <f t="shared" ref="H1411:H1417" si="21">"ALLSTATE"</f>
        <v>ALLSTATE</v>
      </c>
    </row>
    <row r="1412" spans="1:8" x14ac:dyDescent="0.25">
      <c r="E1412" t="str">
        <f>"AS 202002195435"</f>
        <v>AS 202002195435</v>
      </c>
      <c r="F1412" t="str">
        <f t="shared" si="20"/>
        <v>ALLSTATE</v>
      </c>
      <c r="G1412" s="2">
        <v>27.14</v>
      </c>
      <c r="H1412" t="str">
        <f t="shared" si="21"/>
        <v>ALLSTATE</v>
      </c>
    </row>
    <row r="1413" spans="1:8" x14ac:dyDescent="0.25">
      <c r="E1413" t="str">
        <f>"ASD202002195431"</f>
        <v>ASD202002195431</v>
      </c>
      <c r="F1413" t="str">
        <f t="shared" si="20"/>
        <v>ALLSTATE</v>
      </c>
      <c r="G1413" s="2">
        <v>170.21</v>
      </c>
      <c r="H1413" t="str">
        <f t="shared" si="21"/>
        <v>ALLSTATE</v>
      </c>
    </row>
    <row r="1414" spans="1:8" x14ac:dyDescent="0.25">
      <c r="E1414" t="str">
        <f>"ASI202002195431"</f>
        <v>ASI202002195431</v>
      </c>
      <c r="F1414" t="str">
        <f t="shared" si="20"/>
        <v>ALLSTATE</v>
      </c>
      <c r="G1414" s="2">
        <v>592.16</v>
      </c>
      <c r="H1414" t="str">
        <f t="shared" si="21"/>
        <v>ALLSTATE</v>
      </c>
    </row>
    <row r="1415" spans="1:8" x14ac:dyDescent="0.25">
      <c r="E1415" t="str">
        <f>"ASI202002195435"</f>
        <v>ASI202002195435</v>
      </c>
      <c r="F1415" t="str">
        <f t="shared" si="20"/>
        <v>ALLSTATE</v>
      </c>
      <c r="G1415" s="2">
        <v>67.150000000000006</v>
      </c>
      <c r="H1415" t="str">
        <f t="shared" si="21"/>
        <v>ALLSTATE</v>
      </c>
    </row>
    <row r="1416" spans="1:8" x14ac:dyDescent="0.25">
      <c r="E1416" t="str">
        <f>"AST202002195431"</f>
        <v>AST202002195431</v>
      </c>
      <c r="F1416" t="str">
        <f t="shared" si="20"/>
        <v>ALLSTATE</v>
      </c>
      <c r="G1416" s="2">
        <v>1135.3</v>
      </c>
      <c r="H1416" t="str">
        <f t="shared" si="21"/>
        <v>ALLSTATE</v>
      </c>
    </row>
    <row r="1417" spans="1:8" x14ac:dyDescent="0.25">
      <c r="E1417" t="str">
        <f>"AST202002195435"</f>
        <v>AST202002195435</v>
      </c>
      <c r="F1417" t="str">
        <f t="shared" si="20"/>
        <v>ALLSTATE</v>
      </c>
      <c r="G1417" s="2">
        <v>42.61</v>
      </c>
      <c r="H1417" t="str">
        <f t="shared" si="21"/>
        <v>ALLSTATE</v>
      </c>
    </row>
    <row r="1418" spans="1:8" x14ac:dyDescent="0.25">
      <c r="A1418" t="s">
        <v>409</v>
      </c>
      <c r="B1418">
        <v>424</v>
      </c>
      <c r="C1418" s="2">
        <v>27259.599999999999</v>
      </c>
      <c r="D1418" s="1">
        <v>43886</v>
      </c>
      <c r="E1418" t="str">
        <f>"202002255468"</f>
        <v>202002255468</v>
      </c>
      <c r="F1418" t="str">
        <f>"AmWINS Group Benefits  Inc."</f>
        <v>AmWINS Group Benefits  Inc.</v>
      </c>
      <c r="G1418" s="2">
        <v>27259.599999999999</v>
      </c>
      <c r="H1418" t="str">
        <f>"AmWINS Group Benefits  Inc."</f>
        <v>AmWINS Group Benefits  Inc.</v>
      </c>
    </row>
    <row r="1419" spans="1:8" x14ac:dyDescent="0.25">
      <c r="A1419" t="s">
        <v>410</v>
      </c>
      <c r="B1419">
        <v>383</v>
      </c>
      <c r="C1419" s="2">
        <v>2497.2600000000002</v>
      </c>
      <c r="D1419" s="1">
        <v>43868</v>
      </c>
      <c r="E1419" t="str">
        <f>"DHM202002055140"</f>
        <v>DHM202002055140</v>
      </c>
      <c r="F1419" t="str">
        <f>"AP - DENTAL HMO"</f>
        <v>AP - DENTAL HMO</v>
      </c>
      <c r="G1419" s="2">
        <v>51.8</v>
      </c>
      <c r="H1419" t="str">
        <f>"AP - DENTAL HMO"</f>
        <v>AP - DENTAL HMO</v>
      </c>
    </row>
    <row r="1420" spans="1:8" x14ac:dyDescent="0.25">
      <c r="E1420" t="str">
        <f>"DTX202002055140"</f>
        <v>DTX202002055140</v>
      </c>
      <c r="F1420" t="str">
        <f>"AP - TEXAS DENTAL"</f>
        <v>AP - TEXAS DENTAL</v>
      </c>
      <c r="G1420" s="2">
        <v>405.38</v>
      </c>
      <c r="H1420" t="str">
        <f>"AP - TEXAS DENTAL"</f>
        <v>AP - TEXAS DENTAL</v>
      </c>
    </row>
    <row r="1421" spans="1:8" x14ac:dyDescent="0.25">
      <c r="E1421" t="str">
        <f>"FD 202002055140"</f>
        <v>FD 202002055140</v>
      </c>
      <c r="F1421" t="str">
        <f>"AP - FT DEARBORN PRE-TAX"</f>
        <v>AP - FT DEARBORN PRE-TAX</v>
      </c>
      <c r="G1421" s="2">
        <v>80.09</v>
      </c>
      <c r="H1421" t="str">
        <f>"AP - FT DEARBORN PRE-TAX"</f>
        <v>AP - FT DEARBORN PRE-TAX</v>
      </c>
    </row>
    <row r="1422" spans="1:8" x14ac:dyDescent="0.25">
      <c r="E1422" t="str">
        <f>"FDT202002055140"</f>
        <v>FDT202002055140</v>
      </c>
      <c r="F1422" t="str">
        <f>"AP - FT DEARBORN AFTER TAX"</f>
        <v>AP - FT DEARBORN AFTER TAX</v>
      </c>
      <c r="G1422" s="2">
        <v>69.13</v>
      </c>
      <c r="H1422" t="str">
        <f>"AP - FT DEARBORN AFTER TAX"</f>
        <v>AP - FT DEARBORN AFTER TAX</v>
      </c>
    </row>
    <row r="1423" spans="1:8" x14ac:dyDescent="0.25">
      <c r="E1423" t="str">
        <f>"FLX202002055140"</f>
        <v>FLX202002055140</v>
      </c>
      <c r="F1423" t="str">
        <f>"AP - TEX FLEX"</f>
        <v>AP - TEX FLEX</v>
      </c>
      <c r="G1423" s="2">
        <v>80.5</v>
      </c>
      <c r="H1423" t="str">
        <f>"AP - TEX FLEX"</f>
        <v>AP - TEX FLEX</v>
      </c>
    </row>
    <row r="1424" spans="1:8" x14ac:dyDescent="0.25">
      <c r="E1424" t="str">
        <f>"HSA202002055140"</f>
        <v>HSA202002055140</v>
      </c>
      <c r="F1424" t="str">
        <f>"AP- HSA"</f>
        <v>AP- HSA</v>
      </c>
      <c r="G1424" s="2">
        <v>20</v>
      </c>
      <c r="H1424" t="str">
        <f>"AP- HSA"</f>
        <v>AP- HSA</v>
      </c>
    </row>
    <row r="1425" spans="1:8" x14ac:dyDescent="0.25">
      <c r="E1425" t="str">
        <f>"MHS202002055140"</f>
        <v>MHS202002055140</v>
      </c>
      <c r="F1425" t="str">
        <f>"AP - HEALTH SELECT MEDICAL"</f>
        <v>AP - HEALTH SELECT MEDICAL</v>
      </c>
      <c r="G1425" s="2">
        <v>1377.5</v>
      </c>
      <c r="H1425" t="str">
        <f>"AP - HEALTH SELECT MEDICAL"</f>
        <v>AP - HEALTH SELECT MEDICAL</v>
      </c>
    </row>
    <row r="1426" spans="1:8" x14ac:dyDescent="0.25">
      <c r="E1426" t="str">
        <f>"MSW202002055140"</f>
        <v>MSW202002055140</v>
      </c>
      <c r="F1426" t="str">
        <f>"AP - SCOTT &amp; WHITE MEDICAL"</f>
        <v>AP - SCOTT &amp; WHITE MEDICAL</v>
      </c>
      <c r="G1426" s="2">
        <v>372.9</v>
      </c>
      <c r="H1426" t="str">
        <f>"AP - SCOTT &amp; WHITE MEDICAL"</f>
        <v>AP - SCOTT &amp; WHITE MEDICAL</v>
      </c>
    </row>
    <row r="1427" spans="1:8" x14ac:dyDescent="0.25">
      <c r="E1427" t="str">
        <f>"SPE202002055140"</f>
        <v>SPE202002055140</v>
      </c>
      <c r="F1427" t="str">
        <f>"AP - STATE VISION"</f>
        <v>AP - STATE VISION</v>
      </c>
      <c r="G1427" s="2">
        <v>39.96</v>
      </c>
      <c r="H1427" t="str">
        <f>"AP - STATE VISION"</f>
        <v>AP - STATE VISION</v>
      </c>
    </row>
    <row r="1428" spans="1:8" x14ac:dyDescent="0.25">
      <c r="A1428" t="s">
        <v>410</v>
      </c>
      <c r="B1428">
        <v>417</v>
      </c>
      <c r="C1428" s="2">
        <v>2242.7600000000002</v>
      </c>
      <c r="D1428" s="1">
        <v>43882</v>
      </c>
      <c r="E1428" t="str">
        <f>"DHM202002195436"</f>
        <v>DHM202002195436</v>
      </c>
      <c r="F1428" t="str">
        <f>"AP - DENTAL HMO"</f>
        <v>AP - DENTAL HMO</v>
      </c>
      <c r="G1428" s="2">
        <v>38.380000000000003</v>
      </c>
      <c r="H1428" t="str">
        <f>"AP - DENTAL HMO"</f>
        <v>AP - DENTAL HMO</v>
      </c>
    </row>
    <row r="1429" spans="1:8" x14ac:dyDescent="0.25">
      <c r="E1429" t="str">
        <f>"DTX202002195436"</f>
        <v>DTX202002195436</v>
      </c>
      <c r="F1429" t="str">
        <f>"AP - TEXAS DENTAL"</f>
        <v>AP - TEXAS DENTAL</v>
      </c>
      <c r="G1429" s="2">
        <v>405.38</v>
      </c>
      <c r="H1429" t="str">
        <f>"AP - TEXAS DENTAL"</f>
        <v>AP - TEXAS DENTAL</v>
      </c>
    </row>
    <row r="1430" spans="1:8" x14ac:dyDescent="0.25">
      <c r="E1430" t="str">
        <f>"FD 202002195436"</f>
        <v>FD 202002195436</v>
      </c>
      <c r="F1430" t="str">
        <f>"AP - FT DEARBORN PRE-TAX"</f>
        <v>AP - FT DEARBORN PRE-TAX</v>
      </c>
      <c r="G1430" s="2">
        <v>80.09</v>
      </c>
      <c r="H1430" t="str">
        <f>"AP - FT DEARBORN PRE-TAX"</f>
        <v>AP - FT DEARBORN PRE-TAX</v>
      </c>
    </row>
    <row r="1431" spans="1:8" x14ac:dyDescent="0.25">
      <c r="E1431" t="str">
        <f>"FDT202002195436"</f>
        <v>FDT202002195436</v>
      </c>
      <c r="F1431" t="str">
        <f>"AP - FT DEARBORN AFTER TAX"</f>
        <v>AP - FT DEARBORN AFTER TAX</v>
      </c>
      <c r="G1431" s="2">
        <v>67.75</v>
      </c>
      <c r="H1431" t="str">
        <f>"AP - FT DEARBORN AFTER TAX"</f>
        <v>AP - FT DEARBORN AFTER TAX</v>
      </c>
    </row>
    <row r="1432" spans="1:8" x14ac:dyDescent="0.25">
      <c r="E1432" t="str">
        <f>"FLX202002195436"</f>
        <v>FLX202002195436</v>
      </c>
      <c r="F1432" t="str">
        <f>"AP - TEX FLEX"</f>
        <v>AP - TEX FLEX</v>
      </c>
      <c r="G1432" s="2">
        <v>80.5</v>
      </c>
      <c r="H1432" t="str">
        <f>"AP - TEX FLEX"</f>
        <v>AP - TEX FLEX</v>
      </c>
    </row>
    <row r="1433" spans="1:8" x14ac:dyDescent="0.25">
      <c r="E1433" t="str">
        <f>"HSA202002195436"</f>
        <v>HSA202002195436</v>
      </c>
      <c r="F1433" t="str">
        <f>"AP- HSA"</f>
        <v>AP- HSA</v>
      </c>
      <c r="G1433" s="2">
        <v>20</v>
      </c>
      <c r="H1433" t="str">
        <f>"AP- HSA"</f>
        <v>AP- HSA</v>
      </c>
    </row>
    <row r="1434" spans="1:8" x14ac:dyDescent="0.25">
      <c r="E1434" t="str">
        <f>"MHS202002195436"</f>
        <v>MHS202002195436</v>
      </c>
      <c r="F1434" t="str">
        <f>"AP - HEALTH SELECT MEDICAL"</f>
        <v>AP - HEALTH SELECT MEDICAL</v>
      </c>
      <c r="G1434" s="2">
        <v>1137.8</v>
      </c>
      <c r="H1434" t="str">
        <f>"AP - HEALTH SELECT MEDICAL"</f>
        <v>AP - HEALTH SELECT MEDICAL</v>
      </c>
    </row>
    <row r="1435" spans="1:8" x14ac:dyDescent="0.25">
      <c r="E1435" t="str">
        <f>"MSW202002195436"</f>
        <v>MSW202002195436</v>
      </c>
      <c r="F1435" t="str">
        <f>"AP - SCOTT &amp; WHITE MEDICAL"</f>
        <v>AP - SCOTT &amp; WHITE MEDICAL</v>
      </c>
      <c r="G1435" s="2">
        <v>372.9</v>
      </c>
      <c r="H1435" t="str">
        <f>"AP - SCOTT &amp; WHITE MEDICAL"</f>
        <v>AP - SCOTT &amp; WHITE MEDICAL</v>
      </c>
    </row>
    <row r="1436" spans="1:8" x14ac:dyDescent="0.25">
      <c r="E1436" t="str">
        <f>"SPE202002195436"</f>
        <v>SPE202002195436</v>
      </c>
      <c r="F1436" t="str">
        <f>"AP - STATE VISION"</f>
        <v>AP - STATE VISION</v>
      </c>
      <c r="G1436" s="2">
        <v>39.96</v>
      </c>
      <c r="H1436" t="str">
        <f>"AP - STATE VISION"</f>
        <v>AP - STATE VISION</v>
      </c>
    </row>
    <row r="1437" spans="1:8" x14ac:dyDescent="0.25">
      <c r="A1437" t="s">
        <v>411</v>
      </c>
      <c r="B1437">
        <v>415</v>
      </c>
      <c r="C1437" s="2">
        <v>2431.96</v>
      </c>
      <c r="D1437" s="1">
        <v>43868</v>
      </c>
      <c r="E1437" t="str">
        <f>"CL 202002045138"</f>
        <v>CL 202002045138</v>
      </c>
      <c r="F1437" t="str">
        <f t="shared" ref="F1437:F1446" si="22">"COLONIAL"</f>
        <v>COLONIAL</v>
      </c>
      <c r="G1437" s="2">
        <v>610.64</v>
      </c>
      <c r="H1437" t="str">
        <f t="shared" ref="H1437:H1446" si="23">"COLONIAL"</f>
        <v>COLONIAL</v>
      </c>
    </row>
    <row r="1438" spans="1:8" x14ac:dyDescent="0.25">
      <c r="E1438" t="str">
        <f>"CL 202002055139"</f>
        <v>CL 202002055139</v>
      </c>
      <c r="F1438" t="str">
        <f t="shared" si="22"/>
        <v>COLONIAL</v>
      </c>
      <c r="G1438" s="2">
        <v>14.49</v>
      </c>
      <c r="H1438" t="str">
        <f t="shared" si="23"/>
        <v>COLONIAL</v>
      </c>
    </row>
    <row r="1439" spans="1:8" x14ac:dyDescent="0.25">
      <c r="E1439" t="str">
        <f>"CLC202002045138"</f>
        <v>CLC202002045138</v>
      </c>
      <c r="F1439" t="str">
        <f t="shared" si="22"/>
        <v>COLONIAL</v>
      </c>
      <c r="G1439" s="2">
        <v>33.99</v>
      </c>
      <c r="H1439" t="str">
        <f t="shared" si="23"/>
        <v>COLONIAL</v>
      </c>
    </row>
    <row r="1440" spans="1:8" x14ac:dyDescent="0.25">
      <c r="E1440" t="str">
        <f>"CLI202002045138"</f>
        <v>CLI202002045138</v>
      </c>
      <c r="F1440" t="str">
        <f t="shared" si="22"/>
        <v>COLONIAL</v>
      </c>
      <c r="G1440" s="2">
        <v>570.70000000000005</v>
      </c>
      <c r="H1440" t="str">
        <f t="shared" si="23"/>
        <v>COLONIAL</v>
      </c>
    </row>
    <row r="1441" spans="1:8" x14ac:dyDescent="0.25">
      <c r="E1441" t="str">
        <f>"CLK202002045138"</f>
        <v>CLK202002045138</v>
      </c>
      <c r="F1441" t="str">
        <f t="shared" si="22"/>
        <v>COLONIAL</v>
      </c>
      <c r="G1441" s="2">
        <v>27.09</v>
      </c>
      <c r="H1441" t="str">
        <f t="shared" si="23"/>
        <v>COLONIAL</v>
      </c>
    </row>
    <row r="1442" spans="1:8" x14ac:dyDescent="0.25">
      <c r="E1442" t="str">
        <f>"CLS202002045138"</f>
        <v>CLS202002045138</v>
      </c>
      <c r="F1442" t="str">
        <f t="shared" si="22"/>
        <v>COLONIAL</v>
      </c>
      <c r="G1442" s="2">
        <v>373.88</v>
      </c>
      <c r="H1442" t="str">
        <f t="shared" si="23"/>
        <v>COLONIAL</v>
      </c>
    </row>
    <row r="1443" spans="1:8" x14ac:dyDescent="0.25">
      <c r="E1443" t="str">
        <f>"CLS202002055139"</f>
        <v>CLS202002055139</v>
      </c>
      <c r="F1443" t="str">
        <f t="shared" si="22"/>
        <v>COLONIAL</v>
      </c>
      <c r="G1443" s="2">
        <v>15.73</v>
      </c>
      <c r="H1443" t="str">
        <f t="shared" si="23"/>
        <v>COLONIAL</v>
      </c>
    </row>
    <row r="1444" spans="1:8" x14ac:dyDescent="0.25">
      <c r="E1444" t="str">
        <f>"CLT202002045138"</f>
        <v>CLT202002045138</v>
      </c>
      <c r="F1444" t="str">
        <f t="shared" si="22"/>
        <v>COLONIAL</v>
      </c>
      <c r="G1444" s="2">
        <v>365.09</v>
      </c>
      <c r="H1444" t="str">
        <f t="shared" si="23"/>
        <v>COLONIAL</v>
      </c>
    </row>
    <row r="1445" spans="1:8" x14ac:dyDescent="0.25">
      <c r="E1445" t="str">
        <f>"CLU202002045138"</f>
        <v>CLU202002045138</v>
      </c>
      <c r="F1445" t="str">
        <f t="shared" si="22"/>
        <v>COLONIAL</v>
      </c>
      <c r="G1445" s="2">
        <v>111.55</v>
      </c>
      <c r="H1445" t="str">
        <f t="shared" si="23"/>
        <v>COLONIAL</v>
      </c>
    </row>
    <row r="1446" spans="1:8" x14ac:dyDescent="0.25">
      <c r="E1446" t="str">
        <f>"CLW202002045138"</f>
        <v>CLW202002045138</v>
      </c>
      <c r="F1446" t="str">
        <f t="shared" si="22"/>
        <v>COLONIAL</v>
      </c>
      <c r="G1446" s="2">
        <v>308.8</v>
      </c>
      <c r="H1446" t="str">
        <f t="shared" si="23"/>
        <v>COLONIAL</v>
      </c>
    </row>
    <row r="1447" spans="1:8" x14ac:dyDescent="0.25">
      <c r="A1447" t="s">
        <v>411</v>
      </c>
      <c r="B1447">
        <v>429</v>
      </c>
      <c r="C1447" s="2">
        <v>2432.42</v>
      </c>
      <c r="D1447" s="1">
        <v>43886</v>
      </c>
      <c r="E1447" t="str">
        <f>"202002255477"</f>
        <v>202002255477</v>
      </c>
      <c r="F1447" t="str">
        <f>"COLONIAL LIFE &amp; ACCIDENT INS."</f>
        <v>COLONIAL LIFE &amp; ACCIDENT INS.</v>
      </c>
      <c r="G1447" s="2">
        <v>0.46</v>
      </c>
      <c r="H1447" t="str">
        <f>"COLONIAL LIFE &amp; ACCIDENT INS."</f>
        <v>COLONIAL LIFE &amp; ACCIDENT INS.</v>
      </c>
    </row>
    <row r="1448" spans="1:8" x14ac:dyDescent="0.25">
      <c r="E1448" t="str">
        <f>"CL 202002195431"</f>
        <v>CL 202002195431</v>
      </c>
      <c r="F1448" t="str">
        <f t="shared" ref="F1448:F1457" si="24">"COLONIAL"</f>
        <v>COLONIAL</v>
      </c>
      <c r="G1448" s="2">
        <v>610.64</v>
      </c>
      <c r="H1448" t="str">
        <f t="shared" ref="H1448:H1457" si="25">"COLONIAL"</f>
        <v>COLONIAL</v>
      </c>
    </row>
    <row r="1449" spans="1:8" x14ac:dyDescent="0.25">
      <c r="E1449" t="str">
        <f>"CL 202002195435"</f>
        <v>CL 202002195435</v>
      </c>
      <c r="F1449" t="str">
        <f t="shared" si="24"/>
        <v>COLONIAL</v>
      </c>
      <c r="G1449" s="2">
        <v>14.49</v>
      </c>
      <c r="H1449" t="str">
        <f t="shared" si="25"/>
        <v>COLONIAL</v>
      </c>
    </row>
    <row r="1450" spans="1:8" x14ac:dyDescent="0.25">
      <c r="E1450" t="str">
        <f>"CLC202002195431"</f>
        <v>CLC202002195431</v>
      </c>
      <c r="F1450" t="str">
        <f t="shared" si="24"/>
        <v>COLONIAL</v>
      </c>
      <c r="G1450" s="2">
        <v>33.99</v>
      </c>
      <c r="H1450" t="str">
        <f t="shared" si="25"/>
        <v>COLONIAL</v>
      </c>
    </row>
    <row r="1451" spans="1:8" x14ac:dyDescent="0.25">
      <c r="E1451" t="str">
        <f>"CLI202002195431"</f>
        <v>CLI202002195431</v>
      </c>
      <c r="F1451" t="str">
        <f t="shared" si="24"/>
        <v>COLONIAL</v>
      </c>
      <c r="G1451" s="2">
        <v>570.70000000000005</v>
      </c>
      <c r="H1451" t="str">
        <f t="shared" si="25"/>
        <v>COLONIAL</v>
      </c>
    </row>
    <row r="1452" spans="1:8" x14ac:dyDescent="0.25">
      <c r="E1452" t="str">
        <f>"CLK202002195431"</f>
        <v>CLK202002195431</v>
      </c>
      <c r="F1452" t="str">
        <f t="shared" si="24"/>
        <v>COLONIAL</v>
      </c>
      <c r="G1452" s="2">
        <v>27.09</v>
      </c>
      <c r="H1452" t="str">
        <f t="shared" si="25"/>
        <v>COLONIAL</v>
      </c>
    </row>
    <row r="1453" spans="1:8" x14ac:dyDescent="0.25">
      <c r="E1453" t="str">
        <f>"CLS202002195431"</f>
        <v>CLS202002195431</v>
      </c>
      <c r="F1453" t="str">
        <f t="shared" si="24"/>
        <v>COLONIAL</v>
      </c>
      <c r="G1453" s="2">
        <v>373.88</v>
      </c>
      <c r="H1453" t="str">
        <f t="shared" si="25"/>
        <v>COLONIAL</v>
      </c>
    </row>
    <row r="1454" spans="1:8" x14ac:dyDescent="0.25">
      <c r="E1454" t="str">
        <f>"CLS202002195435"</f>
        <v>CLS202002195435</v>
      </c>
      <c r="F1454" t="str">
        <f t="shared" si="24"/>
        <v>COLONIAL</v>
      </c>
      <c r="G1454" s="2">
        <v>15.73</v>
      </c>
      <c r="H1454" t="str">
        <f t="shared" si="25"/>
        <v>COLONIAL</v>
      </c>
    </row>
    <row r="1455" spans="1:8" x14ac:dyDescent="0.25">
      <c r="E1455" t="str">
        <f>"CLT202002195431"</f>
        <v>CLT202002195431</v>
      </c>
      <c r="F1455" t="str">
        <f t="shared" si="24"/>
        <v>COLONIAL</v>
      </c>
      <c r="G1455" s="2">
        <v>365.09</v>
      </c>
      <c r="H1455" t="str">
        <f t="shared" si="25"/>
        <v>COLONIAL</v>
      </c>
    </row>
    <row r="1456" spans="1:8" x14ac:dyDescent="0.25">
      <c r="E1456" t="str">
        <f>"CLU202002195431"</f>
        <v>CLU202002195431</v>
      </c>
      <c r="F1456" t="str">
        <f t="shared" si="24"/>
        <v>COLONIAL</v>
      </c>
      <c r="G1456" s="2">
        <v>111.55</v>
      </c>
      <c r="H1456" t="str">
        <f t="shared" si="25"/>
        <v>COLONIAL</v>
      </c>
    </row>
    <row r="1457" spans="1:8" x14ac:dyDescent="0.25">
      <c r="E1457" t="str">
        <f>"CLW202002195431"</f>
        <v>CLW202002195431</v>
      </c>
      <c r="F1457" t="str">
        <f t="shared" si="24"/>
        <v>COLONIAL</v>
      </c>
      <c r="G1457" s="2">
        <v>308.8</v>
      </c>
      <c r="H1457" t="str">
        <f t="shared" si="25"/>
        <v>COLONIAL</v>
      </c>
    </row>
    <row r="1458" spans="1:8" x14ac:dyDescent="0.25">
      <c r="A1458" t="s">
        <v>412</v>
      </c>
      <c r="B1458">
        <v>384</v>
      </c>
      <c r="C1458" s="2">
        <v>8641.1299999999992</v>
      </c>
      <c r="D1458" s="1">
        <v>43868</v>
      </c>
      <c r="E1458" t="str">
        <f>"CPI202002045138"</f>
        <v>CPI202002045138</v>
      </c>
      <c r="F1458" t="str">
        <f>"DEFERRED COMP 457B PAYABLE"</f>
        <v>DEFERRED COMP 457B PAYABLE</v>
      </c>
      <c r="G1458" s="2">
        <v>8533.6299999999992</v>
      </c>
      <c r="H1458" t="str">
        <f>"DEFERRED COMP 457B PAYABLE"</f>
        <v>DEFERRED COMP 457B PAYABLE</v>
      </c>
    </row>
    <row r="1459" spans="1:8" x14ac:dyDescent="0.25">
      <c r="E1459" t="str">
        <f>"CPI202002055139"</f>
        <v>CPI202002055139</v>
      </c>
      <c r="F1459" t="str">
        <f>"DEFERRED COMP 457B PAYABLE"</f>
        <v>DEFERRED COMP 457B PAYABLE</v>
      </c>
      <c r="G1459" s="2">
        <v>107.5</v>
      </c>
      <c r="H1459" t="str">
        <f>"DEFERRED COMP 457B PAYABLE"</f>
        <v>DEFERRED COMP 457B PAYABLE</v>
      </c>
    </row>
    <row r="1460" spans="1:8" x14ac:dyDescent="0.25">
      <c r="A1460" t="s">
        <v>412</v>
      </c>
      <c r="B1460">
        <v>418</v>
      </c>
      <c r="C1460" s="2">
        <v>8641.1299999999992</v>
      </c>
      <c r="D1460" s="1">
        <v>43882</v>
      </c>
      <c r="E1460" t="str">
        <f>"CPI202002195431"</f>
        <v>CPI202002195431</v>
      </c>
      <c r="F1460" t="str">
        <f>"DEFERRED COMP 457B PAYABLE"</f>
        <v>DEFERRED COMP 457B PAYABLE</v>
      </c>
      <c r="G1460" s="2">
        <v>8533.6299999999992</v>
      </c>
      <c r="H1460" t="str">
        <f>"DEFERRED COMP 457B PAYABLE"</f>
        <v>DEFERRED COMP 457B PAYABLE</v>
      </c>
    </row>
    <row r="1461" spans="1:8" x14ac:dyDescent="0.25">
      <c r="E1461" t="str">
        <f>"CPI202002195435"</f>
        <v>CPI202002195435</v>
      </c>
      <c r="F1461" t="str">
        <f>"DEFERRED COMP 457B PAYABLE"</f>
        <v>DEFERRED COMP 457B PAYABLE</v>
      </c>
      <c r="G1461" s="2">
        <v>107.5</v>
      </c>
      <c r="H1461" t="str">
        <f>"DEFERRED COMP 457B PAYABLE"</f>
        <v>DEFERRED COMP 457B PAYABLE</v>
      </c>
    </row>
    <row r="1462" spans="1:8" x14ac:dyDescent="0.25">
      <c r="A1462" t="s">
        <v>413</v>
      </c>
      <c r="B1462">
        <v>47803</v>
      </c>
      <c r="C1462" s="2">
        <v>853.85</v>
      </c>
      <c r="D1462" s="1">
        <v>43868</v>
      </c>
      <c r="E1462" t="str">
        <f>"B13202002045138"</f>
        <v>B13202002045138</v>
      </c>
      <c r="F1462" t="str">
        <f>"Rosa Warren 15-10357-TMD"</f>
        <v>Rosa Warren 15-10357-TMD</v>
      </c>
      <c r="G1462" s="2">
        <v>853.85</v>
      </c>
      <c r="H1462" t="str">
        <f>"Rosa Warren 15-10357-TMD"</f>
        <v>Rosa Warren 15-10357-TMD</v>
      </c>
    </row>
    <row r="1463" spans="1:8" x14ac:dyDescent="0.25">
      <c r="A1463" t="s">
        <v>413</v>
      </c>
      <c r="B1463">
        <v>47818</v>
      </c>
      <c r="C1463" s="2">
        <v>853.85</v>
      </c>
      <c r="D1463" s="1">
        <v>43882</v>
      </c>
      <c r="E1463" t="str">
        <f>"B13202002195431"</f>
        <v>B13202002195431</v>
      </c>
      <c r="F1463" t="str">
        <f>"Rosa Warren 15-10357-TMD"</f>
        <v>Rosa Warren 15-10357-TMD</v>
      </c>
      <c r="G1463" s="2">
        <v>853.85</v>
      </c>
      <c r="H1463" t="str">
        <f>"Rosa Warren 15-10357-TMD"</f>
        <v>Rosa Warren 15-10357-TMD</v>
      </c>
    </row>
    <row r="1464" spans="1:8" x14ac:dyDescent="0.25">
      <c r="A1464" t="s">
        <v>414</v>
      </c>
      <c r="B1464">
        <v>411</v>
      </c>
      <c r="C1464" s="2">
        <v>19190.7</v>
      </c>
      <c r="D1464" s="1">
        <v>43868</v>
      </c>
      <c r="E1464" t="str">
        <f>"ADC202002045138"</f>
        <v>ADC202002045138</v>
      </c>
      <c r="F1464" t="str">
        <f t="shared" ref="F1464:F1470" si="26">"GUARDIAN"</f>
        <v>GUARDIAN</v>
      </c>
      <c r="G1464" s="2">
        <v>4.97</v>
      </c>
      <c r="H1464" t="str">
        <f t="shared" ref="H1464:H1495" si="27">"GUARDIAN"</f>
        <v>GUARDIAN</v>
      </c>
    </row>
    <row r="1465" spans="1:8" x14ac:dyDescent="0.25">
      <c r="E1465" t="str">
        <f>"ADC202002055139"</f>
        <v>ADC202002055139</v>
      </c>
      <c r="F1465" t="str">
        <f t="shared" si="26"/>
        <v>GUARDIAN</v>
      </c>
      <c r="G1465" s="2">
        <v>0.16</v>
      </c>
      <c r="H1465" t="str">
        <f t="shared" si="27"/>
        <v>GUARDIAN</v>
      </c>
    </row>
    <row r="1466" spans="1:8" x14ac:dyDescent="0.25">
      <c r="E1466" t="str">
        <f>"ADE202002045138"</f>
        <v>ADE202002045138</v>
      </c>
      <c r="F1466" t="str">
        <f t="shared" si="26"/>
        <v>GUARDIAN</v>
      </c>
      <c r="G1466" s="2">
        <v>237.26</v>
      </c>
      <c r="H1466" t="str">
        <f t="shared" si="27"/>
        <v>GUARDIAN</v>
      </c>
    </row>
    <row r="1467" spans="1:8" x14ac:dyDescent="0.25">
      <c r="E1467" t="str">
        <f>"ADE202002055139"</f>
        <v>ADE202002055139</v>
      </c>
      <c r="F1467" t="str">
        <f t="shared" si="26"/>
        <v>GUARDIAN</v>
      </c>
      <c r="G1467" s="2">
        <v>6.3</v>
      </c>
      <c r="H1467" t="str">
        <f t="shared" si="27"/>
        <v>GUARDIAN</v>
      </c>
    </row>
    <row r="1468" spans="1:8" x14ac:dyDescent="0.25">
      <c r="E1468" t="str">
        <f>"ADS202002045138"</f>
        <v>ADS202002045138</v>
      </c>
      <c r="F1468" t="str">
        <f t="shared" si="26"/>
        <v>GUARDIAN</v>
      </c>
      <c r="G1468" s="2">
        <v>44.82</v>
      </c>
      <c r="H1468" t="str">
        <f t="shared" si="27"/>
        <v>GUARDIAN</v>
      </c>
    </row>
    <row r="1469" spans="1:8" x14ac:dyDescent="0.25">
      <c r="E1469" t="str">
        <f>"ADS202002055139"</f>
        <v>ADS202002055139</v>
      </c>
      <c r="F1469" t="str">
        <f t="shared" si="26"/>
        <v>GUARDIAN</v>
      </c>
      <c r="G1469" s="2">
        <v>0.53</v>
      </c>
      <c r="H1469" t="str">
        <f t="shared" si="27"/>
        <v>GUARDIAN</v>
      </c>
    </row>
    <row r="1470" spans="1:8" x14ac:dyDescent="0.25">
      <c r="E1470" t="str">
        <f>"GDC202002045138"</f>
        <v>GDC202002045138</v>
      </c>
      <c r="F1470" t="str">
        <f t="shared" si="26"/>
        <v>GUARDIAN</v>
      </c>
      <c r="G1470" s="2">
        <v>2750.76</v>
      </c>
      <c r="H1470" t="str">
        <f t="shared" si="27"/>
        <v>GUARDIAN</v>
      </c>
    </row>
    <row r="1471" spans="1:8" x14ac:dyDescent="0.25">
      <c r="E1471" t="str">
        <f>""</f>
        <v/>
      </c>
      <c r="F1471" t="str">
        <f>""</f>
        <v/>
      </c>
      <c r="H1471" t="str">
        <f t="shared" si="27"/>
        <v>GUARDIAN</v>
      </c>
    </row>
    <row r="1472" spans="1:8" x14ac:dyDescent="0.25">
      <c r="E1472" t="str">
        <f>""</f>
        <v/>
      </c>
      <c r="F1472" t="str">
        <f>""</f>
        <v/>
      </c>
      <c r="H1472" t="str">
        <f t="shared" si="27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27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27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27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27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27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27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7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7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7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7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27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7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27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7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7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7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7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7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7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7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27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7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7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ref="H1496:H1527" si="28">"GUARDIAN"</f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8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8"/>
        <v>GUARDIAN</v>
      </c>
    </row>
    <row r="1499" spans="5:8" x14ac:dyDescent="0.25">
      <c r="E1499" t="str">
        <f>"GDC202002055139"</f>
        <v>GDC202002055139</v>
      </c>
      <c r="F1499" t="str">
        <f>"GUARDIAN"</f>
        <v>GUARDIAN</v>
      </c>
      <c r="G1499" s="2">
        <v>135.84</v>
      </c>
      <c r="H1499" t="str">
        <f t="shared" si="28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8"/>
        <v>GUARDIAN</v>
      </c>
    </row>
    <row r="1501" spans="5:8" x14ac:dyDescent="0.25">
      <c r="E1501" t="str">
        <f>"GDE202002045138"</f>
        <v>GDE202002045138</v>
      </c>
      <c r="F1501" t="str">
        <f>"GUARDIAN"</f>
        <v>GUARDIAN</v>
      </c>
      <c r="G1501" s="2">
        <v>4386.1499999999996</v>
      </c>
      <c r="H1501" t="str">
        <f t="shared" si="28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8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8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28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8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8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8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8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8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8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8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8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8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8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8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8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8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8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8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8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8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8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8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8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8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8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8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ref="H1528:H1559" si="29">"GUARDIAN"</f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9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9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9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9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9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9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9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9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9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9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9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9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9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9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9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9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9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9"/>
        <v>GUARDIAN</v>
      </c>
    </row>
    <row r="1547" spans="5:8" x14ac:dyDescent="0.25">
      <c r="E1547" t="str">
        <f>"GDE202002055139"</f>
        <v>GDE202002055139</v>
      </c>
      <c r="F1547" t="str">
        <f>"GUARDIAN"</f>
        <v>GUARDIAN</v>
      </c>
      <c r="G1547" s="2">
        <v>184.68</v>
      </c>
      <c r="H1547" t="str">
        <f t="shared" si="29"/>
        <v>GUARDIAN</v>
      </c>
    </row>
    <row r="1548" spans="5:8" x14ac:dyDescent="0.25">
      <c r="E1548" t="str">
        <f>"GDF202002045138"</f>
        <v>GDF202002045138</v>
      </c>
      <c r="F1548" t="str">
        <f>"GUARDIAN"</f>
        <v>GUARDIAN</v>
      </c>
      <c r="G1548" s="2">
        <v>2159.0300000000002</v>
      </c>
      <c r="H1548" t="str">
        <f t="shared" si="29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9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9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9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9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9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9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9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9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9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9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9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ref="H1560:H1596" si="30">"GUARDIAN"</f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30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30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30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30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30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30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30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30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30"/>
        <v>GUARDIAN</v>
      </c>
    </row>
    <row r="1570" spans="5:8" x14ac:dyDescent="0.25">
      <c r="E1570" t="str">
        <f>"GDF202002055139"</f>
        <v>GDF202002055139</v>
      </c>
      <c r="F1570" t="str">
        <f>"GUARDIAN"</f>
        <v>GUARDIAN</v>
      </c>
      <c r="G1570" s="2">
        <v>100.42</v>
      </c>
      <c r="H1570" t="str">
        <f t="shared" si="30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30"/>
        <v>GUARDIAN</v>
      </c>
    </row>
    <row r="1572" spans="5:8" x14ac:dyDescent="0.25">
      <c r="E1572" t="str">
        <f>"GDS202002045138"</f>
        <v>GDS202002045138</v>
      </c>
      <c r="F1572" t="str">
        <f>"GUARDIAN"</f>
        <v>GUARDIAN</v>
      </c>
      <c r="G1572" s="2">
        <v>1923.24</v>
      </c>
      <c r="H1572" t="str">
        <f t="shared" si="30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30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30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30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30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30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30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30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30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30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30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30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30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30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30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30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30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30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30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30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30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30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30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30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30"/>
        <v>GUARDIAN</v>
      </c>
    </row>
    <row r="1597" spans="5:8" x14ac:dyDescent="0.25">
      <c r="E1597" t="str">
        <f>"GV1202002045138"</f>
        <v>GV1202002045138</v>
      </c>
      <c r="F1597" t="str">
        <f>"GUARDIAN VISION"</f>
        <v>GUARDIAN VISION</v>
      </c>
      <c r="G1597" s="2">
        <v>425.6</v>
      </c>
      <c r="H1597" t="str">
        <f>"GUARDIAN VISION"</f>
        <v>GUARDIAN VISION</v>
      </c>
    </row>
    <row r="1598" spans="5:8" x14ac:dyDescent="0.25">
      <c r="E1598" t="str">
        <f>"GVE202002045138"</f>
        <v>GVE202002045138</v>
      </c>
      <c r="F1598" t="str">
        <f>"GUARDIAN VISION VENDOR"</f>
        <v>GUARDIAN VISION VENDOR</v>
      </c>
      <c r="G1598" s="2">
        <v>612.54</v>
      </c>
      <c r="H1598" t="str">
        <f>"GUARDIAN VISION VENDOR"</f>
        <v>GUARDIAN VISION VENDOR</v>
      </c>
    </row>
    <row r="1599" spans="5:8" x14ac:dyDescent="0.25">
      <c r="E1599" t="str">
        <f>"GVE202002055139"</f>
        <v>GVE202002055139</v>
      </c>
      <c r="F1599" t="str">
        <f>"GUARDIAN VISION VENDOR"</f>
        <v>GUARDIAN VISION VENDOR</v>
      </c>
      <c r="G1599" s="2">
        <v>33.21</v>
      </c>
      <c r="H1599" t="str">
        <f>"GUARDIAN VISION VENDOR"</f>
        <v>GUARDIAN VISION VENDOR</v>
      </c>
    </row>
    <row r="1600" spans="5:8" x14ac:dyDescent="0.25">
      <c r="E1600" t="str">
        <f>"GVF202002045138"</f>
        <v>GVF202002045138</v>
      </c>
      <c r="F1600" t="str">
        <f>"GUARDIAN VISION"</f>
        <v>GUARDIAN VISION</v>
      </c>
      <c r="G1600" s="2">
        <v>561.45000000000005</v>
      </c>
      <c r="H1600" t="str">
        <f>"GUARDIAN VISION"</f>
        <v>GUARDIAN VISION</v>
      </c>
    </row>
    <row r="1601" spans="5:8" x14ac:dyDescent="0.25">
      <c r="E1601" t="str">
        <f>"GVF202002055139"</f>
        <v>GVF202002055139</v>
      </c>
      <c r="F1601" t="str">
        <f>"GUARDIAN VISION VENDOR"</f>
        <v>GUARDIAN VISION VENDOR</v>
      </c>
      <c r="G1601" s="2">
        <v>39.4</v>
      </c>
      <c r="H1601" t="str">
        <f>"GUARDIAN VISION VENDOR"</f>
        <v>GUARDIAN VISION VENDOR</v>
      </c>
    </row>
    <row r="1602" spans="5:8" x14ac:dyDescent="0.25">
      <c r="E1602" t="str">
        <f>"LIA202002045138"</f>
        <v>LIA202002045138</v>
      </c>
      <c r="F1602" t="str">
        <f>"GUARDIAN"</f>
        <v>GUARDIAN</v>
      </c>
      <c r="G1602" s="2">
        <v>189.14</v>
      </c>
      <c r="H1602" t="str">
        <f t="shared" ref="H1602:H1633" si="31">"GUARDIAN"</f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31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31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31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31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31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31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31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31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31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31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31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31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31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31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31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31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31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31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31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31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31"/>
        <v>GUARDIAN</v>
      </c>
    </row>
    <row r="1624" spans="5:8" x14ac:dyDescent="0.25">
      <c r="E1624" t="str">
        <f>"LIA202002055139"</f>
        <v>LIA202002055139</v>
      </c>
      <c r="F1624" t="str">
        <f>"GUARDIAN"</f>
        <v>GUARDIAN</v>
      </c>
      <c r="G1624" s="2">
        <v>40.799999999999997</v>
      </c>
      <c r="H1624" t="str">
        <f t="shared" si="31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31"/>
        <v>GUARDIAN</v>
      </c>
    </row>
    <row r="1626" spans="5:8" x14ac:dyDescent="0.25">
      <c r="E1626" t="str">
        <f>"LIC202002045138"</f>
        <v>LIC202002045138</v>
      </c>
      <c r="F1626" t="str">
        <f>"GUARDIAN"</f>
        <v>GUARDIAN</v>
      </c>
      <c r="G1626" s="2">
        <v>32.71</v>
      </c>
      <c r="H1626" t="str">
        <f t="shared" si="31"/>
        <v>GUARDIAN</v>
      </c>
    </row>
    <row r="1627" spans="5:8" x14ac:dyDescent="0.25">
      <c r="E1627" t="str">
        <f>"LIC202002055139"</f>
        <v>LIC202002055139</v>
      </c>
      <c r="F1627" t="str">
        <f>"GUARDIAN"</f>
        <v>GUARDIAN</v>
      </c>
      <c r="G1627" s="2">
        <v>1.05</v>
      </c>
      <c r="H1627" t="str">
        <f t="shared" si="31"/>
        <v>GUARDIAN</v>
      </c>
    </row>
    <row r="1628" spans="5:8" x14ac:dyDescent="0.25">
      <c r="E1628" t="str">
        <f>"LIE202002045138"</f>
        <v>LIE202002045138</v>
      </c>
      <c r="F1628" t="str">
        <f>"GUARDIAN"</f>
        <v>GUARDIAN</v>
      </c>
      <c r="G1628" s="2">
        <v>3824.67</v>
      </c>
      <c r="H1628" t="str">
        <f t="shared" si="31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31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31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31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31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31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ref="H1634:H1665" si="32">"GUARDIAN"</f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32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32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32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32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32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32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32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32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32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32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32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32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32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32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32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32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32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32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32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32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32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32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32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32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32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32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32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32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32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32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32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ref="H1666:H1686" si="33">"GUARDIAN"</f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33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33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33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33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33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33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33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33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33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33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33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33"/>
        <v>GUARDIAN</v>
      </c>
    </row>
    <row r="1679" spans="5:8" x14ac:dyDescent="0.25">
      <c r="E1679" t="str">
        <f>"LIE202002055139"</f>
        <v>LIE202002055139</v>
      </c>
      <c r="F1679" t="str">
        <f>"GUARDIAN"</f>
        <v>GUARDIAN</v>
      </c>
      <c r="G1679" s="2">
        <v>90.2</v>
      </c>
      <c r="H1679" t="str">
        <f t="shared" si="33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33"/>
        <v>GUARDIAN</v>
      </c>
    </row>
    <row r="1681" spans="1:8" x14ac:dyDescent="0.25">
      <c r="E1681" t="str">
        <f>"LIS202002045138"</f>
        <v>LIS202002045138</v>
      </c>
      <c r="F1681" t="str">
        <f t="shared" ref="F1681:F1686" si="34">"GUARDIAN"</f>
        <v>GUARDIAN</v>
      </c>
      <c r="G1681" s="2">
        <v>516.91999999999996</v>
      </c>
      <c r="H1681" t="str">
        <f t="shared" si="33"/>
        <v>GUARDIAN</v>
      </c>
    </row>
    <row r="1682" spans="1:8" x14ac:dyDescent="0.25">
      <c r="E1682" t="str">
        <f>"LIS202002055139"</f>
        <v>LIS202002055139</v>
      </c>
      <c r="F1682" t="str">
        <f t="shared" si="34"/>
        <v>GUARDIAN</v>
      </c>
      <c r="G1682" s="2">
        <v>36.15</v>
      </c>
      <c r="H1682" t="str">
        <f t="shared" si="33"/>
        <v>GUARDIAN</v>
      </c>
    </row>
    <row r="1683" spans="1:8" x14ac:dyDescent="0.25">
      <c r="E1683" t="str">
        <f>"LTD202002045138"</f>
        <v>LTD202002045138</v>
      </c>
      <c r="F1683" t="str">
        <f t="shared" si="34"/>
        <v>GUARDIAN</v>
      </c>
      <c r="G1683" s="2">
        <v>846.59</v>
      </c>
      <c r="H1683" t="str">
        <f t="shared" si="33"/>
        <v>GUARDIAN</v>
      </c>
    </row>
    <row r="1684" spans="1:8" x14ac:dyDescent="0.25">
      <c r="E1684" t="str">
        <f>"LTD202002055139"</f>
        <v>LTD202002055139</v>
      </c>
      <c r="F1684" t="str">
        <f t="shared" si="34"/>
        <v>GUARDIAN</v>
      </c>
      <c r="G1684" s="2">
        <v>6.11</v>
      </c>
      <c r="H1684" t="str">
        <f t="shared" si="33"/>
        <v>GUARDIAN</v>
      </c>
    </row>
    <row r="1685" spans="1:8" x14ac:dyDescent="0.25">
      <c r="A1685" t="s">
        <v>414</v>
      </c>
      <c r="B1685">
        <v>412</v>
      </c>
      <c r="C1685" s="2">
        <v>52.69</v>
      </c>
      <c r="D1685" s="1">
        <v>43868</v>
      </c>
      <c r="E1685" t="str">
        <f>"AEG202002045138"</f>
        <v>AEG202002045138</v>
      </c>
      <c r="F1685" t="str">
        <f t="shared" si="34"/>
        <v>GUARDIAN</v>
      </c>
      <c r="G1685" s="2">
        <v>6.66</v>
      </c>
      <c r="H1685" t="str">
        <f t="shared" si="33"/>
        <v>GUARDIAN</v>
      </c>
    </row>
    <row r="1686" spans="1:8" x14ac:dyDescent="0.25">
      <c r="E1686" t="str">
        <f>"AFG202002045138"</f>
        <v>AFG202002045138</v>
      </c>
      <c r="F1686" t="str">
        <f t="shared" si="34"/>
        <v>GUARDIAN</v>
      </c>
      <c r="G1686" s="2">
        <v>46.03</v>
      </c>
      <c r="H1686" t="str">
        <f t="shared" si="33"/>
        <v>GUARDIAN</v>
      </c>
    </row>
    <row r="1687" spans="1:8" x14ac:dyDescent="0.25">
      <c r="A1687" t="s">
        <v>414</v>
      </c>
      <c r="B1687">
        <v>425</v>
      </c>
      <c r="C1687" s="2">
        <v>22634.48</v>
      </c>
      <c r="D1687" s="1">
        <v>43886</v>
      </c>
      <c r="E1687" t="str">
        <f>"202002255469"</f>
        <v>202002255469</v>
      </c>
      <c r="F1687" t="str">
        <f>"RETIREE FEB 2020"</f>
        <v>RETIREE FEB 2020</v>
      </c>
      <c r="G1687" s="2">
        <v>3392.09</v>
      </c>
      <c r="H1687" t="str">
        <f>"RETIREE FEB 2020"</f>
        <v>RETIREE FEB 2020</v>
      </c>
    </row>
    <row r="1688" spans="1:8" x14ac:dyDescent="0.25">
      <c r="E1688" t="str">
        <f>"202002255471"</f>
        <v>202002255471</v>
      </c>
      <c r="F1688" t="str">
        <f>"D ZURITA GVF &amp; LIS OWES BC"</f>
        <v>D ZURITA GVF &amp; LIS OWES BC</v>
      </c>
      <c r="G1688" s="2">
        <v>82.47</v>
      </c>
      <c r="H1688" t="str">
        <f>"D ZURITA GVF &amp; LIS OWES BC"</f>
        <v>D ZURITA GVF &amp; LIS OWES BC</v>
      </c>
    </row>
    <row r="1689" spans="1:8" x14ac:dyDescent="0.25">
      <c r="E1689" t="str">
        <f>"ADC202002195431"</f>
        <v>ADC202002195431</v>
      </c>
      <c r="F1689" t="str">
        <f t="shared" ref="F1689:F1695" si="35">"GUARDIAN"</f>
        <v>GUARDIAN</v>
      </c>
      <c r="G1689" s="2">
        <v>4.97</v>
      </c>
      <c r="H1689" t="str">
        <f t="shared" ref="H1689:H1720" si="36">"GUARDIAN"</f>
        <v>GUARDIAN</v>
      </c>
    </row>
    <row r="1690" spans="1:8" x14ac:dyDescent="0.25">
      <c r="E1690" t="str">
        <f>"ADC202002195435"</f>
        <v>ADC202002195435</v>
      </c>
      <c r="F1690" t="str">
        <f t="shared" si="35"/>
        <v>GUARDIAN</v>
      </c>
      <c r="G1690" s="2">
        <v>0.16</v>
      </c>
      <c r="H1690" t="str">
        <f t="shared" si="36"/>
        <v>GUARDIAN</v>
      </c>
    </row>
    <row r="1691" spans="1:8" x14ac:dyDescent="0.25">
      <c r="E1691" t="str">
        <f>"ADE202002195431"</f>
        <v>ADE202002195431</v>
      </c>
      <c r="F1691" t="str">
        <f t="shared" si="35"/>
        <v>GUARDIAN</v>
      </c>
      <c r="G1691" s="2">
        <v>237.26</v>
      </c>
      <c r="H1691" t="str">
        <f t="shared" si="36"/>
        <v>GUARDIAN</v>
      </c>
    </row>
    <row r="1692" spans="1:8" x14ac:dyDescent="0.25">
      <c r="E1692" t="str">
        <f>"ADE202002195435"</f>
        <v>ADE202002195435</v>
      </c>
      <c r="F1692" t="str">
        <f t="shared" si="35"/>
        <v>GUARDIAN</v>
      </c>
      <c r="G1692" s="2">
        <v>6.3</v>
      </c>
      <c r="H1692" t="str">
        <f t="shared" si="36"/>
        <v>GUARDIAN</v>
      </c>
    </row>
    <row r="1693" spans="1:8" x14ac:dyDescent="0.25">
      <c r="E1693" t="str">
        <f>"ADS202002195431"</f>
        <v>ADS202002195431</v>
      </c>
      <c r="F1693" t="str">
        <f t="shared" si="35"/>
        <v>GUARDIAN</v>
      </c>
      <c r="G1693" s="2">
        <v>44.82</v>
      </c>
      <c r="H1693" t="str">
        <f t="shared" si="36"/>
        <v>GUARDIAN</v>
      </c>
    </row>
    <row r="1694" spans="1:8" x14ac:dyDescent="0.25">
      <c r="E1694" t="str">
        <f>"ADS202002195435"</f>
        <v>ADS202002195435</v>
      </c>
      <c r="F1694" t="str">
        <f t="shared" si="35"/>
        <v>GUARDIAN</v>
      </c>
      <c r="G1694" s="2">
        <v>0.53</v>
      </c>
      <c r="H1694" t="str">
        <f t="shared" si="36"/>
        <v>GUARDIAN</v>
      </c>
    </row>
    <row r="1695" spans="1:8" x14ac:dyDescent="0.25">
      <c r="E1695" t="str">
        <f>"GDC202002195431"</f>
        <v>GDC202002195431</v>
      </c>
      <c r="F1695" t="str">
        <f t="shared" si="35"/>
        <v>GUARDIAN</v>
      </c>
      <c r="G1695" s="2">
        <v>2750.76</v>
      </c>
      <c r="H1695" t="str">
        <f t="shared" si="36"/>
        <v>GUARDIAN</v>
      </c>
    </row>
    <row r="1696" spans="1:8" x14ac:dyDescent="0.25">
      <c r="E1696" t="str">
        <f>""</f>
        <v/>
      </c>
      <c r="F1696" t="str">
        <f>""</f>
        <v/>
      </c>
      <c r="H1696" t="str">
        <f t="shared" si="36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36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36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36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36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36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36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36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36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36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36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36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36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36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36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36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36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36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36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36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36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36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36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36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36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ref="H1721:H1752" si="37">"GUARDIAN"</f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37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37"/>
        <v>GUARDIAN</v>
      </c>
    </row>
    <row r="1724" spans="5:8" x14ac:dyDescent="0.25">
      <c r="E1724" t="str">
        <f>"GDC202002195435"</f>
        <v>GDC202002195435</v>
      </c>
      <c r="F1724" t="str">
        <f>"GUARDIAN"</f>
        <v>GUARDIAN</v>
      </c>
      <c r="G1724" s="2">
        <v>135.84</v>
      </c>
      <c r="H1724" t="str">
        <f t="shared" si="37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37"/>
        <v>GUARDIAN</v>
      </c>
    </row>
    <row r="1726" spans="5:8" x14ac:dyDescent="0.25">
      <c r="E1726" t="str">
        <f>"GDE202002195431"</f>
        <v>GDE202002195431</v>
      </c>
      <c r="F1726" t="str">
        <f>"GUARDIAN"</f>
        <v>GUARDIAN</v>
      </c>
      <c r="G1726" s="2">
        <v>4355.37</v>
      </c>
      <c r="H1726" t="str">
        <f t="shared" si="37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37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37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37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37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37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37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37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37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37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37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37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37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37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37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37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37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37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37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37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37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37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37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37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37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37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37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ref="H1753:H1784" si="38">"GUARDIAN"</f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38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38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38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38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38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38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38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38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38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38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38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38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38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38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38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38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38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38"/>
        <v>GUARDIAN</v>
      </c>
    </row>
    <row r="1772" spans="5:8" x14ac:dyDescent="0.25">
      <c r="E1772" t="str">
        <f>"GDE202002195435"</f>
        <v>GDE202002195435</v>
      </c>
      <c r="F1772" t="str">
        <f>"GUARDIAN"</f>
        <v>GUARDIAN</v>
      </c>
      <c r="G1772" s="2">
        <v>184.68</v>
      </c>
      <c r="H1772" t="str">
        <f t="shared" si="38"/>
        <v>GUARDIAN</v>
      </c>
    </row>
    <row r="1773" spans="5:8" x14ac:dyDescent="0.25">
      <c r="E1773" t="str">
        <f>"GDF202002195431"</f>
        <v>GDF202002195431</v>
      </c>
      <c r="F1773" t="str">
        <f>"GUARDIAN"</f>
        <v>GUARDIAN</v>
      </c>
      <c r="G1773" s="2">
        <v>2159.0300000000002</v>
      </c>
      <c r="H1773" t="str">
        <f t="shared" si="38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38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38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38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38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38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38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38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38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38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38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38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ref="H1785:H1821" si="39">"GUARDIAN"</f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39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39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39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39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39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39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39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39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39"/>
        <v>GUARDIAN</v>
      </c>
    </row>
    <row r="1795" spans="5:8" x14ac:dyDescent="0.25">
      <c r="E1795" t="str">
        <f>"GDF202002195435"</f>
        <v>GDF202002195435</v>
      </c>
      <c r="F1795" t="str">
        <f>"GUARDIAN"</f>
        <v>GUARDIAN</v>
      </c>
      <c r="G1795" s="2">
        <v>100.42</v>
      </c>
      <c r="H1795" t="str">
        <f t="shared" si="39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39"/>
        <v>GUARDIAN</v>
      </c>
    </row>
    <row r="1797" spans="5:8" x14ac:dyDescent="0.25">
      <c r="E1797" t="str">
        <f>"GDS202002195431"</f>
        <v>GDS202002195431</v>
      </c>
      <c r="F1797" t="str">
        <f>"GUARDIAN"</f>
        <v>GUARDIAN</v>
      </c>
      <c r="G1797" s="2">
        <v>1923.24</v>
      </c>
      <c r="H1797" t="str">
        <f t="shared" si="39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39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39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39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39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39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39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39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39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39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39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39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39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39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39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39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39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39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39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39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39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39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39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39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39"/>
        <v>GUARDIAN</v>
      </c>
    </row>
    <row r="1822" spans="5:8" x14ac:dyDescent="0.25">
      <c r="E1822" t="str">
        <f>"GV1202002195431"</f>
        <v>GV1202002195431</v>
      </c>
      <c r="F1822" t="str">
        <f>"GUARDIAN VISION"</f>
        <v>GUARDIAN VISION</v>
      </c>
      <c r="G1822" s="2">
        <v>425.6</v>
      </c>
      <c r="H1822" t="str">
        <f>"GUARDIAN VISION"</f>
        <v>GUARDIAN VISION</v>
      </c>
    </row>
    <row r="1823" spans="5:8" x14ac:dyDescent="0.25">
      <c r="E1823" t="str">
        <f>"GVE202002195431"</f>
        <v>GVE202002195431</v>
      </c>
      <c r="F1823" t="str">
        <f>"GUARDIAN VISION VENDOR"</f>
        <v>GUARDIAN VISION VENDOR</v>
      </c>
      <c r="G1823" s="2">
        <v>612.54</v>
      </c>
      <c r="H1823" t="str">
        <f>"GUARDIAN VISION VENDOR"</f>
        <v>GUARDIAN VISION VENDOR</v>
      </c>
    </row>
    <row r="1824" spans="5:8" x14ac:dyDescent="0.25">
      <c r="E1824" t="str">
        <f>"GVE202002195435"</f>
        <v>GVE202002195435</v>
      </c>
      <c r="F1824" t="str">
        <f>"GUARDIAN VISION VENDOR"</f>
        <v>GUARDIAN VISION VENDOR</v>
      </c>
      <c r="G1824" s="2">
        <v>33.21</v>
      </c>
      <c r="H1824" t="str">
        <f>"GUARDIAN VISION VENDOR"</f>
        <v>GUARDIAN VISION VENDOR</v>
      </c>
    </row>
    <row r="1825" spans="5:8" x14ac:dyDescent="0.25">
      <c r="E1825" t="str">
        <f>"GVF202002195431"</f>
        <v>GVF202002195431</v>
      </c>
      <c r="F1825" t="str">
        <f>"GUARDIAN VISION"</f>
        <v>GUARDIAN VISION</v>
      </c>
      <c r="G1825" s="2">
        <v>561.45000000000005</v>
      </c>
      <c r="H1825" t="str">
        <f>"GUARDIAN VISION"</f>
        <v>GUARDIAN VISION</v>
      </c>
    </row>
    <row r="1826" spans="5:8" x14ac:dyDescent="0.25">
      <c r="E1826" t="str">
        <f>"GVF202002195435"</f>
        <v>GVF202002195435</v>
      </c>
      <c r="F1826" t="str">
        <f>"GUARDIAN VISION VENDOR"</f>
        <v>GUARDIAN VISION VENDOR</v>
      </c>
      <c r="G1826" s="2">
        <v>39.4</v>
      </c>
      <c r="H1826" t="str">
        <f>"GUARDIAN VISION VENDOR"</f>
        <v>GUARDIAN VISION VENDOR</v>
      </c>
    </row>
    <row r="1827" spans="5:8" x14ac:dyDescent="0.25">
      <c r="E1827" t="str">
        <f>"LIA202002195431"</f>
        <v>LIA202002195431</v>
      </c>
      <c r="F1827" t="str">
        <f>"GUARDIAN"</f>
        <v>GUARDIAN</v>
      </c>
      <c r="G1827" s="2">
        <v>189.14</v>
      </c>
      <c r="H1827" t="str">
        <f t="shared" ref="H1827:H1858" si="40">"GUARDIAN"</f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40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40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40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40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40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40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40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40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40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40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40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40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40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40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40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40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40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40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40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40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40"/>
        <v>GUARDIAN</v>
      </c>
    </row>
    <row r="1849" spans="5:8" x14ac:dyDescent="0.25">
      <c r="E1849" t="str">
        <f>"LIA202002195435"</f>
        <v>LIA202002195435</v>
      </c>
      <c r="F1849" t="str">
        <f>"GUARDIAN"</f>
        <v>GUARDIAN</v>
      </c>
      <c r="G1849" s="2">
        <v>40.799999999999997</v>
      </c>
      <c r="H1849" t="str">
        <f t="shared" si="40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40"/>
        <v>GUARDIAN</v>
      </c>
    </row>
    <row r="1851" spans="5:8" x14ac:dyDescent="0.25">
      <c r="E1851" t="str">
        <f>"LIC202002195431"</f>
        <v>LIC202002195431</v>
      </c>
      <c r="F1851" t="str">
        <f>"GUARDIAN"</f>
        <v>GUARDIAN</v>
      </c>
      <c r="G1851" s="2">
        <v>32.71</v>
      </c>
      <c r="H1851" t="str">
        <f t="shared" si="40"/>
        <v>GUARDIAN</v>
      </c>
    </row>
    <row r="1852" spans="5:8" x14ac:dyDescent="0.25">
      <c r="E1852" t="str">
        <f>"LIC202002195435"</f>
        <v>LIC202002195435</v>
      </c>
      <c r="F1852" t="str">
        <f>"GUARDIAN"</f>
        <v>GUARDIAN</v>
      </c>
      <c r="G1852" s="2">
        <v>1.05</v>
      </c>
      <c r="H1852" t="str">
        <f t="shared" si="40"/>
        <v>GUARDIAN</v>
      </c>
    </row>
    <row r="1853" spans="5:8" x14ac:dyDescent="0.25">
      <c r="E1853" t="str">
        <f>"LIE202002195431"</f>
        <v>LIE202002195431</v>
      </c>
      <c r="F1853" t="str">
        <f>"GUARDIAN"</f>
        <v>GUARDIAN</v>
      </c>
      <c r="G1853" s="2">
        <v>3824.67</v>
      </c>
      <c r="H1853" t="str">
        <f t="shared" si="40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40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40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40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40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40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ref="H1859:H1890" si="41">"GUARDIAN"</f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41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41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41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41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41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41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41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41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41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41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41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41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41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41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41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41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41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41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41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41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41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41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41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41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41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41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41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41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41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41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41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ref="H1891:H1911" si="42">"GUARDIAN"</f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42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42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42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42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42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42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42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42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42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42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42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42"/>
        <v>GUARDIAN</v>
      </c>
    </row>
    <row r="1904" spans="5:8" x14ac:dyDescent="0.25">
      <c r="E1904" t="str">
        <f>"LIE202002195435"</f>
        <v>LIE202002195435</v>
      </c>
      <c r="F1904" t="str">
        <f>"GUARDIAN"</f>
        <v>GUARDIAN</v>
      </c>
      <c r="G1904" s="2">
        <v>90.2</v>
      </c>
      <c r="H1904" t="str">
        <f t="shared" si="42"/>
        <v>GUARDIAN</v>
      </c>
    </row>
    <row r="1905" spans="1:8" x14ac:dyDescent="0.25">
      <c r="E1905" t="str">
        <f>""</f>
        <v/>
      </c>
      <c r="F1905" t="str">
        <f>""</f>
        <v/>
      </c>
      <c r="H1905" t="str">
        <f t="shared" si="42"/>
        <v>GUARDIAN</v>
      </c>
    </row>
    <row r="1906" spans="1:8" x14ac:dyDescent="0.25">
      <c r="E1906" t="str">
        <f>"LIS202002195431"</f>
        <v>LIS202002195431</v>
      </c>
      <c r="F1906" t="str">
        <f t="shared" ref="F1906:F1911" si="43">"GUARDIAN"</f>
        <v>GUARDIAN</v>
      </c>
      <c r="G1906" s="2">
        <v>516.91999999999996</v>
      </c>
      <c r="H1906" t="str">
        <f t="shared" si="42"/>
        <v>GUARDIAN</v>
      </c>
    </row>
    <row r="1907" spans="1:8" x14ac:dyDescent="0.25">
      <c r="E1907" t="str">
        <f>"LIS202002195435"</f>
        <v>LIS202002195435</v>
      </c>
      <c r="F1907" t="str">
        <f t="shared" si="43"/>
        <v>GUARDIAN</v>
      </c>
      <c r="G1907" s="2">
        <v>36.15</v>
      </c>
      <c r="H1907" t="str">
        <f t="shared" si="42"/>
        <v>GUARDIAN</v>
      </c>
    </row>
    <row r="1908" spans="1:8" x14ac:dyDescent="0.25">
      <c r="E1908" t="str">
        <f>"LTD202002195431"</f>
        <v>LTD202002195431</v>
      </c>
      <c r="F1908" t="str">
        <f t="shared" si="43"/>
        <v>GUARDIAN</v>
      </c>
      <c r="G1908" s="2">
        <v>846.59</v>
      </c>
      <c r="H1908" t="str">
        <f t="shared" si="42"/>
        <v>GUARDIAN</v>
      </c>
    </row>
    <row r="1909" spans="1:8" x14ac:dyDescent="0.25">
      <c r="E1909" t="str">
        <f>"LTD202002195435"</f>
        <v>LTD202002195435</v>
      </c>
      <c r="F1909" t="str">
        <f t="shared" si="43"/>
        <v>GUARDIAN</v>
      </c>
      <c r="G1909" s="2">
        <v>6.11</v>
      </c>
      <c r="H1909" t="str">
        <f t="shared" si="42"/>
        <v>GUARDIAN</v>
      </c>
    </row>
    <row r="1910" spans="1:8" x14ac:dyDescent="0.25">
      <c r="A1910" t="s">
        <v>414</v>
      </c>
      <c r="B1910">
        <v>426</v>
      </c>
      <c r="C1910" s="2">
        <v>52.69</v>
      </c>
      <c r="D1910" s="1">
        <v>43886</v>
      </c>
      <c r="E1910" t="str">
        <f>"AEG202002195431"</f>
        <v>AEG202002195431</v>
      </c>
      <c r="F1910" t="str">
        <f t="shared" si="43"/>
        <v>GUARDIAN</v>
      </c>
      <c r="G1910" s="2">
        <v>6.66</v>
      </c>
      <c r="H1910" t="str">
        <f t="shared" si="42"/>
        <v>GUARDIAN</v>
      </c>
    </row>
    <row r="1911" spans="1:8" x14ac:dyDescent="0.25">
      <c r="E1911" t="str">
        <f>"AFG202002195431"</f>
        <v>AFG202002195431</v>
      </c>
      <c r="F1911" t="str">
        <f t="shared" si="43"/>
        <v>GUARDIAN</v>
      </c>
      <c r="G1911" s="2">
        <v>46.03</v>
      </c>
      <c r="H1911" t="str">
        <f t="shared" si="42"/>
        <v>GUARDIAN</v>
      </c>
    </row>
    <row r="1912" spans="1:8" x14ac:dyDescent="0.25">
      <c r="A1912" t="s">
        <v>415</v>
      </c>
      <c r="B1912">
        <v>382</v>
      </c>
      <c r="C1912" s="2">
        <v>251315.65</v>
      </c>
      <c r="D1912" s="1">
        <v>43868</v>
      </c>
      <c r="E1912" t="str">
        <f>"T1 202002045138"</f>
        <v>T1 202002045138</v>
      </c>
      <c r="F1912" t="str">
        <f>"FEDERAL WITHHOLDING"</f>
        <v>FEDERAL WITHHOLDING</v>
      </c>
      <c r="G1912" s="2">
        <v>86119.14</v>
      </c>
      <c r="H1912" t="str">
        <f>"FEDERAL WITHHOLDING"</f>
        <v>FEDERAL WITHHOLDING</v>
      </c>
    </row>
    <row r="1913" spans="1:8" x14ac:dyDescent="0.25">
      <c r="E1913" t="str">
        <f>"T1 202002055139"</f>
        <v>T1 202002055139</v>
      </c>
      <c r="F1913" t="str">
        <f>"FEDERAL WITHHOLDING"</f>
        <v>FEDERAL WITHHOLDING</v>
      </c>
      <c r="G1913" s="2">
        <v>3184.59</v>
      </c>
      <c r="H1913" t="str">
        <f>"FEDERAL WITHHOLDING"</f>
        <v>FEDERAL WITHHOLDING</v>
      </c>
    </row>
    <row r="1914" spans="1:8" x14ac:dyDescent="0.25">
      <c r="E1914" t="str">
        <f>"T1 202002055140"</f>
        <v>T1 202002055140</v>
      </c>
      <c r="F1914" t="str">
        <f>"FEDERAL WITHHOLDING"</f>
        <v>FEDERAL WITHHOLDING</v>
      </c>
      <c r="G1914" s="2">
        <v>3140.08</v>
      </c>
      <c r="H1914" t="str">
        <f>"FEDERAL WITHHOLDING"</f>
        <v>FEDERAL WITHHOLDING</v>
      </c>
    </row>
    <row r="1915" spans="1:8" x14ac:dyDescent="0.25">
      <c r="E1915" t="str">
        <f>"T3 202002045138"</f>
        <v>T3 202002045138</v>
      </c>
      <c r="F1915" t="str">
        <f>"SOCIAL SECURITY TAXES"</f>
        <v>SOCIAL SECURITY TAXES</v>
      </c>
      <c r="G1915" s="2">
        <v>119650.38</v>
      </c>
      <c r="H1915" t="str">
        <f t="shared" ref="H1915:H1946" si="44">"SOCIAL SECURITY TAXES"</f>
        <v>SOCIAL SECURITY TAXES</v>
      </c>
    </row>
    <row r="1916" spans="1:8" x14ac:dyDescent="0.25">
      <c r="E1916" t="str">
        <f>""</f>
        <v/>
      </c>
      <c r="F1916" t="str">
        <f>""</f>
        <v/>
      </c>
      <c r="H1916" t="str">
        <f t="shared" si="44"/>
        <v>SOCIAL SECURITY TAXES</v>
      </c>
    </row>
    <row r="1917" spans="1:8" x14ac:dyDescent="0.25">
      <c r="E1917" t="str">
        <f>""</f>
        <v/>
      </c>
      <c r="F1917" t="str">
        <f>""</f>
        <v/>
      </c>
      <c r="H1917" t="str">
        <f t="shared" si="44"/>
        <v>SOCIAL SECURITY TAXES</v>
      </c>
    </row>
    <row r="1918" spans="1:8" x14ac:dyDescent="0.25">
      <c r="E1918" t="str">
        <f>""</f>
        <v/>
      </c>
      <c r="F1918" t="str">
        <f>""</f>
        <v/>
      </c>
      <c r="H1918" t="str">
        <f t="shared" si="44"/>
        <v>SOCIAL SECURITY TAXES</v>
      </c>
    </row>
    <row r="1919" spans="1:8" x14ac:dyDescent="0.25">
      <c r="E1919" t="str">
        <f>""</f>
        <v/>
      </c>
      <c r="F1919" t="str">
        <f>""</f>
        <v/>
      </c>
      <c r="H1919" t="str">
        <f t="shared" si="44"/>
        <v>SOCIAL SECURITY TAXES</v>
      </c>
    </row>
    <row r="1920" spans="1:8" x14ac:dyDescent="0.25">
      <c r="E1920" t="str">
        <f>""</f>
        <v/>
      </c>
      <c r="F1920" t="str">
        <f>""</f>
        <v/>
      </c>
      <c r="H1920" t="str">
        <f t="shared" si="44"/>
        <v>SOCIAL SECURITY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44"/>
        <v>SOCIAL SECURITY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44"/>
        <v>SOCIAL SECURITY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44"/>
        <v>SOCIAL SECURITY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44"/>
        <v>SOCIAL SECURITY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44"/>
        <v>SOCIAL SECURITY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44"/>
        <v>SOCIAL SECURITY TAXES</v>
      </c>
    </row>
    <row r="1927" spans="5:8" x14ac:dyDescent="0.25">
      <c r="E1927" t="str">
        <f>""</f>
        <v/>
      </c>
      <c r="F1927" t="str">
        <f>""</f>
        <v/>
      </c>
      <c r="H1927" t="str">
        <f t="shared" si="44"/>
        <v>SOCIAL SECURITY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44"/>
        <v>SOCIAL SECURITY TAXES</v>
      </c>
    </row>
    <row r="1929" spans="5:8" x14ac:dyDescent="0.25">
      <c r="E1929" t="str">
        <f>""</f>
        <v/>
      </c>
      <c r="F1929" t="str">
        <f>""</f>
        <v/>
      </c>
      <c r="H1929" t="str">
        <f t="shared" si="44"/>
        <v>SOCIAL SECURITY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44"/>
        <v>SOCIAL SECURITY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44"/>
        <v>SOCIAL SECURITY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44"/>
        <v>SOCIAL SECURITY TAXES</v>
      </c>
    </row>
    <row r="1933" spans="5:8" x14ac:dyDescent="0.25">
      <c r="E1933" t="str">
        <f>""</f>
        <v/>
      </c>
      <c r="F1933" t="str">
        <f>""</f>
        <v/>
      </c>
      <c r="H1933" t="str">
        <f t="shared" si="44"/>
        <v>SOCIAL SECURITY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44"/>
        <v>SOCIAL SECURITY TAXES</v>
      </c>
    </row>
    <row r="1935" spans="5:8" x14ac:dyDescent="0.25">
      <c r="E1935" t="str">
        <f>""</f>
        <v/>
      </c>
      <c r="F1935" t="str">
        <f>""</f>
        <v/>
      </c>
      <c r="H1935" t="str">
        <f t="shared" si="44"/>
        <v>SOCIAL SECURITY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44"/>
        <v>SOCIAL SECURITY TAXES</v>
      </c>
    </row>
    <row r="1937" spans="5:8" x14ac:dyDescent="0.25">
      <c r="E1937" t="str">
        <f>""</f>
        <v/>
      </c>
      <c r="F1937" t="str">
        <f>""</f>
        <v/>
      </c>
      <c r="H1937" t="str">
        <f t="shared" si="44"/>
        <v>SOCIAL SECURITY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44"/>
        <v>SOCIAL SECURITY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44"/>
        <v>SOCIAL SECURITY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44"/>
        <v>SOCIAL SECURITY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44"/>
        <v>SOCIAL SECURITY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44"/>
        <v>SOCIAL SECURITY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44"/>
        <v>SOCIAL SECURITY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44"/>
        <v>SOCIAL SECURITY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44"/>
        <v>SOCIAL SECURITY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44"/>
        <v>SOCIAL SECURITY TAXES</v>
      </c>
    </row>
    <row r="1947" spans="5:8" x14ac:dyDescent="0.25">
      <c r="E1947" t="str">
        <f>""</f>
        <v/>
      </c>
      <c r="F1947" t="str">
        <f>""</f>
        <v/>
      </c>
      <c r="H1947" t="str">
        <f t="shared" ref="H1947:H1971" si="45">"SOCIAL SECURITY TAXES"</f>
        <v>SOCIAL SECURITY TAXES</v>
      </c>
    </row>
    <row r="1948" spans="5:8" x14ac:dyDescent="0.25">
      <c r="E1948" t="str">
        <f>""</f>
        <v/>
      </c>
      <c r="F1948" t="str">
        <f>""</f>
        <v/>
      </c>
      <c r="H1948" t="str">
        <f t="shared" si="45"/>
        <v>SOCIAL SECURITY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45"/>
        <v>SOCIAL SECURITY TAXES</v>
      </c>
    </row>
    <row r="1950" spans="5:8" x14ac:dyDescent="0.25">
      <c r="E1950" t="str">
        <f>""</f>
        <v/>
      </c>
      <c r="F1950" t="str">
        <f>""</f>
        <v/>
      </c>
      <c r="H1950" t="str">
        <f t="shared" si="45"/>
        <v>SOCIAL SECURITY TAXES</v>
      </c>
    </row>
    <row r="1951" spans="5:8" x14ac:dyDescent="0.25">
      <c r="E1951" t="str">
        <f>""</f>
        <v/>
      </c>
      <c r="F1951" t="str">
        <f>""</f>
        <v/>
      </c>
      <c r="H1951" t="str">
        <f t="shared" si="45"/>
        <v>SOCIAL SECURITY TAXES</v>
      </c>
    </row>
    <row r="1952" spans="5:8" x14ac:dyDescent="0.25">
      <c r="E1952" t="str">
        <f>""</f>
        <v/>
      </c>
      <c r="F1952" t="str">
        <f>""</f>
        <v/>
      </c>
      <c r="H1952" t="str">
        <f t="shared" si="45"/>
        <v>SOCIAL SECURITY TAXES</v>
      </c>
    </row>
    <row r="1953" spans="5:8" x14ac:dyDescent="0.25">
      <c r="E1953" t="str">
        <f>""</f>
        <v/>
      </c>
      <c r="F1953" t="str">
        <f>""</f>
        <v/>
      </c>
      <c r="H1953" t="str">
        <f t="shared" si="45"/>
        <v>SOCIAL SECURITY TAXES</v>
      </c>
    </row>
    <row r="1954" spans="5:8" x14ac:dyDescent="0.25">
      <c r="E1954" t="str">
        <f>""</f>
        <v/>
      </c>
      <c r="F1954" t="str">
        <f>""</f>
        <v/>
      </c>
      <c r="H1954" t="str">
        <f t="shared" si="45"/>
        <v>SOCIAL SECURITY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45"/>
        <v>SOCIAL SECURITY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45"/>
        <v>SOCIAL SECURITY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45"/>
        <v>SOCIAL SECURITY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45"/>
        <v>SOCIAL SECURITY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45"/>
        <v>SOCIAL SECURITY TAXES</v>
      </c>
    </row>
    <row r="1960" spans="5:8" x14ac:dyDescent="0.25">
      <c r="E1960" t="str">
        <f>""</f>
        <v/>
      </c>
      <c r="F1960" t="str">
        <f>""</f>
        <v/>
      </c>
      <c r="H1960" t="str">
        <f t="shared" si="45"/>
        <v>SOCIAL SECURITY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45"/>
        <v>SOCIAL SECURITY TAXES</v>
      </c>
    </row>
    <row r="1962" spans="5:8" x14ac:dyDescent="0.25">
      <c r="E1962" t="str">
        <f>""</f>
        <v/>
      </c>
      <c r="F1962" t="str">
        <f>""</f>
        <v/>
      </c>
      <c r="H1962" t="str">
        <f t="shared" si="45"/>
        <v>SOCIAL SECURITY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45"/>
        <v>SOCIAL SECURITY TAXES</v>
      </c>
    </row>
    <row r="1964" spans="5:8" x14ac:dyDescent="0.25">
      <c r="E1964" t="str">
        <f>""</f>
        <v/>
      </c>
      <c r="F1964" t="str">
        <f>""</f>
        <v/>
      </c>
      <c r="H1964" t="str">
        <f t="shared" si="45"/>
        <v>SOCIAL SECURITY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45"/>
        <v>SOCIAL SECURITY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45"/>
        <v>SOCIAL SECURITY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45"/>
        <v>SOCIAL SECURITY TAXES</v>
      </c>
    </row>
    <row r="1968" spans="5:8" x14ac:dyDescent="0.25">
      <c r="E1968" t="str">
        <f>"T3 202002055139"</f>
        <v>T3 202002055139</v>
      </c>
      <c r="F1968" t="str">
        <f>"SOCIAL SECURITY TAXES"</f>
        <v>SOCIAL SECURITY TAXES</v>
      </c>
      <c r="G1968" s="2">
        <v>4404.22</v>
      </c>
      <c r="H1968" t="str">
        <f t="shared" si="45"/>
        <v>SOCIAL SECURITY TAXES</v>
      </c>
    </row>
    <row r="1969" spans="5:8" x14ac:dyDescent="0.25">
      <c r="E1969" t="str">
        <f>""</f>
        <v/>
      </c>
      <c r="F1969" t="str">
        <f>""</f>
        <v/>
      </c>
      <c r="H1969" t="str">
        <f t="shared" si="45"/>
        <v>SOCIAL SECURITY TAXES</v>
      </c>
    </row>
    <row r="1970" spans="5:8" x14ac:dyDescent="0.25">
      <c r="E1970" t="str">
        <f>"T3 202002055140"</f>
        <v>T3 202002055140</v>
      </c>
      <c r="F1970" t="str">
        <f>"SOCIAL SECURITY TAXES"</f>
        <v>SOCIAL SECURITY TAXES</v>
      </c>
      <c r="G1970" s="2">
        <v>4704.3999999999996</v>
      </c>
      <c r="H1970" t="str">
        <f t="shared" si="45"/>
        <v>SOCIAL SECURITY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45"/>
        <v>SOCIAL SECURITY TAXES</v>
      </c>
    </row>
    <row r="1972" spans="5:8" x14ac:dyDescent="0.25">
      <c r="E1972" t="str">
        <f>"T4 202002045138"</f>
        <v>T4 202002045138</v>
      </c>
      <c r="F1972" t="str">
        <f>"MEDICARE TAXES"</f>
        <v>MEDICARE TAXES</v>
      </c>
      <c r="G1972" s="2">
        <v>27982.639999999999</v>
      </c>
      <c r="H1972" t="str">
        <f t="shared" ref="H1972:H2003" si="46">"MEDICARE TAXES"</f>
        <v>MEDICARE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46"/>
        <v>MEDICARE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46"/>
        <v>MEDICARE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46"/>
        <v>MEDICARE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46"/>
        <v>MEDICARE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46"/>
        <v>MEDICARE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46"/>
        <v>MEDICARE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46"/>
        <v>MEDICARE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46"/>
        <v>MEDICARE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46"/>
        <v>MEDICARE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46"/>
        <v>MEDICARE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46"/>
        <v>MEDICARE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46"/>
        <v>MEDICARE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46"/>
        <v>MEDICARE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46"/>
        <v>MEDICARE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46"/>
        <v>MEDICARE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46"/>
        <v>MEDICARE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46"/>
        <v>MEDICARE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46"/>
        <v>MEDICARE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46"/>
        <v>MEDICARE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46"/>
        <v>MEDICARE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46"/>
        <v>MEDICARE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46"/>
        <v>MEDICARE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46"/>
        <v>MEDICARE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46"/>
        <v>MEDICARE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46"/>
        <v>MEDICARE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46"/>
        <v>MEDICARE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46"/>
        <v>MEDICARE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46"/>
        <v>MEDICARE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46"/>
        <v>MEDICARE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46"/>
        <v>MEDICARE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46"/>
        <v>MEDICARE TAXES</v>
      </c>
    </row>
    <row r="2004" spans="5:8" x14ac:dyDescent="0.25">
      <c r="E2004" t="str">
        <f>""</f>
        <v/>
      </c>
      <c r="F2004" t="str">
        <f>""</f>
        <v/>
      </c>
      <c r="H2004" t="str">
        <f t="shared" ref="H2004:H2028" si="47">"MEDICARE TAXES"</f>
        <v>MEDICARE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47"/>
        <v>MEDICARE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47"/>
        <v>MEDICARE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47"/>
        <v>MEDICARE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47"/>
        <v>MEDICARE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47"/>
        <v>MEDICARE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47"/>
        <v>MEDICARE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47"/>
        <v>MEDICARE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47"/>
        <v>MEDICARE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47"/>
        <v>MEDICARE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47"/>
        <v>MEDICARE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47"/>
        <v>MEDICARE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47"/>
        <v>MEDICARE TAXES</v>
      </c>
    </row>
    <row r="2017" spans="1:8" x14ac:dyDescent="0.25">
      <c r="E2017" t="str">
        <f>""</f>
        <v/>
      </c>
      <c r="F2017" t="str">
        <f>""</f>
        <v/>
      </c>
      <c r="H2017" t="str">
        <f t="shared" si="47"/>
        <v>MEDICARE TAXES</v>
      </c>
    </row>
    <row r="2018" spans="1:8" x14ac:dyDescent="0.25">
      <c r="E2018" t="str">
        <f>""</f>
        <v/>
      </c>
      <c r="F2018" t="str">
        <f>""</f>
        <v/>
      </c>
      <c r="H2018" t="str">
        <f t="shared" si="47"/>
        <v>MEDICARE TAXES</v>
      </c>
    </row>
    <row r="2019" spans="1:8" x14ac:dyDescent="0.25">
      <c r="E2019" t="str">
        <f>""</f>
        <v/>
      </c>
      <c r="F2019" t="str">
        <f>""</f>
        <v/>
      </c>
      <c r="H2019" t="str">
        <f t="shared" si="47"/>
        <v>MEDICARE TAXES</v>
      </c>
    </row>
    <row r="2020" spans="1:8" x14ac:dyDescent="0.25">
      <c r="E2020" t="str">
        <f>""</f>
        <v/>
      </c>
      <c r="F2020" t="str">
        <f>""</f>
        <v/>
      </c>
      <c r="H2020" t="str">
        <f t="shared" si="47"/>
        <v>MEDICARE TAXES</v>
      </c>
    </row>
    <row r="2021" spans="1:8" x14ac:dyDescent="0.25">
      <c r="E2021" t="str">
        <f>""</f>
        <v/>
      </c>
      <c r="F2021" t="str">
        <f>""</f>
        <v/>
      </c>
      <c r="H2021" t="str">
        <f t="shared" si="47"/>
        <v>MEDICARE TAXES</v>
      </c>
    </row>
    <row r="2022" spans="1:8" x14ac:dyDescent="0.25">
      <c r="E2022" t="str">
        <f>""</f>
        <v/>
      </c>
      <c r="F2022" t="str">
        <f>""</f>
        <v/>
      </c>
      <c r="H2022" t="str">
        <f t="shared" si="47"/>
        <v>MEDICARE TAXES</v>
      </c>
    </row>
    <row r="2023" spans="1:8" x14ac:dyDescent="0.25">
      <c r="E2023" t="str">
        <f>""</f>
        <v/>
      </c>
      <c r="F2023" t="str">
        <f>""</f>
        <v/>
      </c>
      <c r="H2023" t="str">
        <f t="shared" si="47"/>
        <v>MEDICARE TAXES</v>
      </c>
    </row>
    <row r="2024" spans="1:8" x14ac:dyDescent="0.25">
      <c r="E2024" t="str">
        <f>""</f>
        <v/>
      </c>
      <c r="F2024" t="str">
        <f>""</f>
        <v/>
      </c>
      <c r="H2024" t="str">
        <f t="shared" si="47"/>
        <v>MEDICARE TAXES</v>
      </c>
    </row>
    <row r="2025" spans="1:8" x14ac:dyDescent="0.25">
      <c r="E2025" t="str">
        <f>"T4 202002055139"</f>
        <v>T4 202002055139</v>
      </c>
      <c r="F2025" t="str">
        <f>"MEDICARE TAXES"</f>
        <v>MEDICARE TAXES</v>
      </c>
      <c r="G2025" s="2">
        <v>1030.04</v>
      </c>
      <c r="H2025" t="str">
        <f t="shared" si="47"/>
        <v>MEDICARE TAXES</v>
      </c>
    </row>
    <row r="2026" spans="1:8" x14ac:dyDescent="0.25">
      <c r="E2026" t="str">
        <f>""</f>
        <v/>
      </c>
      <c r="F2026" t="str">
        <f>""</f>
        <v/>
      </c>
      <c r="H2026" t="str">
        <f t="shared" si="47"/>
        <v>MEDICARE TAXES</v>
      </c>
    </row>
    <row r="2027" spans="1:8" x14ac:dyDescent="0.25">
      <c r="E2027" t="str">
        <f>"T4 202002055140"</f>
        <v>T4 202002055140</v>
      </c>
      <c r="F2027" t="str">
        <f>"MEDICARE TAXES"</f>
        <v>MEDICARE TAXES</v>
      </c>
      <c r="G2027" s="2">
        <v>1100.1600000000001</v>
      </c>
      <c r="H2027" t="str">
        <f t="shared" si="47"/>
        <v>MEDICARE TAXES</v>
      </c>
    </row>
    <row r="2028" spans="1:8" x14ac:dyDescent="0.25">
      <c r="E2028" t="str">
        <f>""</f>
        <v/>
      </c>
      <c r="F2028" t="str">
        <f>""</f>
        <v/>
      </c>
      <c r="H2028" t="str">
        <f t="shared" si="47"/>
        <v>MEDICARE TAXES</v>
      </c>
    </row>
    <row r="2029" spans="1:8" x14ac:dyDescent="0.25">
      <c r="A2029" t="s">
        <v>415</v>
      </c>
      <c r="B2029">
        <v>416</v>
      </c>
      <c r="C2029" s="2">
        <v>248740.23</v>
      </c>
      <c r="D2029" s="1">
        <v>43882</v>
      </c>
      <c r="E2029" t="str">
        <f>"T1 202002195431"</f>
        <v>T1 202002195431</v>
      </c>
      <c r="F2029" t="str">
        <f>"FEDERAL WITHHOLDING"</f>
        <v>FEDERAL WITHHOLDING</v>
      </c>
      <c r="G2029" s="2">
        <v>84653.6</v>
      </c>
      <c r="H2029" t="str">
        <f>"FEDERAL WITHHOLDING"</f>
        <v>FEDERAL WITHHOLDING</v>
      </c>
    </row>
    <row r="2030" spans="1:8" x14ac:dyDescent="0.25">
      <c r="E2030" t="str">
        <f>"T1 202002195435"</f>
        <v>T1 202002195435</v>
      </c>
      <c r="F2030" t="str">
        <f>"FEDERAL WITHHOLDING"</f>
        <v>FEDERAL WITHHOLDING</v>
      </c>
      <c r="G2030" s="2">
        <v>3203.74</v>
      </c>
      <c r="H2030" t="str">
        <f>"FEDERAL WITHHOLDING"</f>
        <v>FEDERAL WITHHOLDING</v>
      </c>
    </row>
    <row r="2031" spans="1:8" x14ac:dyDescent="0.25">
      <c r="E2031" t="str">
        <f>"T1 202002195436"</f>
        <v>T1 202002195436</v>
      </c>
      <c r="F2031" t="str">
        <f>"FEDERAL WITHHOLDING"</f>
        <v>FEDERAL WITHHOLDING</v>
      </c>
      <c r="G2031" s="2">
        <v>3132.47</v>
      </c>
      <c r="H2031" t="str">
        <f>"FEDERAL WITHHOLDING"</f>
        <v>FEDERAL WITHHOLDING</v>
      </c>
    </row>
    <row r="2032" spans="1:8" x14ac:dyDescent="0.25">
      <c r="E2032" t="str">
        <f>"T3 202002195431"</f>
        <v>T3 202002195431</v>
      </c>
      <c r="F2032" t="str">
        <f>"SOCIAL SECURITY TAXES"</f>
        <v>SOCIAL SECURITY TAXES</v>
      </c>
      <c r="G2032" s="2">
        <v>118731.22</v>
      </c>
      <c r="H2032" t="str">
        <f t="shared" ref="H2032:H2063" si="48">"SOCIAL SECURITY TAXES"</f>
        <v>SOCIAL SECURITY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48"/>
        <v>SOCIAL SECURITY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48"/>
        <v>SOCIAL SECURITY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48"/>
        <v>SOCIAL SECURITY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48"/>
        <v>SOCIAL SECURITY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48"/>
        <v>SOCIAL SECURITY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48"/>
        <v>SOCIAL SECURITY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48"/>
        <v>SOCIAL SECURITY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48"/>
        <v>SOCIAL SECURITY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48"/>
        <v>SOCIAL SECURITY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48"/>
        <v>SOCIAL SECURITY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48"/>
        <v>SOCIAL SECURITY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48"/>
        <v>SOCIAL SECURITY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48"/>
        <v>SOCIAL SECURITY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48"/>
        <v>SOCIAL SECURITY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48"/>
        <v>SOCIAL SECURITY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48"/>
        <v>SOCIAL SECURITY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48"/>
        <v>SOCIAL SECURITY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48"/>
        <v>SOCIAL SECURITY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48"/>
        <v>SOCIAL SECURITY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48"/>
        <v>SOCIAL SECURITY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48"/>
        <v>SOCIAL SECURITY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48"/>
        <v>SOCIAL SECURITY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48"/>
        <v>SOCIAL SECURITY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48"/>
        <v>SOCIAL SECURITY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48"/>
        <v>SOCIAL SECURITY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48"/>
        <v>SOCIAL SECURITY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48"/>
        <v>SOCIAL SECURITY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48"/>
        <v>SOCIAL SECURITY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48"/>
        <v>SOCIAL SECURITY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48"/>
        <v>SOCIAL SECURITY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48"/>
        <v>SOCIAL SECURITY TAXES</v>
      </c>
    </row>
    <row r="2064" spans="5:8" x14ac:dyDescent="0.25">
      <c r="E2064" t="str">
        <f>""</f>
        <v/>
      </c>
      <c r="F2064" t="str">
        <f>""</f>
        <v/>
      </c>
      <c r="H2064" t="str">
        <f t="shared" ref="H2064:H2088" si="49">"SOCIAL SECURITY TAXES"</f>
        <v>SOCIAL SECURITY TAXES</v>
      </c>
    </row>
    <row r="2065" spans="5:8" x14ac:dyDescent="0.25">
      <c r="E2065" t="str">
        <f>""</f>
        <v/>
      </c>
      <c r="F2065" t="str">
        <f>""</f>
        <v/>
      </c>
      <c r="H2065" t="str">
        <f t="shared" si="49"/>
        <v>SOCIAL SECURITY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49"/>
        <v>SOCIAL SECURITY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49"/>
        <v>SOCIAL SECURITY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49"/>
        <v>SOCIAL SECURITY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49"/>
        <v>SOCIAL SECURITY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49"/>
        <v>SOCIAL SECURITY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49"/>
        <v>SOCIAL SECURITY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49"/>
        <v>SOCIAL SECURITY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49"/>
        <v>SOCIAL SECURITY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49"/>
        <v>SOCIAL SECURITY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49"/>
        <v>SOCIAL SECURITY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49"/>
        <v>SOCIAL SECURITY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49"/>
        <v>SOCIAL SECURITY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49"/>
        <v>SOCIAL SECURITY TAXES</v>
      </c>
    </row>
    <row r="2079" spans="5:8" x14ac:dyDescent="0.25">
      <c r="E2079" t="str">
        <f>""</f>
        <v/>
      </c>
      <c r="F2079" t="str">
        <f>""</f>
        <v/>
      </c>
      <c r="H2079" t="str">
        <f t="shared" si="49"/>
        <v>SOCIAL SECURITY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49"/>
        <v>SOCIAL SECURITY TAXES</v>
      </c>
    </row>
    <row r="2081" spans="5:8" x14ac:dyDescent="0.25">
      <c r="E2081" t="str">
        <f>""</f>
        <v/>
      </c>
      <c r="F2081" t="str">
        <f>""</f>
        <v/>
      </c>
      <c r="H2081" t="str">
        <f t="shared" si="49"/>
        <v>SOCIAL SECURITY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49"/>
        <v>SOCIAL SECURITY TAXES</v>
      </c>
    </row>
    <row r="2083" spans="5:8" x14ac:dyDescent="0.25">
      <c r="E2083" t="str">
        <f>""</f>
        <v/>
      </c>
      <c r="F2083" t="str">
        <f>""</f>
        <v/>
      </c>
      <c r="H2083" t="str">
        <f t="shared" si="49"/>
        <v>SOCIAL SECURITY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49"/>
        <v>SOCIAL SECURITY TAXES</v>
      </c>
    </row>
    <row r="2085" spans="5:8" x14ac:dyDescent="0.25">
      <c r="E2085" t="str">
        <f>"T3 202002195435"</f>
        <v>T3 202002195435</v>
      </c>
      <c r="F2085" t="str">
        <f>"SOCIAL SECURITY TAXES"</f>
        <v>SOCIAL SECURITY TAXES</v>
      </c>
      <c r="G2085" s="2">
        <v>4422.5600000000004</v>
      </c>
      <c r="H2085" t="str">
        <f t="shared" si="49"/>
        <v>SOCIAL SECURITY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49"/>
        <v>SOCIAL SECURITY TAXES</v>
      </c>
    </row>
    <row r="2087" spans="5:8" x14ac:dyDescent="0.25">
      <c r="E2087" t="str">
        <f>"T3 202002195436"</f>
        <v>T3 202002195436</v>
      </c>
      <c r="F2087" t="str">
        <f>"SOCIAL SECURITY TAXES"</f>
        <v>SOCIAL SECURITY TAXES</v>
      </c>
      <c r="G2087" s="2">
        <v>4696.34</v>
      </c>
      <c r="H2087" t="str">
        <f t="shared" si="49"/>
        <v>SOCIAL SECURITY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49"/>
        <v>SOCIAL SECURITY TAXES</v>
      </c>
    </row>
    <row r="2089" spans="5:8" x14ac:dyDescent="0.25">
      <c r="E2089" t="str">
        <f>"T4 202002195431"</f>
        <v>T4 202002195431</v>
      </c>
      <c r="F2089" t="str">
        <f>"MEDICARE TAXES"</f>
        <v>MEDICARE TAXES</v>
      </c>
      <c r="G2089" s="2">
        <v>27767.7</v>
      </c>
      <c r="H2089" t="str">
        <f t="shared" ref="H2089:H2120" si="50">"MEDICARE TAXES"</f>
        <v>MEDICARE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50"/>
        <v>MEDICARE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50"/>
        <v>MEDICARE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50"/>
        <v>MEDICARE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50"/>
        <v>MEDICARE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50"/>
        <v>MEDICARE TAXES</v>
      </c>
    </row>
    <row r="2095" spans="5:8" x14ac:dyDescent="0.25">
      <c r="E2095" t="str">
        <f>""</f>
        <v/>
      </c>
      <c r="F2095" t="str">
        <f>""</f>
        <v/>
      </c>
      <c r="H2095" t="str">
        <f t="shared" si="50"/>
        <v>MEDICARE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50"/>
        <v>MEDICARE TAXES</v>
      </c>
    </row>
    <row r="2097" spans="5:8" x14ac:dyDescent="0.25">
      <c r="E2097" t="str">
        <f>""</f>
        <v/>
      </c>
      <c r="F2097" t="str">
        <f>""</f>
        <v/>
      </c>
      <c r="H2097" t="str">
        <f t="shared" si="50"/>
        <v>MEDICARE TAXES</v>
      </c>
    </row>
    <row r="2098" spans="5:8" x14ac:dyDescent="0.25">
      <c r="E2098" t="str">
        <f>""</f>
        <v/>
      </c>
      <c r="F2098" t="str">
        <f>""</f>
        <v/>
      </c>
      <c r="H2098" t="str">
        <f t="shared" si="50"/>
        <v>MEDICARE TAXES</v>
      </c>
    </row>
    <row r="2099" spans="5:8" x14ac:dyDescent="0.25">
      <c r="E2099" t="str">
        <f>""</f>
        <v/>
      </c>
      <c r="F2099" t="str">
        <f>""</f>
        <v/>
      </c>
      <c r="H2099" t="str">
        <f t="shared" si="50"/>
        <v>MEDICARE TAXES</v>
      </c>
    </row>
    <row r="2100" spans="5:8" x14ac:dyDescent="0.25">
      <c r="E2100" t="str">
        <f>""</f>
        <v/>
      </c>
      <c r="F2100" t="str">
        <f>""</f>
        <v/>
      </c>
      <c r="H2100" t="str">
        <f t="shared" si="50"/>
        <v>MEDICARE TAXES</v>
      </c>
    </row>
    <row r="2101" spans="5:8" x14ac:dyDescent="0.25">
      <c r="E2101" t="str">
        <f>""</f>
        <v/>
      </c>
      <c r="F2101" t="str">
        <f>""</f>
        <v/>
      </c>
      <c r="H2101" t="str">
        <f t="shared" si="50"/>
        <v>MEDICARE TAXES</v>
      </c>
    </row>
    <row r="2102" spans="5:8" x14ac:dyDescent="0.25">
      <c r="E2102" t="str">
        <f>""</f>
        <v/>
      </c>
      <c r="F2102" t="str">
        <f>""</f>
        <v/>
      </c>
      <c r="H2102" t="str">
        <f t="shared" si="50"/>
        <v>MEDICARE TAXES</v>
      </c>
    </row>
    <row r="2103" spans="5:8" x14ac:dyDescent="0.25">
      <c r="E2103" t="str">
        <f>""</f>
        <v/>
      </c>
      <c r="F2103" t="str">
        <f>""</f>
        <v/>
      </c>
      <c r="H2103" t="str">
        <f t="shared" si="50"/>
        <v>MEDICARE TAXES</v>
      </c>
    </row>
    <row r="2104" spans="5:8" x14ac:dyDescent="0.25">
      <c r="E2104" t="str">
        <f>""</f>
        <v/>
      </c>
      <c r="F2104" t="str">
        <f>""</f>
        <v/>
      </c>
      <c r="H2104" t="str">
        <f t="shared" si="50"/>
        <v>MEDICARE TAXES</v>
      </c>
    </row>
    <row r="2105" spans="5:8" x14ac:dyDescent="0.25">
      <c r="E2105" t="str">
        <f>""</f>
        <v/>
      </c>
      <c r="F2105" t="str">
        <f>""</f>
        <v/>
      </c>
      <c r="H2105" t="str">
        <f t="shared" si="50"/>
        <v>MEDICARE TAXES</v>
      </c>
    </row>
    <row r="2106" spans="5:8" x14ac:dyDescent="0.25">
      <c r="E2106" t="str">
        <f>""</f>
        <v/>
      </c>
      <c r="F2106" t="str">
        <f>""</f>
        <v/>
      </c>
      <c r="H2106" t="str">
        <f t="shared" si="50"/>
        <v>MEDICARE TAXES</v>
      </c>
    </row>
    <row r="2107" spans="5:8" x14ac:dyDescent="0.25">
      <c r="E2107" t="str">
        <f>""</f>
        <v/>
      </c>
      <c r="F2107" t="str">
        <f>""</f>
        <v/>
      </c>
      <c r="H2107" t="str">
        <f t="shared" si="50"/>
        <v>MEDICARE TAXES</v>
      </c>
    </row>
    <row r="2108" spans="5:8" x14ac:dyDescent="0.25">
      <c r="E2108" t="str">
        <f>""</f>
        <v/>
      </c>
      <c r="F2108" t="str">
        <f>""</f>
        <v/>
      </c>
      <c r="H2108" t="str">
        <f t="shared" si="50"/>
        <v>MEDICARE TAXES</v>
      </c>
    </row>
    <row r="2109" spans="5:8" x14ac:dyDescent="0.25">
      <c r="E2109" t="str">
        <f>""</f>
        <v/>
      </c>
      <c r="F2109" t="str">
        <f>""</f>
        <v/>
      </c>
      <c r="H2109" t="str">
        <f t="shared" si="50"/>
        <v>MEDICARE TAXES</v>
      </c>
    </row>
    <row r="2110" spans="5:8" x14ac:dyDescent="0.25">
      <c r="E2110" t="str">
        <f>""</f>
        <v/>
      </c>
      <c r="F2110" t="str">
        <f>""</f>
        <v/>
      </c>
      <c r="H2110" t="str">
        <f t="shared" si="50"/>
        <v>MEDICARE TAXES</v>
      </c>
    </row>
    <row r="2111" spans="5:8" x14ac:dyDescent="0.25">
      <c r="E2111" t="str">
        <f>""</f>
        <v/>
      </c>
      <c r="F2111" t="str">
        <f>""</f>
        <v/>
      </c>
      <c r="H2111" t="str">
        <f t="shared" si="50"/>
        <v>MEDICARE TAXES</v>
      </c>
    </row>
    <row r="2112" spans="5:8" x14ac:dyDescent="0.25">
      <c r="E2112" t="str">
        <f>""</f>
        <v/>
      </c>
      <c r="F2112" t="str">
        <f>""</f>
        <v/>
      </c>
      <c r="H2112" t="str">
        <f t="shared" si="50"/>
        <v>MEDICARE TAXES</v>
      </c>
    </row>
    <row r="2113" spans="5:8" x14ac:dyDescent="0.25">
      <c r="E2113" t="str">
        <f>""</f>
        <v/>
      </c>
      <c r="F2113" t="str">
        <f>""</f>
        <v/>
      </c>
      <c r="H2113" t="str">
        <f t="shared" si="50"/>
        <v>MEDICARE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50"/>
        <v>MEDICARE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50"/>
        <v>MEDICARE TAXES</v>
      </c>
    </row>
    <row r="2116" spans="5:8" x14ac:dyDescent="0.25">
      <c r="E2116" t="str">
        <f>""</f>
        <v/>
      </c>
      <c r="F2116" t="str">
        <f>""</f>
        <v/>
      </c>
      <c r="H2116" t="str">
        <f t="shared" si="50"/>
        <v>MEDICARE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50"/>
        <v>MEDICARE TAXES</v>
      </c>
    </row>
    <row r="2118" spans="5:8" x14ac:dyDescent="0.25">
      <c r="E2118" t="str">
        <f>""</f>
        <v/>
      </c>
      <c r="F2118" t="str">
        <f>""</f>
        <v/>
      </c>
      <c r="H2118" t="str">
        <f t="shared" si="50"/>
        <v>MEDICARE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50"/>
        <v>MEDICARE TAXES</v>
      </c>
    </row>
    <row r="2120" spans="5:8" x14ac:dyDescent="0.25">
      <c r="E2120" t="str">
        <f>""</f>
        <v/>
      </c>
      <c r="F2120" t="str">
        <f>""</f>
        <v/>
      </c>
      <c r="H2120" t="str">
        <f t="shared" si="50"/>
        <v>MEDICARE TAXES</v>
      </c>
    </row>
    <row r="2121" spans="5:8" x14ac:dyDescent="0.25">
      <c r="E2121" t="str">
        <f>""</f>
        <v/>
      </c>
      <c r="F2121" t="str">
        <f>""</f>
        <v/>
      </c>
      <c r="H2121" t="str">
        <f t="shared" ref="H2121:H2145" si="51">"MEDICARE TAXES"</f>
        <v>MEDICARE TAXES</v>
      </c>
    </row>
    <row r="2122" spans="5:8" x14ac:dyDescent="0.25">
      <c r="E2122" t="str">
        <f>""</f>
        <v/>
      </c>
      <c r="F2122" t="str">
        <f>""</f>
        <v/>
      </c>
      <c r="H2122" t="str">
        <f t="shared" si="51"/>
        <v>MEDICARE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51"/>
        <v>MEDICARE TAXES</v>
      </c>
    </row>
    <row r="2124" spans="5:8" x14ac:dyDescent="0.25">
      <c r="E2124" t="str">
        <f>""</f>
        <v/>
      </c>
      <c r="F2124" t="str">
        <f>""</f>
        <v/>
      </c>
      <c r="H2124" t="str">
        <f t="shared" si="51"/>
        <v>MEDICARE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51"/>
        <v>MEDICARE TAXES</v>
      </c>
    </row>
    <row r="2126" spans="5:8" x14ac:dyDescent="0.25">
      <c r="E2126" t="str">
        <f>""</f>
        <v/>
      </c>
      <c r="F2126" t="str">
        <f>""</f>
        <v/>
      </c>
      <c r="H2126" t="str">
        <f t="shared" si="51"/>
        <v>MEDICARE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51"/>
        <v>MEDICARE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51"/>
        <v>MEDICARE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51"/>
        <v>MEDICARE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51"/>
        <v>MEDICARE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51"/>
        <v>MEDICARE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51"/>
        <v>MEDICARE TAXES</v>
      </c>
    </row>
    <row r="2133" spans="5:8" x14ac:dyDescent="0.25">
      <c r="E2133" t="str">
        <f>""</f>
        <v/>
      </c>
      <c r="F2133" t="str">
        <f>""</f>
        <v/>
      </c>
      <c r="H2133" t="str">
        <f t="shared" si="51"/>
        <v>MEDICARE TAXES</v>
      </c>
    </row>
    <row r="2134" spans="5:8" x14ac:dyDescent="0.25">
      <c r="E2134" t="str">
        <f>""</f>
        <v/>
      </c>
      <c r="F2134" t="str">
        <f>""</f>
        <v/>
      </c>
      <c r="H2134" t="str">
        <f t="shared" si="51"/>
        <v>MEDICARE TAXES</v>
      </c>
    </row>
    <row r="2135" spans="5:8" x14ac:dyDescent="0.25">
      <c r="E2135" t="str">
        <f>""</f>
        <v/>
      </c>
      <c r="F2135" t="str">
        <f>""</f>
        <v/>
      </c>
      <c r="H2135" t="str">
        <f t="shared" si="51"/>
        <v>MEDICARE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51"/>
        <v>MEDICARE TAXES</v>
      </c>
    </row>
    <row r="2137" spans="5:8" x14ac:dyDescent="0.25">
      <c r="E2137" t="str">
        <f>""</f>
        <v/>
      </c>
      <c r="F2137" t="str">
        <f>""</f>
        <v/>
      </c>
      <c r="H2137" t="str">
        <f t="shared" si="51"/>
        <v>MEDICARE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51"/>
        <v>MEDICARE TAXES</v>
      </c>
    </row>
    <row r="2139" spans="5:8" x14ac:dyDescent="0.25">
      <c r="E2139" t="str">
        <f>""</f>
        <v/>
      </c>
      <c r="F2139" t="str">
        <f>""</f>
        <v/>
      </c>
      <c r="H2139" t="str">
        <f t="shared" si="51"/>
        <v>MEDICARE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51"/>
        <v>MEDICARE TAXES</v>
      </c>
    </row>
    <row r="2141" spans="5:8" x14ac:dyDescent="0.25">
      <c r="E2141" t="str">
        <f>""</f>
        <v/>
      </c>
      <c r="F2141" t="str">
        <f>""</f>
        <v/>
      </c>
      <c r="H2141" t="str">
        <f t="shared" si="51"/>
        <v>MEDICARE TAXES</v>
      </c>
    </row>
    <row r="2142" spans="5:8" x14ac:dyDescent="0.25">
      <c r="E2142" t="str">
        <f>"T4 202002195435"</f>
        <v>T4 202002195435</v>
      </c>
      <c r="F2142" t="str">
        <f>"MEDICARE TAXES"</f>
        <v>MEDICARE TAXES</v>
      </c>
      <c r="G2142" s="2">
        <v>1034.32</v>
      </c>
      <c r="H2142" t="str">
        <f t="shared" si="51"/>
        <v>MEDICARE TAXES</v>
      </c>
    </row>
    <row r="2143" spans="5:8" x14ac:dyDescent="0.25">
      <c r="E2143" t="str">
        <f>""</f>
        <v/>
      </c>
      <c r="F2143" t="str">
        <f>""</f>
        <v/>
      </c>
      <c r="H2143" t="str">
        <f t="shared" si="51"/>
        <v>MEDICARE TAXES</v>
      </c>
    </row>
    <row r="2144" spans="5:8" x14ac:dyDescent="0.25">
      <c r="E2144" t="str">
        <f>"T4 202002195436"</f>
        <v>T4 202002195436</v>
      </c>
      <c r="F2144" t="str">
        <f>"MEDICARE TAXES"</f>
        <v>MEDICARE TAXES</v>
      </c>
      <c r="G2144" s="2">
        <v>1098.28</v>
      </c>
      <c r="H2144" t="str">
        <f t="shared" si="51"/>
        <v>MEDICARE TAXES</v>
      </c>
    </row>
    <row r="2145" spans="1:8" x14ac:dyDescent="0.25">
      <c r="E2145" t="str">
        <f>""</f>
        <v/>
      </c>
      <c r="F2145" t="str">
        <f>""</f>
        <v/>
      </c>
      <c r="H2145" t="str">
        <f t="shared" si="51"/>
        <v>MEDICARE TAXES</v>
      </c>
    </row>
    <row r="2146" spans="1:8" x14ac:dyDescent="0.25">
      <c r="A2146" t="s">
        <v>416</v>
      </c>
      <c r="B2146">
        <v>413</v>
      </c>
      <c r="C2146" s="2">
        <v>275.91000000000003</v>
      </c>
      <c r="D2146" s="1">
        <v>43868</v>
      </c>
      <c r="E2146" t="str">
        <f>"LIX202002045138"</f>
        <v>LIX202002045138</v>
      </c>
      <c r="F2146" t="str">
        <f>"TEXAS LIFE/OLIVO GROUP"</f>
        <v>TEXAS LIFE/OLIVO GROUP</v>
      </c>
      <c r="G2146" s="2">
        <v>275.91000000000003</v>
      </c>
      <c r="H2146" t="str">
        <f>"TEXAS LIFE/OLIVO GROUP"</f>
        <v>TEXAS LIFE/OLIVO GROUP</v>
      </c>
    </row>
    <row r="2147" spans="1:8" x14ac:dyDescent="0.25">
      <c r="A2147" t="s">
        <v>416</v>
      </c>
      <c r="B2147">
        <v>427</v>
      </c>
      <c r="C2147" s="2">
        <v>275.91000000000003</v>
      </c>
      <c r="D2147" s="1">
        <v>43886</v>
      </c>
      <c r="E2147" t="str">
        <f>"LIX202002195431"</f>
        <v>LIX202002195431</v>
      </c>
      <c r="F2147" t="str">
        <f>"TEXAS LIFE/OLIVO GROUP"</f>
        <v>TEXAS LIFE/OLIVO GROUP</v>
      </c>
      <c r="G2147" s="2">
        <v>275.91000000000003</v>
      </c>
      <c r="H2147" t="str">
        <f>"TEXAS LIFE/OLIVO GROUP"</f>
        <v>TEXAS LIFE/OLIVO GROUP</v>
      </c>
    </row>
    <row r="2148" spans="1:8" x14ac:dyDescent="0.25">
      <c r="A2148" t="s">
        <v>417</v>
      </c>
      <c r="B2148">
        <v>47807</v>
      </c>
      <c r="C2148" s="2">
        <v>80</v>
      </c>
      <c r="D2148" s="1">
        <v>43868</v>
      </c>
      <c r="E2148" t="str">
        <f>"PHI202002045138"</f>
        <v>PHI202002045138</v>
      </c>
      <c r="F2148" t="str">
        <f>"PHI AIR"</f>
        <v>PHI AIR</v>
      </c>
      <c r="G2148" s="2">
        <v>80</v>
      </c>
      <c r="H2148" t="str">
        <f>"PHI AIR"</f>
        <v>PHI AIR</v>
      </c>
    </row>
    <row r="2149" spans="1:8" x14ac:dyDescent="0.25">
      <c r="A2149" t="s">
        <v>417</v>
      </c>
      <c r="B2149">
        <v>47822</v>
      </c>
      <c r="C2149" s="2">
        <v>80</v>
      </c>
      <c r="D2149" s="1">
        <v>43886</v>
      </c>
      <c r="E2149" t="str">
        <f>"PHI202002195431"</f>
        <v>PHI202002195431</v>
      </c>
      <c r="F2149" t="str">
        <f>"PHI AIR"</f>
        <v>PHI AIR</v>
      </c>
      <c r="G2149" s="2">
        <v>80</v>
      </c>
      <c r="H2149" t="str">
        <f>"PHI AIR"</f>
        <v>PHI AIR</v>
      </c>
    </row>
    <row r="2150" spans="1:8" x14ac:dyDescent="0.25">
      <c r="A2150" t="s">
        <v>418</v>
      </c>
      <c r="B2150">
        <v>47806</v>
      </c>
      <c r="C2150" s="2">
        <v>173156.9</v>
      </c>
      <c r="D2150" s="1">
        <v>43868</v>
      </c>
      <c r="E2150" t="str">
        <f>"2EC202002045138"</f>
        <v>2EC202002045138</v>
      </c>
      <c r="F2150" t="str">
        <f>"BCBS PAYABLE"</f>
        <v>BCBS PAYABLE</v>
      </c>
      <c r="G2150" s="2">
        <v>48344.480000000003</v>
      </c>
      <c r="H2150" t="str">
        <f t="shared" ref="H2150:H2181" si="52">"BCBS PAYABLE"</f>
        <v>BCBS PAYABLE</v>
      </c>
    </row>
    <row r="2151" spans="1:8" x14ac:dyDescent="0.25">
      <c r="E2151" t="str">
        <f>""</f>
        <v/>
      </c>
      <c r="F2151" t="str">
        <f>""</f>
        <v/>
      </c>
      <c r="H2151" t="str">
        <f t="shared" si="52"/>
        <v>BCBS PAYABLE</v>
      </c>
    </row>
    <row r="2152" spans="1:8" x14ac:dyDescent="0.25">
      <c r="E2152" t="str">
        <f>""</f>
        <v/>
      </c>
      <c r="F2152" t="str">
        <f>""</f>
        <v/>
      </c>
      <c r="H2152" t="str">
        <f t="shared" si="52"/>
        <v>BCBS PAYABLE</v>
      </c>
    </row>
    <row r="2153" spans="1:8" x14ac:dyDescent="0.25">
      <c r="E2153" t="str">
        <f>""</f>
        <v/>
      </c>
      <c r="F2153" t="str">
        <f>""</f>
        <v/>
      </c>
      <c r="H2153" t="str">
        <f t="shared" si="52"/>
        <v>BCBS PAYABLE</v>
      </c>
    </row>
    <row r="2154" spans="1:8" x14ac:dyDescent="0.25">
      <c r="E2154" t="str">
        <f>""</f>
        <v/>
      </c>
      <c r="F2154" t="str">
        <f>""</f>
        <v/>
      </c>
      <c r="H2154" t="str">
        <f t="shared" si="52"/>
        <v>BCBS PAYABLE</v>
      </c>
    </row>
    <row r="2155" spans="1:8" x14ac:dyDescent="0.25">
      <c r="E2155" t="str">
        <f>""</f>
        <v/>
      </c>
      <c r="F2155" t="str">
        <f>""</f>
        <v/>
      </c>
      <c r="H2155" t="str">
        <f t="shared" si="52"/>
        <v>BCBS PAYABLE</v>
      </c>
    </row>
    <row r="2156" spans="1:8" x14ac:dyDescent="0.25">
      <c r="E2156" t="str">
        <f>""</f>
        <v/>
      </c>
      <c r="F2156" t="str">
        <f>""</f>
        <v/>
      </c>
      <c r="H2156" t="str">
        <f t="shared" si="52"/>
        <v>BCBS PAYABLE</v>
      </c>
    </row>
    <row r="2157" spans="1:8" x14ac:dyDescent="0.25">
      <c r="E2157" t="str">
        <f>""</f>
        <v/>
      </c>
      <c r="F2157" t="str">
        <f>""</f>
        <v/>
      </c>
      <c r="H2157" t="str">
        <f t="shared" si="52"/>
        <v>BCBS PAYABLE</v>
      </c>
    </row>
    <row r="2158" spans="1:8" x14ac:dyDescent="0.25">
      <c r="E2158" t="str">
        <f>""</f>
        <v/>
      </c>
      <c r="F2158" t="str">
        <f>""</f>
        <v/>
      </c>
      <c r="H2158" t="str">
        <f t="shared" si="52"/>
        <v>BCBS PAYABLE</v>
      </c>
    </row>
    <row r="2159" spans="1:8" x14ac:dyDescent="0.25">
      <c r="E2159" t="str">
        <f>""</f>
        <v/>
      </c>
      <c r="F2159" t="str">
        <f>""</f>
        <v/>
      </c>
      <c r="H2159" t="str">
        <f t="shared" si="52"/>
        <v>BCBS PAYABLE</v>
      </c>
    </row>
    <row r="2160" spans="1:8" x14ac:dyDescent="0.25">
      <c r="E2160" t="str">
        <f>""</f>
        <v/>
      </c>
      <c r="F2160" t="str">
        <f>""</f>
        <v/>
      </c>
      <c r="H2160" t="str">
        <f t="shared" si="52"/>
        <v>BCBS PAYABLE</v>
      </c>
    </row>
    <row r="2161" spans="5:8" x14ac:dyDescent="0.25">
      <c r="E2161" t="str">
        <f>""</f>
        <v/>
      </c>
      <c r="F2161" t="str">
        <f>""</f>
        <v/>
      </c>
      <c r="H2161" t="str">
        <f t="shared" si="52"/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 t="shared" si="52"/>
        <v>BCBS PAYABLE</v>
      </c>
    </row>
    <row r="2163" spans="5:8" x14ac:dyDescent="0.25">
      <c r="E2163" t="str">
        <f>""</f>
        <v/>
      </c>
      <c r="F2163" t="str">
        <f>""</f>
        <v/>
      </c>
      <c r="H2163" t="str">
        <f t="shared" si="52"/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 t="shared" si="52"/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 t="shared" si="52"/>
        <v>BCBS PAYABLE</v>
      </c>
    </row>
    <row r="2166" spans="5:8" x14ac:dyDescent="0.25">
      <c r="E2166" t="str">
        <f>""</f>
        <v/>
      </c>
      <c r="F2166" t="str">
        <f>""</f>
        <v/>
      </c>
      <c r="H2166" t="str">
        <f t="shared" si="52"/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 t="shared" si="52"/>
        <v>BCBS PAYABLE</v>
      </c>
    </row>
    <row r="2168" spans="5:8" x14ac:dyDescent="0.25">
      <c r="E2168" t="str">
        <f>""</f>
        <v/>
      </c>
      <c r="F2168" t="str">
        <f>""</f>
        <v/>
      </c>
      <c r="H2168" t="str">
        <f t="shared" si="52"/>
        <v>BCBS PAYABLE</v>
      </c>
    </row>
    <row r="2169" spans="5:8" x14ac:dyDescent="0.25">
      <c r="E2169" t="str">
        <f>""</f>
        <v/>
      </c>
      <c r="F2169" t="str">
        <f>""</f>
        <v/>
      </c>
      <c r="H2169" t="str">
        <f t="shared" si="52"/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 t="shared" si="52"/>
        <v>BCBS PAYABLE</v>
      </c>
    </row>
    <row r="2171" spans="5:8" x14ac:dyDescent="0.25">
      <c r="E2171" t="str">
        <f>""</f>
        <v/>
      </c>
      <c r="F2171" t="str">
        <f>""</f>
        <v/>
      </c>
      <c r="H2171" t="str">
        <f t="shared" si="52"/>
        <v>BCBS PAYABLE</v>
      </c>
    </row>
    <row r="2172" spans="5:8" x14ac:dyDescent="0.25">
      <c r="E2172" t="str">
        <f>""</f>
        <v/>
      </c>
      <c r="F2172" t="str">
        <f>""</f>
        <v/>
      </c>
      <c r="H2172" t="str">
        <f t="shared" si="52"/>
        <v>BCBS PAYABLE</v>
      </c>
    </row>
    <row r="2173" spans="5:8" x14ac:dyDescent="0.25">
      <c r="E2173" t="str">
        <f>""</f>
        <v/>
      </c>
      <c r="F2173" t="str">
        <f>""</f>
        <v/>
      </c>
      <c r="H2173" t="str">
        <f t="shared" si="52"/>
        <v>BCBS PAYABLE</v>
      </c>
    </row>
    <row r="2174" spans="5:8" x14ac:dyDescent="0.25">
      <c r="E2174" t="str">
        <f>""</f>
        <v/>
      </c>
      <c r="F2174" t="str">
        <f>""</f>
        <v/>
      </c>
      <c r="H2174" t="str">
        <f t="shared" si="52"/>
        <v>BCBS PAYABLE</v>
      </c>
    </row>
    <row r="2175" spans="5:8" x14ac:dyDescent="0.25">
      <c r="E2175" t="str">
        <f>""</f>
        <v/>
      </c>
      <c r="F2175" t="str">
        <f>""</f>
        <v/>
      </c>
      <c r="H2175" t="str">
        <f t="shared" si="52"/>
        <v>BCBS PAYABLE</v>
      </c>
    </row>
    <row r="2176" spans="5:8" x14ac:dyDescent="0.25">
      <c r="E2176" t="str">
        <f>""</f>
        <v/>
      </c>
      <c r="F2176" t="str">
        <f>""</f>
        <v/>
      </c>
      <c r="H2176" t="str">
        <f t="shared" si="52"/>
        <v>BCBS PAYABLE</v>
      </c>
    </row>
    <row r="2177" spans="5:8" x14ac:dyDescent="0.25">
      <c r="E2177" t="str">
        <f>""</f>
        <v/>
      </c>
      <c r="F2177" t="str">
        <f>""</f>
        <v/>
      </c>
      <c r="H2177" t="str">
        <f t="shared" si="52"/>
        <v>BCBS PAYABLE</v>
      </c>
    </row>
    <row r="2178" spans="5:8" x14ac:dyDescent="0.25">
      <c r="E2178" t="str">
        <f>""</f>
        <v/>
      </c>
      <c r="F2178" t="str">
        <f>""</f>
        <v/>
      </c>
      <c r="H2178" t="str">
        <f t="shared" si="52"/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 t="shared" si="52"/>
        <v>BCBS PAYABLE</v>
      </c>
    </row>
    <row r="2180" spans="5:8" x14ac:dyDescent="0.25">
      <c r="E2180" t="str">
        <f>""</f>
        <v/>
      </c>
      <c r="F2180" t="str">
        <f>""</f>
        <v/>
      </c>
      <c r="H2180" t="str">
        <f t="shared" si="52"/>
        <v>BCBS PAYABLE</v>
      </c>
    </row>
    <row r="2181" spans="5:8" x14ac:dyDescent="0.25">
      <c r="E2181" t="str">
        <f>"2EC202002055139"</f>
        <v>2EC202002055139</v>
      </c>
      <c r="F2181" t="str">
        <f>"BCBS PAYABLE"</f>
        <v>BCBS PAYABLE</v>
      </c>
      <c r="G2181" s="2">
        <v>1824.32</v>
      </c>
      <c r="H2181" t="str">
        <f t="shared" si="52"/>
        <v>BCBS PAYABLE</v>
      </c>
    </row>
    <row r="2182" spans="5:8" x14ac:dyDescent="0.25">
      <c r="E2182" t="str">
        <f>""</f>
        <v/>
      </c>
      <c r="F2182" t="str">
        <f>""</f>
        <v/>
      </c>
      <c r="H2182" t="str">
        <f t="shared" ref="H2182:H2213" si="53">"BCBS PAYABLE"</f>
        <v>BCBS PAYABLE</v>
      </c>
    </row>
    <row r="2183" spans="5:8" x14ac:dyDescent="0.25">
      <c r="E2183" t="str">
        <f>"2EF202002045138"</f>
        <v>2EF202002045138</v>
      </c>
      <c r="F2183" t="str">
        <f>"BCBS PAYABLE"</f>
        <v>BCBS PAYABLE</v>
      </c>
      <c r="G2183" s="2">
        <v>1812.18</v>
      </c>
      <c r="H2183" t="str">
        <f t="shared" si="53"/>
        <v>BCBS PAYABLE</v>
      </c>
    </row>
    <row r="2184" spans="5:8" x14ac:dyDescent="0.25">
      <c r="E2184" t="str">
        <f>""</f>
        <v/>
      </c>
      <c r="F2184" t="str">
        <f>""</f>
        <v/>
      </c>
      <c r="H2184" t="str">
        <f t="shared" si="53"/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 t="shared" si="53"/>
        <v>BCBS PAYABLE</v>
      </c>
    </row>
    <row r="2186" spans="5:8" x14ac:dyDescent="0.25">
      <c r="E2186" t="str">
        <f>""</f>
        <v/>
      </c>
      <c r="F2186" t="str">
        <f>""</f>
        <v/>
      </c>
      <c r="H2186" t="str">
        <f t="shared" si="53"/>
        <v>BCBS PAYABLE</v>
      </c>
    </row>
    <row r="2187" spans="5:8" x14ac:dyDescent="0.25">
      <c r="E2187" t="str">
        <f>"2EO202002045138"</f>
        <v>2EO202002045138</v>
      </c>
      <c r="F2187" t="str">
        <f>"BCBS PAYABLE"</f>
        <v>BCBS PAYABLE</v>
      </c>
      <c r="G2187" s="2">
        <v>101555.28</v>
      </c>
      <c r="H2187" t="str">
        <f t="shared" si="53"/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 t="shared" si="53"/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 t="shared" si="53"/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 t="shared" si="53"/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 t="shared" si="53"/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 t="shared" si="53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53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53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53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53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53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53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53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53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53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53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53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si="53"/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53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53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53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si="53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53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53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53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53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53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ref="H2214:H2249" si="54">"BCBS PAYABLE"</f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54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54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54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54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54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54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si="54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si="54"/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 t="shared" si="54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54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54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54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54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54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54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54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54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54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54"/>
        <v>BCBS PAYABLE</v>
      </c>
    </row>
    <row r="2234" spans="5:8" x14ac:dyDescent="0.25">
      <c r="E2234" t="str">
        <f>"2EO202002055139"</f>
        <v>2EO202002055139</v>
      </c>
      <c r="F2234" t="str">
        <f>"BCBS PAYABLE"</f>
        <v>BCBS PAYABLE</v>
      </c>
      <c r="G2234" s="2">
        <v>4314.4399999999996</v>
      </c>
      <c r="H2234" t="str">
        <f t="shared" si="54"/>
        <v>BCBS PAYABLE</v>
      </c>
    </row>
    <row r="2235" spans="5:8" x14ac:dyDescent="0.25">
      <c r="E2235" t="str">
        <f>"2ES202002045138"</f>
        <v>2ES202002045138</v>
      </c>
      <c r="F2235" t="str">
        <f>"BCBS PAYABLE"</f>
        <v>BCBS PAYABLE</v>
      </c>
      <c r="G2235" s="2">
        <v>15306.2</v>
      </c>
      <c r="H2235" t="str">
        <f t="shared" si="54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54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54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54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54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54"/>
        <v>BCBS PAYABLE</v>
      </c>
    </row>
    <row r="2241" spans="1:8" x14ac:dyDescent="0.25">
      <c r="E2241" t="str">
        <f>""</f>
        <v/>
      </c>
      <c r="F2241" t="str">
        <f>""</f>
        <v/>
      </c>
      <c r="H2241" t="str">
        <f t="shared" si="54"/>
        <v>BCBS PAYABLE</v>
      </c>
    </row>
    <row r="2242" spans="1:8" x14ac:dyDescent="0.25">
      <c r="E2242" t="str">
        <f>""</f>
        <v/>
      </c>
      <c r="F2242" t="str">
        <f>""</f>
        <v/>
      </c>
      <c r="H2242" t="str">
        <f t="shared" si="54"/>
        <v>BCBS PAYABLE</v>
      </c>
    </row>
    <row r="2243" spans="1:8" x14ac:dyDescent="0.25">
      <c r="E2243" t="str">
        <f>""</f>
        <v/>
      </c>
      <c r="F2243" t="str">
        <f>""</f>
        <v/>
      </c>
      <c r="H2243" t="str">
        <f t="shared" si="54"/>
        <v>BCBS PAYABLE</v>
      </c>
    </row>
    <row r="2244" spans="1:8" x14ac:dyDescent="0.25">
      <c r="E2244" t="str">
        <f>""</f>
        <v/>
      </c>
      <c r="F2244" t="str">
        <f>""</f>
        <v/>
      </c>
      <c r="H2244" t="str">
        <f t="shared" si="54"/>
        <v>BCBS PAYABLE</v>
      </c>
    </row>
    <row r="2245" spans="1:8" x14ac:dyDescent="0.25">
      <c r="E2245" t="str">
        <f>""</f>
        <v/>
      </c>
      <c r="F2245" t="str">
        <f>""</f>
        <v/>
      </c>
      <c r="H2245" t="str">
        <f t="shared" si="54"/>
        <v>BCBS PAYABLE</v>
      </c>
    </row>
    <row r="2246" spans="1:8" x14ac:dyDescent="0.25">
      <c r="E2246" t="str">
        <f>""</f>
        <v/>
      </c>
      <c r="F2246" t="str">
        <f>""</f>
        <v/>
      </c>
      <c r="H2246" t="str">
        <f t="shared" si="54"/>
        <v>BCBS PAYABLE</v>
      </c>
    </row>
    <row r="2247" spans="1:8" x14ac:dyDescent="0.25">
      <c r="E2247" t="str">
        <f>""</f>
        <v/>
      </c>
      <c r="F2247" t="str">
        <f>""</f>
        <v/>
      </c>
      <c r="H2247" t="str">
        <f t="shared" si="54"/>
        <v>BCBS PAYABLE</v>
      </c>
    </row>
    <row r="2248" spans="1:8" x14ac:dyDescent="0.25">
      <c r="E2248" t="str">
        <f>""</f>
        <v/>
      </c>
      <c r="F2248" t="str">
        <f>""</f>
        <v/>
      </c>
      <c r="H2248" t="str">
        <f t="shared" si="54"/>
        <v>BCBS PAYABLE</v>
      </c>
    </row>
    <row r="2249" spans="1:8" x14ac:dyDescent="0.25">
      <c r="E2249" t="str">
        <f>""</f>
        <v/>
      </c>
      <c r="F2249" t="str">
        <f>""</f>
        <v/>
      </c>
      <c r="H2249" t="str">
        <f t="shared" si="54"/>
        <v>BCBS PAYABLE</v>
      </c>
    </row>
    <row r="2250" spans="1:8" x14ac:dyDescent="0.25">
      <c r="A2250" t="s">
        <v>418</v>
      </c>
      <c r="B2250">
        <v>47821</v>
      </c>
      <c r="C2250" s="2">
        <v>189533.38</v>
      </c>
      <c r="D2250" s="1">
        <v>43886</v>
      </c>
      <c r="E2250" t="str">
        <f>"202002255474"</f>
        <v>202002255474</v>
      </c>
      <c r="F2250" t="str">
        <f>"CREDIT FOR OVERAGE JAN 2020"</f>
        <v>CREDIT FOR OVERAGE JAN 2020</v>
      </c>
      <c r="G2250" s="2">
        <v>-442.4</v>
      </c>
      <c r="H2250" t="str">
        <f>"TAC HEALTH BENEFITS POOL"</f>
        <v>TAC HEALTH BENEFITS POOL</v>
      </c>
    </row>
    <row r="2251" spans="1:8" x14ac:dyDescent="0.25">
      <c r="E2251" t="str">
        <f>"202002255475"</f>
        <v>202002255475</v>
      </c>
      <c r="F2251" t="str">
        <f>"EMPLOYER REIM D WOLF"</f>
        <v>EMPLOYER REIM D WOLF</v>
      </c>
      <c r="G2251" s="2">
        <v>-331.88</v>
      </c>
      <c r="H2251" t="str">
        <f>"TAC HEALTH BENEFITS POOL"</f>
        <v>TAC HEALTH BENEFITS POOL</v>
      </c>
    </row>
    <row r="2252" spans="1:8" x14ac:dyDescent="0.25">
      <c r="E2252" t="str">
        <f>"202002255472"</f>
        <v>202002255472</v>
      </c>
      <c r="F2252" t="str">
        <f>"RETIREE FEB 2020"</f>
        <v>RETIREE FEB 2020</v>
      </c>
      <c r="G2252" s="2">
        <v>16818.88</v>
      </c>
      <c r="H2252" t="str">
        <f>"RETIREE FEB 2020"</f>
        <v>RETIREE FEB 2020</v>
      </c>
    </row>
    <row r="2253" spans="1:8" x14ac:dyDescent="0.25">
      <c r="E2253" t="str">
        <f>"202002255473"</f>
        <v>202002255473</v>
      </c>
      <c r="F2253" t="str">
        <f>"COBRA FEB 2020"</f>
        <v>COBRA FEB 2020</v>
      </c>
      <c r="G2253" s="2">
        <v>663.76</v>
      </c>
      <c r="H2253" t="str">
        <f>"TAC HEALTH BENEFITS POOL"</f>
        <v>TAC HEALTH BENEFITS POOL</v>
      </c>
    </row>
    <row r="2254" spans="1:8" x14ac:dyDescent="0.25">
      <c r="E2254" t="str">
        <f>"2EC202002195431"</f>
        <v>2EC202002195431</v>
      </c>
      <c r="F2254" t="str">
        <f>"BCBS PAYABLE"</f>
        <v>BCBS PAYABLE</v>
      </c>
      <c r="G2254" s="2">
        <v>48344.480000000003</v>
      </c>
      <c r="H2254" t="str">
        <f t="shared" ref="H2254:H2285" si="55">"BCBS PAYABLE"</f>
        <v>BCBS PAYABLE</v>
      </c>
    </row>
    <row r="2255" spans="1:8" x14ac:dyDescent="0.25">
      <c r="E2255" t="str">
        <f>""</f>
        <v/>
      </c>
      <c r="F2255" t="str">
        <f>""</f>
        <v/>
      </c>
      <c r="H2255" t="str">
        <f t="shared" si="55"/>
        <v>BCBS PAYABLE</v>
      </c>
    </row>
    <row r="2256" spans="1:8" x14ac:dyDescent="0.25">
      <c r="E2256" t="str">
        <f>""</f>
        <v/>
      </c>
      <c r="F2256" t="str">
        <f>""</f>
        <v/>
      </c>
      <c r="H2256" t="str">
        <f t="shared" si="55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55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55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55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55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55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55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55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55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55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55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55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55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55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55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55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55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55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55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55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55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55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55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55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55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55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55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55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55"/>
        <v>BCBS PAYABLE</v>
      </c>
    </row>
    <row r="2285" spans="5:8" x14ac:dyDescent="0.25">
      <c r="E2285" t="str">
        <f>"2EC202002195435"</f>
        <v>2EC202002195435</v>
      </c>
      <c r="F2285" t="str">
        <f>"BCBS PAYABLE"</f>
        <v>BCBS PAYABLE</v>
      </c>
      <c r="G2285" s="2">
        <v>1824.32</v>
      </c>
      <c r="H2285" t="str">
        <f t="shared" si="55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ref="H2286:H2317" si="56">"BCBS PAYABLE"</f>
        <v>BCBS PAYABLE</v>
      </c>
    </row>
    <row r="2287" spans="5:8" x14ac:dyDescent="0.25">
      <c r="E2287" t="str">
        <f>"2EF202002195431"</f>
        <v>2EF202002195431</v>
      </c>
      <c r="F2287" t="str">
        <f>"BCBS PAYABLE"</f>
        <v>BCBS PAYABLE</v>
      </c>
      <c r="G2287" s="2">
        <v>1812.18</v>
      </c>
      <c r="H2287" t="str">
        <f t="shared" si="56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56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56"/>
        <v>BCBS PAYABLE</v>
      </c>
    </row>
    <row r="2290" spans="5:8" x14ac:dyDescent="0.25">
      <c r="E2290" t="str">
        <f>""</f>
        <v/>
      </c>
      <c r="F2290" t="str">
        <f>""</f>
        <v/>
      </c>
      <c r="H2290" t="str">
        <f t="shared" si="56"/>
        <v>BCBS PAYABLE</v>
      </c>
    </row>
    <row r="2291" spans="5:8" x14ac:dyDescent="0.25">
      <c r="E2291" t="str">
        <f>"2EO202002195431"</f>
        <v>2EO202002195431</v>
      </c>
      <c r="F2291" t="str">
        <f>"BCBS PAYABLE"</f>
        <v>BCBS PAYABLE</v>
      </c>
      <c r="G2291" s="2">
        <v>101223.4</v>
      </c>
      <c r="H2291" t="str">
        <f t="shared" si="56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56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56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56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56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56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56"/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56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56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si="56"/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56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56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56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56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56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56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56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56"/>
        <v>BCBS PAYABLE</v>
      </c>
    </row>
    <row r="2309" spans="5:8" x14ac:dyDescent="0.25">
      <c r="E2309" t="str">
        <f>""</f>
        <v/>
      </c>
      <c r="F2309" t="str">
        <f>""</f>
        <v/>
      </c>
      <c r="H2309" t="str">
        <f t="shared" si="56"/>
        <v>BCBS PAYABLE</v>
      </c>
    </row>
    <row r="2310" spans="5:8" x14ac:dyDescent="0.25">
      <c r="E2310" t="str">
        <f>""</f>
        <v/>
      </c>
      <c r="F2310" t="str">
        <f>""</f>
        <v/>
      </c>
      <c r="H2310" t="str">
        <f t="shared" si="56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56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56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56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si="56"/>
        <v>BCBS PAYABLE</v>
      </c>
    </row>
    <row r="2315" spans="5:8" x14ac:dyDescent="0.25">
      <c r="E2315" t="str">
        <f>""</f>
        <v/>
      </c>
      <c r="F2315" t="str">
        <f>""</f>
        <v/>
      </c>
      <c r="H2315" t="str">
        <f t="shared" si="56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56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si="56"/>
        <v>BCBS PAYABLE</v>
      </c>
    </row>
    <row r="2318" spans="5:8" x14ac:dyDescent="0.25">
      <c r="E2318" t="str">
        <f>""</f>
        <v/>
      </c>
      <c r="F2318" t="str">
        <f>""</f>
        <v/>
      </c>
      <c r="H2318" t="str">
        <f t="shared" ref="H2318:H2353" si="57">"BCBS PAYABLE"</f>
        <v>BCBS PAYABLE</v>
      </c>
    </row>
    <row r="2319" spans="5:8" x14ac:dyDescent="0.25">
      <c r="E2319" t="str">
        <f>""</f>
        <v/>
      </c>
      <c r="F2319" t="str">
        <f>""</f>
        <v/>
      </c>
      <c r="H2319" t="str">
        <f t="shared" si="57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57"/>
        <v>BCBS PAYABLE</v>
      </c>
    </row>
    <row r="2321" spans="5:8" x14ac:dyDescent="0.25">
      <c r="E2321" t="str">
        <f>""</f>
        <v/>
      </c>
      <c r="F2321" t="str">
        <f>""</f>
        <v/>
      </c>
      <c r="H2321" t="str">
        <f t="shared" si="57"/>
        <v>BCBS PAYABLE</v>
      </c>
    </row>
    <row r="2322" spans="5:8" x14ac:dyDescent="0.25">
      <c r="E2322" t="str">
        <f>""</f>
        <v/>
      </c>
      <c r="F2322" t="str">
        <f>""</f>
        <v/>
      </c>
      <c r="H2322" t="str">
        <f t="shared" si="57"/>
        <v>BCBS PAYABLE</v>
      </c>
    </row>
    <row r="2323" spans="5:8" x14ac:dyDescent="0.25">
      <c r="E2323" t="str">
        <f>""</f>
        <v/>
      </c>
      <c r="F2323" t="str">
        <f>""</f>
        <v/>
      </c>
      <c r="H2323" t="str">
        <f t="shared" si="57"/>
        <v>BCBS PAYABLE</v>
      </c>
    </row>
    <row r="2324" spans="5:8" x14ac:dyDescent="0.25">
      <c r="E2324" t="str">
        <f>""</f>
        <v/>
      </c>
      <c r="F2324" t="str">
        <f>""</f>
        <v/>
      </c>
      <c r="H2324" t="str">
        <f t="shared" si="57"/>
        <v>BCBS PAYABLE</v>
      </c>
    </row>
    <row r="2325" spans="5:8" x14ac:dyDescent="0.25">
      <c r="E2325" t="str">
        <f>""</f>
        <v/>
      </c>
      <c r="F2325" t="str">
        <f>""</f>
        <v/>
      </c>
      <c r="H2325" t="str">
        <f t="shared" si="57"/>
        <v>BCBS PAYABLE</v>
      </c>
    </row>
    <row r="2326" spans="5:8" x14ac:dyDescent="0.25">
      <c r="E2326" t="str">
        <f>""</f>
        <v/>
      </c>
      <c r="F2326" t="str">
        <f>""</f>
        <v/>
      </c>
      <c r="H2326" t="str">
        <f t="shared" si="57"/>
        <v>BCBS PAYABLE</v>
      </c>
    </row>
    <row r="2327" spans="5:8" x14ac:dyDescent="0.25">
      <c r="E2327" t="str">
        <f>""</f>
        <v/>
      </c>
      <c r="F2327" t="str">
        <f>""</f>
        <v/>
      </c>
      <c r="H2327" t="str">
        <f t="shared" si="57"/>
        <v>BCBS PAYABLE</v>
      </c>
    </row>
    <row r="2328" spans="5:8" x14ac:dyDescent="0.25">
      <c r="E2328" t="str">
        <f>""</f>
        <v/>
      </c>
      <c r="F2328" t="str">
        <f>""</f>
        <v/>
      </c>
      <c r="H2328" t="str">
        <f t="shared" si="57"/>
        <v>BCBS PAYABLE</v>
      </c>
    </row>
    <row r="2329" spans="5:8" x14ac:dyDescent="0.25">
      <c r="E2329" t="str">
        <f>""</f>
        <v/>
      </c>
      <c r="F2329" t="str">
        <f>""</f>
        <v/>
      </c>
      <c r="H2329" t="str">
        <f t="shared" si="57"/>
        <v>BCBS PAYABLE</v>
      </c>
    </row>
    <row r="2330" spans="5:8" x14ac:dyDescent="0.25">
      <c r="E2330" t="str">
        <f>""</f>
        <v/>
      </c>
      <c r="F2330" t="str">
        <f>""</f>
        <v/>
      </c>
      <c r="H2330" t="str">
        <f t="shared" si="57"/>
        <v>BCBS PAYABLE</v>
      </c>
    </row>
    <row r="2331" spans="5:8" x14ac:dyDescent="0.25">
      <c r="E2331" t="str">
        <f>""</f>
        <v/>
      </c>
      <c r="F2331" t="str">
        <f>""</f>
        <v/>
      </c>
      <c r="H2331" t="str">
        <f t="shared" si="57"/>
        <v>BCBS PAYABLE</v>
      </c>
    </row>
    <row r="2332" spans="5:8" x14ac:dyDescent="0.25">
      <c r="E2332" t="str">
        <f>""</f>
        <v/>
      </c>
      <c r="F2332" t="str">
        <f>""</f>
        <v/>
      </c>
      <c r="H2332" t="str">
        <f t="shared" si="57"/>
        <v>BCBS PAYABLE</v>
      </c>
    </row>
    <row r="2333" spans="5:8" x14ac:dyDescent="0.25">
      <c r="E2333" t="str">
        <f>""</f>
        <v/>
      </c>
      <c r="F2333" t="str">
        <f>""</f>
        <v/>
      </c>
      <c r="H2333" t="str">
        <f t="shared" si="57"/>
        <v>BCBS PAYABLE</v>
      </c>
    </row>
    <row r="2334" spans="5:8" x14ac:dyDescent="0.25">
      <c r="E2334" t="str">
        <f>""</f>
        <v/>
      </c>
      <c r="F2334" t="str">
        <f>""</f>
        <v/>
      </c>
      <c r="H2334" t="str">
        <f t="shared" si="57"/>
        <v>BCBS PAYABLE</v>
      </c>
    </row>
    <row r="2335" spans="5:8" x14ac:dyDescent="0.25">
      <c r="E2335" t="str">
        <f>""</f>
        <v/>
      </c>
      <c r="F2335" t="str">
        <f>""</f>
        <v/>
      </c>
      <c r="H2335" t="str">
        <f t="shared" si="57"/>
        <v>BCBS PAYABLE</v>
      </c>
    </row>
    <row r="2336" spans="5:8" x14ac:dyDescent="0.25">
      <c r="E2336" t="str">
        <f>""</f>
        <v/>
      </c>
      <c r="F2336" t="str">
        <f>""</f>
        <v/>
      </c>
      <c r="H2336" t="str">
        <f t="shared" si="57"/>
        <v>BCBS PAYABLE</v>
      </c>
    </row>
    <row r="2337" spans="5:8" x14ac:dyDescent="0.25">
      <c r="E2337" t="str">
        <f>""</f>
        <v/>
      </c>
      <c r="F2337" t="str">
        <f>""</f>
        <v/>
      </c>
      <c r="H2337" t="str">
        <f t="shared" si="57"/>
        <v>BCBS PAYABLE</v>
      </c>
    </row>
    <row r="2338" spans="5:8" x14ac:dyDescent="0.25">
      <c r="E2338" t="str">
        <f>"2EO202002195435"</f>
        <v>2EO202002195435</v>
      </c>
      <c r="F2338" t="str">
        <f>"BCBS PAYABLE"</f>
        <v>BCBS PAYABLE</v>
      </c>
      <c r="G2338" s="2">
        <v>4314.4399999999996</v>
      </c>
      <c r="H2338" t="str">
        <f t="shared" si="57"/>
        <v>BCBS PAYABLE</v>
      </c>
    </row>
    <row r="2339" spans="5:8" x14ac:dyDescent="0.25">
      <c r="E2339" t="str">
        <f>"2ES202002195431"</f>
        <v>2ES202002195431</v>
      </c>
      <c r="F2339" t="str">
        <f>"BCBS PAYABLE"</f>
        <v>BCBS PAYABLE</v>
      </c>
      <c r="G2339" s="2">
        <v>15306.2</v>
      </c>
      <c r="H2339" t="str">
        <f t="shared" si="57"/>
        <v>BCBS PAYABLE</v>
      </c>
    </row>
    <row r="2340" spans="5:8" x14ac:dyDescent="0.25">
      <c r="E2340" t="str">
        <f>""</f>
        <v/>
      </c>
      <c r="F2340" t="str">
        <f>""</f>
        <v/>
      </c>
      <c r="H2340" t="str">
        <f t="shared" si="57"/>
        <v>BCBS PAYABLE</v>
      </c>
    </row>
    <row r="2341" spans="5:8" x14ac:dyDescent="0.25">
      <c r="E2341" t="str">
        <f>""</f>
        <v/>
      </c>
      <c r="F2341" t="str">
        <f>""</f>
        <v/>
      </c>
      <c r="H2341" t="str">
        <f t="shared" si="57"/>
        <v>BCBS PAYABLE</v>
      </c>
    </row>
    <row r="2342" spans="5:8" x14ac:dyDescent="0.25">
      <c r="E2342" t="str">
        <f>""</f>
        <v/>
      </c>
      <c r="F2342" t="str">
        <f>""</f>
        <v/>
      </c>
      <c r="H2342" t="str">
        <f t="shared" si="57"/>
        <v>BCBS PAYABLE</v>
      </c>
    </row>
    <row r="2343" spans="5:8" x14ac:dyDescent="0.25">
      <c r="E2343" t="str">
        <f>""</f>
        <v/>
      </c>
      <c r="F2343" t="str">
        <f>""</f>
        <v/>
      </c>
      <c r="H2343" t="str">
        <f t="shared" si="57"/>
        <v>BCBS PAYABLE</v>
      </c>
    </row>
    <row r="2344" spans="5:8" x14ac:dyDescent="0.25">
      <c r="E2344" t="str">
        <f>""</f>
        <v/>
      </c>
      <c r="F2344" t="str">
        <f>""</f>
        <v/>
      </c>
      <c r="H2344" t="str">
        <f t="shared" si="57"/>
        <v>BCBS PAYABLE</v>
      </c>
    </row>
    <row r="2345" spans="5:8" x14ac:dyDescent="0.25">
      <c r="E2345" t="str">
        <f>""</f>
        <v/>
      </c>
      <c r="F2345" t="str">
        <f>""</f>
        <v/>
      </c>
      <c r="H2345" t="str">
        <f t="shared" si="57"/>
        <v>BCBS PAYABLE</v>
      </c>
    </row>
    <row r="2346" spans="5:8" x14ac:dyDescent="0.25">
      <c r="E2346" t="str">
        <f>""</f>
        <v/>
      </c>
      <c r="F2346" t="str">
        <f>""</f>
        <v/>
      </c>
      <c r="H2346" t="str">
        <f t="shared" si="57"/>
        <v>BCBS PAYABLE</v>
      </c>
    </row>
    <row r="2347" spans="5:8" x14ac:dyDescent="0.25">
      <c r="E2347" t="str">
        <f>""</f>
        <v/>
      </c>
      <c r="F2347" t="str">
        <f>""</f>
        <v/>
      </c>
      <c r="H2347" t="str">
        <f t="shared" si="57"/>
        <v>BCBS PAYABLE</v>
      </c>
    </row>
    <row r="2348" spans="5:8" x14ac:dyDescent="0.25">
      <c r="E2348" t="str">
        <f>""</f>
        <v/>
      </c>
      <c r="F2348" t="str">
        <f>""</f>
        <v/>
      </c>
      <c r="H2348" t="str">
        <f t="shared" si="57"/>
        <v>BCBS PAYABLE</v>
      </c>
    </row>
    <row r="2349" spans="5:8" x14ac:dyDescent="0.25">
      <c r="E2349" t="str">
        <f>""</f>
        <v/>
      </c>
      <c r="F2349" t="str">
        <f>""</f>
        <v/>
      </c>
      <c r="H2349" t="str">
        <f t="shared" si="57"/>
        <v>BCBS PAYABLE</v>
      </c>
    </row>
    <row r="2350" spans="5:8" x14ac:dyDescent="0.25">
      <c r="E2350" t="str">
        <f>""</f>
        <v/>
      </c>
      <c r="F2350" t="str">
        <f>""</f>
        <v/>
      </c>
      <c r="H2350" t="str">
        <f t="shared" si="57"/>
        <v>BCBS PAYABLE</v>
      </c>
    </row>
    <row r="2351" spans="5:8" x14ac:dyDescent="0.25">
      <c r="E2351" t="str">
        <f>""</f>
        <v/>
      </c>
      <c r="F2351" t="str">
        <f>""</f>
        <v/>
      </c>
      <c r="H2351" t="str">
        <f t="shared" si="57"/>
        <v>BCBS PAYABLE</v>
      </c>
    </row>
    <row r="2352" spans="5:8" x14ac:dyDescent="0.25">
      <c r="E2352" t="str">
        <f>""</f>
        <v/>
      </c>
      <c r="F2352" t="str">
        <f>""</f>
        <v/>
      </c>
      <c r="H2352" t="str">
        <f t="shared" si="57"/>
        <v>BCBS PAYABLE</v>
      </c>
    </row>
    <row r="2353" spans="1:8" x14ac:dyDescent="0.25">
      <c r="E2353" t="str">
        <f>""</f>
        <v/>
      </c>
      <c r="F2353" t="str">
        <f>""</f>
        <v/>
      </c>
      <c r="H2353" t="str">
        <f t="shared" si="57"/>
        <v>BCBS PAYABLE</v>
      </c>
    </row>
    <row r="2354" spans="1:8" x14ac:dyDescent="0.25">
      <c r="A2354" t="s">
        <v>336</v>
      </c>
      <c r="B2354">
        <v>386</v>
      </c>
      <c r="C2354" s="2">
        <v>11556.81</v>
      </c>
      <c r="D2354" s="1">
        <v>43868</v>
      </c>
      <c r="E2354" t="str">
        <f>"FSA202002045138"</f>
        <v>FSA202002045138</v>
      </c>
      <c r="F2354" t="str">
        <f>"TASC FSA"</f>
        <v>TASC FSA</v>
      </c>
      <c r="G2354" s="2">
        <v>7554.05</v>
      </c>
      <c r="H2354" t="str">
        <f>"TASC FSA"</f>
        <v>TASC FSA</v>
      </c>
    </row>
    <row r="2355" spans="1:8" x14ac:dyDescent="0.25">
      <c r="E2355" t="str">
        <f>"FSA202002055139"</f>
        <v>FSA202002055139</v>
      </c>
      <c r="F2355" t="str">
        <f>"TASC FSA"</f>
        <v>TASC FSA</v>
      </c>
      <c r="G2355" s="2">
        <v>445.4</v>
      </c>
      <c r="H2355" t="str">
        <f>"TASC FSA"</f>
        <v>TASC FSA</v>
      </c>
    </row>
    <row r="2356" spans="1:8" x14ac:dyDescent="0.25">
      <c r="E2356" t="str">
        <f>"FSC202002045138"</f>
        <v>FSC202002045138</v>
      </c>
      <c r="F2356" t="str">
        <f>"TASC DEPENDENT CARE"</f>
        <v>TASC DEPENDENT CARE</v>
      </c>
      <c r="G2356" s="2">
        <v>470</v>
      </c>
      <c r="H2356" t="str">
        <f>"TASC DEPENDENT CARE"</f>
        <v>TASC DEPENDENT CARE</v>
      </c>
    </row>
    <row r="2357" spans="1:8" x14ac:dyDescent="0.25">
      <c r="E2357" t="str">
        <f>"FSF202002045138"</f>
        <v>FSF202002045138</v>
      </c>
      <c r="F2357" t="str">
        <f>"TASC - FSA  FEES"</f>
        <v>TASC - FSA  FEES</v>
      </c>
      <c r="G2357" s="2">
        <v>250.2</v>
      </c>
      <c r="H2357" t="str">
        <f t="shared" ref="H2357:H2397" si="58">"TASC - FSA  FEES"</f>
        <v>TASC - FSA  FEES</v>
      </c>
    </row>
    <row r="2358" spans="1:8" x14ac:dyDescent="0.25">
      <c r="E2358" t="str">
        <f>""</f>
        <v/>
      </c>
      <c r="F2358" t="str">
        <f>""</f>
        <v/>
      </c>
      <c r="H2358" t="str">
        <f t="shared" si="58"/>
        <v>TASC - FSA  FEES</v>
      </c>
    </row>
    <row r="2359" spans="1:8" x14ac:dyDescent="0.25">
      <c r="E2359" t="str">
        <f>""</f>
        <v/>
      </c>
      <c r="F2359" t="str">
        <f>""</f>
        <v/>
      </c>
      <c r="H2359" t="str">
        <f t="shared" si="58"/>
        <v>TASC - FSA  FEES</v>
      </c>
    </row>
    <row r="2360" spans="1:8" x14ac:dyDescent="0.25">
      <c r="E2360" t="str">
        <f>""</f>
        <v/>
      </c>
      <c r="F2360" t="str">
        <f>""</f>
        <v/>
      </c>
      <c r="H2360" t="str">
        <f t="shared" si="58"/>
        <v>TASC - FSA  FEES</v>
      </c>
    </row>
    <row r="2361" spans="1:8" x14ac:dyDescent="0.25">
      <c r="E2361" t="str">
        <f>""</f>
        <v/>
      </c>
      <c r="F2361" t="str">
        <f>""</f>
        <v/>
      </c>
      <c r="H2361" t="str">
        <f t="shared" si="58"/>
        <v>TASC - FSA  FEES</v>
      </c>
    </row>
    <row r="2362" spans="1:8" x14ac:dyDescent="0.25">
      <c r="E2362" t="str">
        <f>""</f>
        <v/>
      </c>
      <c r="F2362" t="str">
        <f>""</f>
        <v/>
      </c>
      <c r="H2362" t="str">
        <f t="shared" si="58"/>
        <v>TASC - FSA  FEES</v>
      </c>
    </row>
    <row r="2363" spans="1:8" x14ac:dyDescent="0.25">
      <c r="E2363" t="str">
        <f>""</f>
        <v/>
      </c>
      <c r="F2363" t="str">
        <f>""</f>
        <v/>
      </c>
      <c r="H2363" t="str">
        <f t="shared" si="58"/>
        <v>TASC - FSA  FEES</v>
      </c>
    </row>
    <row r="2364" spans="1:8" x14ac:dyDescent="0.25">
      <c r="E2364" t="str">
        <f>""</f>
        <v/>
      </c>
      <c r="F2364" t="str">
        <f>""</f>
        <v/>
      </c>
      <c r="H2364" t="str">
        <f t="shared" si="58"/>
        <v>TASC - FSA  FEES</v>
      </c>
    </row>
    <row r="2365" spans="1:8" x14ac:dyDescent="0.25">
      <c r="E2365" t="str">
        <f>""</f>
        <v/>
      </c>
      <c r="F2365" t="str">
        <f>""</f>
        <v/>
      </c>
      <c r="H2365" t="str">
        <f t="shared" si="58"/>
        <v>TASC - FSA  FEES</v>
      </c>
    </row>
    <row r="2366" spans="1:8" x14ac:dyDescent="0.25">
      <c r="E2366" t="str">
        <f>""</f>
        <v/>
      </c>
      <c r="F2366" t="str">
        <f>""</f>
        <v/>
      </c>
      <c r="H2366" t="str">
        <f t="shared" si="58"/>
        <v>TASC - FSA  FEES</v>
      </c>
    </row>
    <row r="2367" spans="1:8" x14ac:dyDescent="0.25">
      <c r="E2367" t="str">
        <f>""</f>
        <v/>
      </c>
      <c r="F2367" t="str">
        <f>""</f>
        <v/>
      </c>
      <c r="H2367" t="str">
        <f t="shared" si="58"/>
        <v>TASC - FSA  FEES</v>
      </c>
    </row>
    <row r="2368" spans="1:8" x14ac:dyDescent="0.25">
      <c r="E2368" t="str">
        <f>""</f>
        <v/>
      </c>
      <c r="F2368" t="str">
        <f>""</f>
        <v/>
      </c>
      <c r="H2368" t="str">
        <f t="shared" si="58"/>
        <v>TASC - FSA  FEES</v>
      </c>
    </row>
    <row r="2369" spans="5:8" x14ac:dyDescent="0.25">
      <c r="E2369" t="str">
        <f>""</f>
        <v/>
      </c>
      <c r="F2369" t="str">
        <f>""</f>
        <v/>
      </c>
      <c r="H2369" t="str">
        <f t="shared" si="58"/>
        <v>TASC - FSA  FEES</v>
      </c>
    </row>
    <row r="2370" spans="5:8" x14ac:dyDescent="0.25">
      <c r="E2370" t="str">
        <f>""</f>
        <v/>
      </c>
      <c r="F2370" t="str">
        <f>""</f>
        <v/>
      </c>
      <c r="H2370" t="str">
        <f t="shared" si="58"/>
        <v>TASC - FSA  FEES</v>
      </c>
    </row>
    <row r="2371" spans="5:8" x14ac:dyDescent="0.25">
      <c r="E2371" t="str">
        <f>""</f>
        <v/>
      </c>
      <c r="F2371" t="str">
        <f>""</f>
        <v/>
      </c>
      <c r="H2371" t="str">
        <f t="shared" si="58"/>
        <v>TASC - FSA  FEES</v>
      </c>
    </row>
    <row r="2372" spans="5:8" x14ac:dyDescent="0.25">
      <c r="E2372" t="str">
        <f>""</f>
        <v/>
      </c>
      <c r="F2372" t="str">
        <f>""</f>
        <v/>
      </c>
      <c r="H2372" t="str">
        <f t="shared" si="58"/>
        <v>TASC - FSA  FEES</v>
      </c>
    </row>
    <row r="2373" spans="5:8" x14ac:dyDescent="0.25">
      <c r="E2373" t="str">
        <f>""</f>
        <v/>
      </c>
      <c r="F2373" t="str">
        <f>""</f>
        <v/>
      </c>
      <c r="H2373" t="str">
        <f t="shared" si="58"/>
        <v>TASC - FSA  FEES</v>
      </c>
    </row>
    <row r="2374" spans="5:8" x14ac:dyDescent="0.25">
      <c r="E2374" t="str">
        <f>""</f>
        <v/>
      </c>
      <c r="F2374" t="str">
        <f>""</f>
        <v/>
      </c>
      <c r="H2374" t="str">
        <f t="shared" si="58"/>
        <v>TASC - FSA  FEES</v>
      </c>
    </row>
    <row r="2375" spans="5:8" x14ac:dyDescent="0.25">
      <c r="E2375" t="str">
        <f>""</f>
        <v/>
      </c>
      <c r="F2375" t="str">
        <f>""</f>
        <v/>
      </c>
      <c r="H2375" t="str">
        <f t="shared" si="58"/>
        <v>TASC - FSA  FEES</v>
      </c>
    </row>
    <row r="2376" spans="5:8" x14ac:dyDescent="0.25">
      <c r="E2376" t="str">
        <f>""</f>
        <v/>
      </c>
      <c r="F2376" t="str">
        <f>""</f>
        <v/>
      </c>
      <c r="H2376" t="str">
        <f t="shared" si="58"/>
        <v>TASC - FSA  FEES</v>
      </c>
    </row>
    <row r="2377" spans="5:8" x14ac:dyDescent="0.25">
      <c r="E2377" t="str">
        <f>""</f>
        <v/>
      </c>
      <c r="F2377" t="str">
        <f>""</f>
        <v/>
      </c>
      <c r="H2377" t="str">
        <f t="shared" si="58"/>
        <v>TASC - FSA  FEES</v>
      </c>
    </row>
    <row r="2378" spans="5:8" x14ac:dyDescent="0.25">
      <c r="E2378" t="str">
        <f>""</f>
        <v/>
      </c>
      <c r="F2378" t="str">
        <f>""</f>
        <v/>
      </c>
      <c r="H2378" t="str">
        <f t="shared" si="58"/>
        <v>TASC - FSA  FEES</v>
      </c>
    </row>
    <row r="2379" spans="5:8" x14ac:dyDescent="0.25">
      <c r="E2379" t="str">
        <f>""</f>
        <v/>
      </c>
      <c r="F2379" t="str">
        <f>""</f>
        <v/>
      </c>
      <c r="H2379" t="str">
        <f t="shared" si="58"/>
        <v>TASC - FSA  FEES</v>
      </c>
    </row>
    <row r="2380" spans="5:8" x14ac:dyDescent="0.25">
      <c r="E2380" t="str">
        <f>""</f>
        <v/>
      </c>
      <c r="F2380" t="str">
        <f>""</f>
        <v/>
      </c>
      <c r="H2380" t="str">
        <f t="shared" si="58"/>
        <v>TASC - FSA  FEES</v>
      </c>
    </row>
    <row r="2381" spans="5:8" x14ac:dyDescent="0.25">
      <c r="E2381" t="str">
        <f>""</f>
        <v/>
      </c>
      <c r="F2381" t="str">
        <f>""</f>
        <v/>
      </c>
      <c r="H2381" t="str">
        <f t="shared" si="58"/>
        <v>TASC - FSA  FEES</v>
      </c>
    </row>
    <row r="2382" spans="5:8" x14ac:dyDescent="0.25">
      <c r="E2382" t="str">
        <f>""</f>
        <v/>
      </c>
      <c r="F2382" t="str">
        <f>""</f>
        <v/>
      </c>
      <c r="H2382" t="str">
        <f t="shared" si="58"/>
        <v>TASC - FSA  FEES</v>
      </c>
    </row>
    <row r="2383" spans="5:8" x14ac:dyDescent="0.25">
      <c r="E2383" t="str">
        <f>""</f>
        <v/>
      </c>
      <c r="F2383" t="str">
        <f>""</f>
        <v/>
      </c>
      <c r="H2383" t="str">
        <f t="shared" si="58"/>
        <v>TASC - FSA  FEES</v>
      </c>
    </row>
    <row r="2384" spans="5:8" x14ac:dyDescent="0.25">
      <c r="E2384" t="str">
        <f>""</f>
        <v/>
      </c>
      <c r="F2384" t="str">
        <f>""</f>
        <v/>
      </c>
      <c r="H2384" t="str">
        <f t="shared" si="58"/>
        <v>TASC - FSA  FEES</v>
      </c>
    </row>
    <row r="2385" spans="5:8" x14ac:dyDescent="0.25">
      <c r="E2385" t="str">
        <f>""</f>
        <v/>
      </c>
      <c r="F2385" t="str">
        <f>""</f>
        <v/>
      </c>
      <c r="H2385" t="str">
        <f t="shared" si="58"/>
        <v>TASC - FSA  FEES</v>
      </c>
    </row>
    <row r="2386" spans="5:8" x14ac:dyDescent="0.25">
      <c r="E2386" t="str">
        <f>""</f>
        <v/>
      </c>
      <c r="F2386" t="str">
        <f>""</f>
        <v/>
      </c>
      <c r="H2386" t="str">
        <f t="shared" si="58"/>
        <v>TASC - FSA  FEES</v>
      </c>
    </row>
    <row r="2387" spans="5:8" x14ac:dyDescent="0.25">
      <c r="E2387" t="str">
        <f>""</f>
        <v/>
      </c>
      <c r="F2387" t="str">
        <f>""</f>
        <v/>
      </c>
      <c r="H2387" t="str">
        <f t="shared" si="58"/>
        <v>TASC - FSA  FEES</v>
      </c>
    </row>
    <row r="2388" spans="5:8" x14ac:dyDescent="0.25">
      <c r="E2388" t="str">
        <f>""</f>
        <v/>
      </c>
      <c r="F2388" t="str">
        <f>""</f>
        <v/>
      </c>
      <c r="H2388" t="str">
        <f t="shared" si="58"/>
        <v>TASC - FSA  FEES</v>
      </c>
    </row>
    <row r="2389" spans="5:8" x14ac:dyDescent="0.25">
      <c r="E2389" t="str">
        <f>""</f>
        <v/>
      </c>
      <c r="F2389" t="str">
        <f>""</f>
        <v/>
      </c>
      <c r="H2389" t="str">
        <f t="shared" si="58"/>
        <v>TASC - FSA  FEES</v>
      </c>
    </row>
    <row r="2390" spans="5:8" x14ac:dyDescent="0.25">
      <c r="E2390" t="str">
        <f>""</f>
        <v/>
      </c>
      <c r="F2390" t="str">
        <f>""</f>
        <v/>
      </c>
      <c r="H2390" t="str">
        <f t="shared" si="58"/>
        <v>TASC - FSA  FEES</v>
      </c>
    </row>
    <row r="2391" spans="5:8" x14ac:dyDescent="0.25">
      <c r="E2391" t="str">
        <f>""</f>
        <v/>
      </c>
      <c r="F2391" t="str">
        <f>""</f>
        <v/>
      </c>
      <c r="H2391" t="str">
        <f t="shared" si="58"/>
        <v>TASC - FSA  FEES</v>
      </c>
    </row>
    <row r="2392" spans="5:8" x14ac:dyDescent="0.25">
      <c r="E2392" t="str">
        <f>""</f>
        <v/>
      </c>
      <c r="F2392" t="str">
        <f>""</f>
        <v/>
      </c>
      <c r="H2392" t="str">
        <f t="shared" si="58"/>
        <v>TASC - FSA  FEES</v>
      </c>
    </row>
    <row r="2393" spans="5:8" x14ac:dyDescent="0.25">
      <c r="E2393" t="str">
        <f>""</f>
        <v/>
      </c>
      <c r="F2393" t="str">
        <f>""</f>
        <v/>
      </c>
      <c r="H2393" t="str">
        <f t="shared" si="58"/>
        <v>TASC - FSA  FEES</v>
      </c>
    </row>
    <row r="2394" spans="5:8" x14ac:dyDescent="0.25">
      <c r="E2394" t="str">
        <f>""</f>
        <v/>
      </c>
      <c r="F2394" t="str">
        <f>""</f>
        <v/>
      </c>
      <c r="H2394" t="str">
        <f t="shared" si="58"/>
        <v>TASC - FSA  FEES</v>
      </c>
    </row>
    <row r="2395" spans="5:8" x14ac:dyDescent="0.25">
      <c r="E2395" t="str">
        <f>""</f>
        <v/>
      </c>
      <c r="F2395" t="str">
        <f>""</f>
        <v/>
      </c>
      <c r="H2395" t="str">
        <f t="shared" si="58"/>
        <v>TASC - FSA  FEES</v>
      </c>
    </row>
    <row r="2396" spans="5:8" x14ac:dyDescent="0.25">
      <c r="E2396" t="str">
        <f>""</f>
        <v/>
      </c>
      <c r="F2396" t="str">
        <f>""</f>
        <v/>
      </c>
      <c r="H2396" t="str">
        <f t="shared" si="58"/>
        <v>TASC - FSA  FEES</v>
      </c>
    </row>
    <row r="2397" spans="5:8" x14ac:dyDescent="0.25">
      <c r="E2397" t="str">
        <f>"FSF202002055139"</f>
        <v>FSF202002055139</v>
      </c>
      <c r="F2397" t="str">
        <f>"TASC - FSA  FEES"</f>
        <v>TASC - FSA  FEES</v>
      </c>
      <c r="G2397" s="2">
        <v>12.6</v>
      </c>
      <c r="H2397" t="str">
        <f t="shared" si="58"/>
        <v>TASC - FSA  FEES</v>
      </c>
    </row>
    <row r="2398" spans="5:8" x14ac:dyDescent="0.25">
      <c r="E2398" t="str">
        <f>"HRA202002045138"</f>
        <v>HRA202002045138</v>
      </c>
      <c r="F2398" t="str">
        <f>"TASC HRA"</f>
        <v>TASC HRA</v>
      </c>
      <c r="G2398" s="2">
        <v>2000.16</v>
      </c>
      <c r="H2398" t="str">
        <f>"TASC HRA"</f>
        <v>TASC HRA</v>
      </c>
    </row>
    <row r="2399" spans="5:8" x14ac:dyDescent="0.25">
      <c r="E2399" t="str">
        <f>""</f>
        <v/>
      </c>
      <c r="F2399" t="str">
        <f>""</f>
        <v/>
      </c>
      <c r="H2399" t="str">
        <f>"TASC HRA"</f>
        <v>TASC HRA</v>
      </c>
    </row>
    <row r="2400" spans="5:8" x14ac:dyDescent="0.25">
      <c r="E2400" t="str">
        <f>""</f>
        <v/>
      </c>
      <c r="F2400" t="str">
        <f>""</f>
        <v/>
      </c>
      <c r="H2400" t="str">
        <f>"TASC HRA"</f>
        <v>TASC HRA</v>
      </c>
    </row>
    <row r="2401" spans="5:8" x14ac:dyDescent="0.25">
      <c r="E2401" t="str">
        <f>"HRF202002045138"</f>
        <v>HRF202002045138</v>
      </c>
      <c r="F2401" t="str">
        <f>"TASC - HRA FEES"</f>
        <v>TASC - HRA FEES</v>
      </c>
      <c r="G2401" s="2">
        <v>793.8</v>
      </c>
      <c r="H2401" t="str">
        <f t="shared" ref="H2401:H2432" si="59">"TASC - HRA FEES"</f>
        <v>TASC - HRA FEES</v>
      </c>
    </row>
    <row r="2402" spans="5:8" x14ac:dyDescent="0.25">
      <c r="E2402" t="str">
        <f>""</f>
        <v/>
      </c>
      <c r="F2402" t="str">
        <f>""</f>
        <v/>
      </c>
      <c r="H2402" t="str">
        <f t="shared" si="59"/>
        <v>TASC - HRA FEES</v>
      </c>
    </row>
    <row r="2403" spans="5:8" x14ac:dyDescent="0.25">
      <c r="E2403" t="str">
        <f>""</f>
        <v/>
      </c>
      <c r="F2403" t="str">
        <f>""</f>
        <v/>
      </c>
      <c r="H2403" t="str">
        <f t="shared" si="59"/>
        <v>TASC - HRA FEES</v>
      </c>
    </row>
    <row r="2404" spans="5:8" x14ac:dyDescent="0.25">
      <c r="E2404" t="str">
        <f>""</f>
        <v/>
      </c>
      <c r="F2404" t="str">
        <f>""</f>
        <v/>
      </c>
      <c r="H2404" t="str">
        <f t="shared" si="59"/>
        <v>TASC - HRA FEES</v>
      </c>
    </row>
    <row r="2405" spans="5:8" x14ac:dyDescent="0.25">
      <c r="E2405" t="str">
        <f>""</f>
        <v/>
      </c>
      <c r="F2405" t="str">
        <f>""</f>
        <v/>
      </c>
      <c r="H2405" t="str">
        <f t="shared" si="59"/>
        <v>TASC - HRA FEES</v>
      </c>
    </row>
    <row r="2406" spans="5:8" x14ac:dyDescent="0.25">
      <c r="E2406" t="str">
        <f>""</f>
        <v/>
      </c>
      <c r="F2406" t="str">
        <f>""</f>
        <v/>
      </c>
      <c r="H2406" t="str">
        <f t="shared" si="59"/>
        <v>TASC - HRA FEES</v>
      </c>
    </row>
    <row r="2407" spans="5:8" x14ac:dyDescent="0.25">
      <c r="E2407" t="str">
        <f>""</f>
        <v/>
      </c>
      <c r="F2407" t="str">
        <f>""</f>
        <v/>
      </c>
      <c r="H2407" t="str">
        <f t="shared" si="59"/>
        <v>TASC - HRA FEES</v>
      </c>
    </row>
    <row r="2408" spans="5:8" x14ac:dyDescent="0.25">
      <c r="E2408" t="str">
        <f>""</f>
        <v/>
      </c>
      <c r="F2408" t="str">
        <f>""</f>
        <v/>
      </c>
      <c r="H2408" t="str">
        <f t="shared" si="59"/>
        <v>TASC - HRA FEES</v>
      </c>
    </row>
    <row r="2409" spans="5:8" x14ac:dyDescent="0.25">
      <c r="E2409" t="str">
        <f>""</f>
        <v/>
      </c>
      <c r="F2409" t="str">
        <f>""</f>
        <v/>
      </c>
      <c r="H2409" t="str">
        <f t="shared" si="59"/>
        <v>TASC - HRA FEES</v>
      </c>
    </row>
    <row r="2410" spans="5:8" x14ac:dyDescent="0.25">
      <c r="E2410" t="str">
        <f>""</f>
        <v/>
      </c>
      <c r="F2410" t="str">
        <f>""</f>
        <v/>
      </c>
      <c r="H2410" t="str">
        <f t="shared" si="59"/>
        <v>TASC - HRA FEES</v>
      </c>
    </row>
    <row r="2411" spans="5:8" x14ac:dyDescent="0.25">
      <c r="E2411" t="str">
        <f>""</f>
        <v/>
      </c>
      <c r="F2411" t="str">
        <f>""</f>
        <v/>
      </c>
      <c r="H2411" t="str">
        <f t="shared" si="59"/>
        <v>TASC - HRA FEES</v>
      </c>
    </row>
    <row r="2412" spans="5:8" x14ac:dyDescent="0.25">
      <c r="E2412" t="str">
        <f>""</f>
        <v/>
      </c>
      <c r="F2412" t="str">
        <f>""</f>
        <v/>
      </c>
      <c r="H2412" t="str">
        <f t="shared" si="59"/>
        <v>TASC - HRA FEES</v>
      </c>
    </row>
    <row r="2413" spans="5:8" x14ac:dyDescent="0.25">
      <c r="E2413" t="str">
        <f>""</f>
        <v/>
      </c>
      <c r="F2413" t="str">
        <f>""</f>
        <v/>
      </c>
      <c r="H2413" t="str">
        <f t="shared" si="59"/>
        <v>TASC - HRA FEES</v>
      </c>
    </row>
    <row r="2414" spans="5:8" x14ac:dyDescent="0.25">
      <c r="E2414" t="str">
        <f>""</f>
        <v/>
      </c>
      <c r="F2414" t="str">
        <f>""</f>
        <v/>
      </c>
      <c r="H2414" t="str">
        <f t="shared" si="59"/>
        <v>TASC - HRA FEES</v>
      </c>
    </row>
    <row r="2415" spans="5:8" x14ac:dyDescent="0.25">
      <c r="E2415" t="str">
        <f>""</f>
        <v/>
      </c>
      <c r="F2415" t="str">
        <f>""</f>
        <v/>
      </c>
      <c r="H2415" t="str">
        <f t="shared" si="59"/>
        <v>TASC - HRA FEES</v>
      </c>
    </row>
    <row r="2416" spans="5:8" x14ac:dyDescent="0.25">
      <c r="E2416" t="str">
        <f>""</f>
        <v/>
      </c>
      <c r="F2416" t="str">
        <f>""</f>
        <v/>
      </c>
      <c r="H2416" t="str">
        <f t="shared" si="59"/>
        <v>TASC - HRA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59"/>
        <v>TASC - HRA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59"/>
        <v>TASC - HRA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59"/>
        <v>TASC - HRA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59"/>
        <v>TASC - HRA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59"/>
        <v>TASC - HRA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59"/>
        <v>TASC - HRA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59"/>
        <v>TASC - HRA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59"/>
        <v>TASC - HRA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59"/>
        <v>TASC - HRA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59"/>
        <v>TASC - HRA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59"/>
        <v>TASC - HRA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59"/>
        <v>TASC - HRA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59"/>
        <v>TASC - HRA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59"/>
        <v>TASC - HRA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59"/>
        <v>TASC - HRA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59"/>
        <v>TASC - HRA FEES</v>
      </c>
    </row>
    <row r="2433" spans="5:8" x14ac:dyDescent="0.25">
      <c r="E2433" t="str">
        <f>""</f>
        <v/>
      </c>
      <c r="F2433" t="str">
        <f>""</f>
        <v/>
      </c>
      <c r="H2433" t="str">
        <f t="shared" ref="H2433:H2452" si="60">"TASC - HRA FEES"</f>
        <v>TASC - HRA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60"/>
        <v>TASC - HRA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60"/>
        <v>TASC - HRA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60"/>
        <v>TASC - HRA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60"/>
        <v>TASC - HRA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60"/>
        <v>TASC - HRA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60"/>
        <v>TASC - HRA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60"/>
        <v>TASC - HRA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60"/>
        <v>TASC - HRA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60"/>
        <v>TASC - HRA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60"/>
        <v>TASC - HRA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60"/>
        <v>TASC - HRA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60"/>
        <v>TASC - HRA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60"/>
        <v>TASC - HRA FEES</v>
      </c>
    </row>
    <row r="2447" spans="5:8" x14ac:dyDescent="0.25">
      <c r="E2447" t="str">
        <f>""</f>
        <v/>
      </c>
      <c r="F2447" t="str">
        <f>""</f>
        <v/>
      </c>
      <c r="H2447" t="str">
        <f t="shared" si="60"/>
        <v>TASC - HRA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60"/>
        <v>TASC - HRA FEES</v>
      </c>
    </row>
    <row r="2449" spans="1:8" x14ac:dyDescent="0.25">
      <c r="E2449" t="str">
        <f>""</f>
        <v/>
      </c>
      <c r="F2449" t="str">
        <f>""</f>
        <v/>
      </c>
      <c r="H2449" t="str">
        <f t="shared" si="60"/>
        <v>TASC - HRA FEES</v>
      </c>
    </row>
    <row r="2450" spans="1:8" x14ac:dyDescent="0.25">
      <c r="E2450" t="str">
        <f>""</f>
        <v/>
      </c>
      <c r="F2450" t="str">
        <f>""</f>
        <v/>
      </c>
      <c r="H2450" t="str">
        <f t="shared" si="60"/>
        <v>TASC - HRA FEES</v>
      </c>
    </row>
    <row r="2451" spans="1:8" x14ac:dyDescent="0.25">
      <c r="E2451" t="str">
        <f>""</f>
        <v/>
      </c>
      <c r="F2451" t="str">
        <f>""</f>
        <v/>
      </c>
      <c r="H2451" t="str">
        <f t="shared" si="60"/>
        <v>TASC - HRA FEES</v>
      </c>
    </row>
    <row r="2452" spans="1:8" x14ac:dyDescent="0.25">
      <c r="E2452" t="str">
        <f>"HRF202002055139"</f>
        <v>HRF202002055139</v>
      </c>
      <c r="F2452" t="str">
        <f>"TASC - HRA FEES"</f>
        <v>TASC - HRA FEES</v>
      </c>
      <c r="G2452" s="2">
        <v>30.6</v>
      </c>
      <c r="H2452" t="str">
        <f t="shared" si="60"/>
        <v>TASC - HRA FEES</v>
      </c>
    </row>
    <row r="2453" spans="1:8" x14ac:dyDescent="0.25">
      <c r="A2453" t="s">
        <v>336</v>
      </c>
      <c r="B2453">
        <v>420</v>
      </c>
      <c r="C2453" s="2">
        <v>9556.65</v>
      </c>
      <c r="D2453" s="1">
        <v>43882</v>
      </c>
      <c r="E2453" t="str">
        <f>"FSA202002195431"</f>
        <v>FSA202002195431</v>
      </c>
      <c r="F2453" t="str">
        <f>"TASC FSA"</f>
        <v>TASC FSA</v>
      </c>
      <c r="G2453" s="2">
        <v>7554.05</v>
      </c>
      <c r="H2453" t="str">
        <f>"TASC FSA"</f>
        <v>TASC FSA</v>
      </c>
    </row>
    <row r="2454" spans="1:8" x14ac:dyDescent="0.25">
      <c r="E2454" t="str">
        <f>"FSA202002195435"</f>
        <v>FSA202002195435</v>
      </c>
      <c r="F2454" t="str">
        <f>"TASC FSA"</f>
        <v>TASC FSA</v>
      </c>
      <c r="G2454" s="2">
        <v>445.4</v>
      </c>
      <c r="H2454" t="str">
        <f>"TASC FSA"</f>
        <v>TASC FSA</v>
      </c>
    </row>
    <row r="2455" spans="1:8" x14ac:dyDescent="0.25">
      <c r="E2455" t="str">
        <f>"FSC202002195431"</f>
        <v>FSC202002195431</v>
      </c>
      <c r="F2455" t="str">
        <f>"TASC DEPENDENT CARE"</f>
        <v>TASC DEPENDENT CARE</v>
      </c>
      <c r="G2455" s="2">
        <v>470</v>
      </c>
      <c r="H2455" t="str">
        <f>"TASC DEPENDENT CARE"</f>
        <v>TASC DEPENDENT CARE</v>
      </c>
    </row>
    <row r="2456" spans="1:8" x14ac:dyDescent="0.25">
      <c r="E2456" t="str">
        <f>"FSF202002195431"</f>
        <v>FSF202002195431</v>
      </c>
      <c r="F2456" t="str">
        <f>"TASC - FSA  FEES"</f>
        <v>TASC - FSA  FEES</v>
      </c>
      <c r="G2456" s="2">
        <v>250.2</v>
      </c>
      <c r="H2456" t="str">
        <f t="shared" ref="H2456:H2496" si="61">"TASC - FSA  FEES"</f>
        <v>TASC - FSA  FEES</v>
      </c>
    </row>
    <row r="2457" spans="1:8" x14ac:dyDescent="0.25">
      <c r="E2457" t="str">
        <f>""</f>
        <v/>
      </c>
      <c r="F2457" t="str">
        <f>""</f>
        <v/>
      </c>
      <c r="H2457" t="str">
        <f t="shared" si="61"/>
        <v>TASC - FSA  FEES</v>
      </c>
    </row>
    <row r="2458" spans="1:8" x14ac:dyDescent="0.25">
      <c r="E2458" t="str">
        <f>""</f>
        <v/>
      </c>
      <c r="F2458" t="str">
        <f>""</f>
        <v/>
      </c>
      <c r="H2458" t="str">
        <f t="shared" si="61"/>
        <v>TASC - FSA  FEES</v>
      </c>
    </row>
    <row r="2459" spans="1:8" x14ac:dyDescent="0.25">
      <c r="E2459" t="str">
        <f>""</f>
        <v/>
      </c>
      <c r="F2459" t="str">
        <f>""</f>
        <v/>
      </c>
      <c r="H2459" t="str">
        <f t="shared" si="61"/>
        <v>TASC - FSA  FEES</v>
      </c>
    </row>
    <row r="2460" spans="1:8" x14ac:dyDescent="0.25">
      <c r="E2460" t="str">
        <f>""</f>
        <v/>
      </c>
      <c r="F2460" t="str">
        <f>""</f>
        <v/>
      </c>
      <c r="H2460" t="str">
        <f t="shared" si="61"/>
        <v>TASC - FSA  FEES</v>
      </c>
    </row>
    <row r="2461" spans="1:8" x14ac:dyDescent="0.25">
      <c r="E2461" t="str">
        <f>""</f>
        <v/>
      </c>
      <c r="F2461" t="str">
        <f>""</f>
        <v/>
      </c>
      <c r="H2461" t="str">
        <f t="shared" si="61"/>
        <v>TASC - FSA  FEES</v>
      </c>
    </row>
    <row r="2462" spans="1:8" x14ac:dyDescent="0.25">
      <c r="E2462" t="str">
        <f>""</f>
        <v/>
      </c>
      <c r="F2462" t="str">
        <f>""</f>
        <v/>
      </c>
      <c r="H2462" t="str">
        <f t="shared" si="61"/>
        <v>TASC - FSA  FEES</v>
      </c>
    </row>
    <row r="2463" spans="1:8" x14ac:dyDescent="0.25">
      <c r="E2463" t="str">
        <f>""</f>
        <v/>
      </c>
      <c r="F2463" t="str">
        <f>""</f>
        <v/>
      </c>
      <c r="H2463" t="str">
        <f t="shared" si="61"/>
        <v>TASC - FSA  FEES</v>
      </c>
    </row>
    <row r="2464" spans="1:8" x14ac:dyDescent="0.25">
      <c r="E2464" t="str">
        <f>""</f>
        <v/>
      </c>
      <c r="F2464" t="str">
        <f>""</f>
        <v/>
      </c>
      <c r="H2464" t="str">
        <f t="shared" si="61"/>
        <v>TASC - FSA 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61"/>
        <v>TASC - FSA 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61"/>
        <v>TASC - FSA  FEES</v>
      </c>
    </row>
    <row r="2467" spans="5:8" x14ac:dyDescent="0.25">
      <c r="E2467" t="str">
        <f>""</f>
        <v/>
      </c>
      <c r="F2467" t="str">
        <f>""</f>
        <v/>
      </c>
      <c r="H2467" t="str">
        <f t="shared" si="61"/>
        <v>TASC - FSA 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61"/>
        <v>TASC - FSA 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61"/>
        <v>TASC - FSA 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61"/>
        <v>TASC - FSA 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61"/>
        <v>TASC - FSA 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61"/>
        <v>TASC - FSA 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61"/>
        <v>TASC - FSA 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61"/>
        <v>TASC - FSA 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61"/>
        <v>TASC - FSA  FEES</v>
      </c>
    </row>
    <row r="2476" spans="5:8" x14ac:dyDescent="0.25">
      <c r="E2476" t="str">
        <f>""</f>
        <v/>
      </c>
      <c r="F2476" t="str">
        <f>""</f>
        <v/>
      </c>
      <c r="H2476" t="str">
        <f t="shared" si="61"/>
        <v>TASC - FSA 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61"/>
        <v>TASC - FSA 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61"/>
        <v>TASC - FSA 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61"/>
        <v>TASC - FSA 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61"/>
        <v>TASC - FSA  FEES</v>
      </c>
    </row>
    <row r="2481" spans="5:8" x14ac:dyDescent="0.25">
      <c r="E2481" t="str">
        <f>""</f>
        <v/>
      </c>
      <c r="F2481" t="str">
        <f>""</f>
        <v/>
      </c>
      <c r="H2481" t="str">
        <f t="shared" si="61"/>
        <v>TASC - FSA  FEES</v>
      </c>
    </row>
    <row r="2482" spans="5:8" x14ac:dyDescent="0.25">
      <c r="E2482" t="str">
        <f>""</f>
        <v/>
      </c>
      <c r="F2482" t="str">
        <f>""</f>
        <v/>
      </c>
      <c r="H2482" t="str">
        <f t="shared" si="61"/>
        <v>TASC - FSA  FEES</v>
      </c>
    </row>
    <row r="2483" spans="5:8" x14ac:dyDescent="0.25">
      <c r="E2483" t="str">
        <f>""</f>
        <v/>
      </c>
      <c r="F2483" t="str">
        <f>""</f>
        <v/>
      </c>
      <c r="H2483" t="str">
        <f t="shared" si="61"/>
        <v>TASC - FSA 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61"/>
        <v>TASC - FSA 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61"/>
        <v>TASC - FSA  FEES</v>
      </c>
    </row>
    <row r="2486" spans="5:8" x14ac:dyDescent="0.25">
      <c r="E2486" t="str">
        <f>""</f>
        <v/>
      </c>
      <c r="F2486" t="str">
        <f>""</f>
        <v/>
      </c>
      <c r="H2486" t="str">
        <f t="shared" si="61"/>
        <v>TASC - FSA 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61"/>
        <v>TASC - FSA 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61"/>
        <v>TASC - FSA 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61"/>
        <v>TASC - FSA 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61"/>
        <v>TASC - FSA 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61"/>
        <v>TASC - FSA 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61"/>
        <v>TASC - FSA 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61"/>
        <v>TASC - FSA 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61"/>
        <v>TASC - FSA 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61"/>
        <v>TASC - FSA  FEES</v>
      </c>
    </row>
    <row r="2496" spans="5:8" x14ac:dyDescent="0.25">
      <c r="E2496" t="str">
        <f>"FSF202002195435"</f>
        <v>FSF202002195435</v>
      </c>
      <c r="F2496" t="str">
        <f>"TASC - FSA  FEES"</f>
        <v>TASC - FSA  FEES</v>
      </c>
      <c r="G2496" s="2">
        <v>12.6</v>
      </c>
      <c r="H2496" t="str">
        <f t="shared" si="61"/>
        <v>TASC - FSA  FEES</v>
      </c>
    </row>
    <row r="2497" spans="5:8" x14ac:dyDescent="0.25">
      <c r="E2497" t="str">
        <f>"HRF202002195431"</f>
        <v>HRF202002195431</v>
      </c>
      <c r="F2497" t="str">
        <f>"TASC - HRA FEES"</f>
        <v>TASC - HRA FEES</v>
      </c>
      <c r="G2497" s="2">
        <v>793.8</v>
      </c>
      <c r="H2497" t="str">
        <f t="shared" ref="H2497:H2528" si="62">"TASC - HRA FEES"</f>
        <v>TASC - HRA FEES</v>
      </c>
    </row>
    <row r="2498" spans="5:8" x14ac:dyDescent="0.25">
      <c r="E2498" t="str">
        <f>""</f>
        <v/>
      </c>
      <c r="F2498" t="str">
        <f>""</f>
        <v/>
      </c>
      <c r="H2498" t="str">
        <f t="shared" si="62"/>
        <v>TASC - HRA FEES</v>
      </c>
    </row>
    <row r="2499" spans="5:8" x14ac:dyDescent="0.25">
      <c r="E2499" t="str">
        <f>""</f>
        <v/>
      </c>
      <c r="F2499" t="str">
        <f>""</f>
        <v/>
      </c>
      <c r="H2499" t="str">
        <f t="shared" si="62"/>
        <v>TASC - HRA FEES</v>
      </c>
    </row>
    <row r="2500" spans="5:8" x14ac:dyDescent="0.25">
      <c r="E2500" t="str">
        <f>""</f>
        <v/>
      </c>
      <c r="F2500" t="str">
        <f>""</f>
        <v/>
      </c>
      <c r="H2500" t="str">
        <f t="shared" si="62"/>
        <v>TASC - HRA FEES</v>
      </c>
    </row>
    <row r="2501" spans="5:8" x14ac:dyDescent="0.25">
      <c r="E2501" t="str">
        <f>""</f>
        <v/>
      </c>
      <c r="F2501" t="str">
        <f>""</f>
        <v/>
      </c>
      <c r="H2501" t="str">
        <f t="shared" si="62"/>
        <v>TASC - HRA FEES</v>
      </c>
    </row>
    <row r="2502" spans="5:8" x14ac:dyDescent="0.25">
      <c r="E2502" t="str">
        <f>""</f>
        <v/>
      </c>
      <c r="F2502" t="str">
        <f>""</f>
        <v/>
      </c>
      <c r="H2502" t="str">
        <f t="shared" si="62"/>
        <v>TASC - HRA FEES</v>
      </c>
    </row>
    <row r="2503" spans="5:8" x14ac:dyDescent="0.25">
      <c r="E2503" t="str">
        <f>""</f>
        <v/>
      </c>
      <c r="F2503" t="str">
        <f>""</f>
        <v/>
      </c>
      <c r="H2503" t="str">
        <f t="shared" si="62"/>
        <v>TASC - HRA FEES</v>
      </c>
    </row>
    <row r="2504" spans="5:8" x14ac:dyDescent="0.25">
      <c r="E2504" t="str">
        <f>""</f>
        <v/>
      </c>
      <c r="F2504" t="str">
        <f>""</f>
        <v/>
      </c>
      <c r="H2504" t="str">
        <f t="shared" si="62"/>
        <v>TASC - HRA FEES</v>
      </c>
    </row>
    <row r="2505" spans="5:8" x14ac:dyDescent="0.25">
      <c r="E2505" t="str">
        <f>""</f>
        <v/>
      </c>
      <c r="F2505" t="str">
        <f>""</f>
        <v/>
      </c>
      <c r="H2505" t="str">
        <f t="shared" si="62"/>
        <v>TASC - HRA FEES</v>
      </c>
    </row>
    <row r="2506" spans="5:8" x14ac:dyDescent="0.25">
      <c r="E2506" t="str">
        <f>""</f>
        <v/>
      </c>
      <c r="F2506" t="str">
        <f>""</f>
        <v/>
      </c>
      <c r="H2506" t="str">
        <f t="shared" si="62"/>
        <v>TASC - HRA FEES</v>
      </c>
    </row>
    <row r="2507" spans="5:8" x14ac:dyDescent="0.25">
      <c r="E2507" t="str">
        <f>""</f>
        <v/>
      </c>
      <c r="F2507" t="str">
        <f>""</f>
        <v/>
      </c>
      <c r="H2507" t="str">
        <f t="shared" si="62"/>
        <v>TASC - HRA FEES</v>
      </c>
    </row>
    <row r="2508" spans="5:8" x14ac:dyDescent="0.25">
      <c r="E2508" t="str">
        <f>""</f>
        <v/>
      </c>
      <c r="F2508" t="str">
        <f>""</f>
        <v/>
      </c>
      <c r="H2508" t="str">
        <f t="shared" si="62"/>
        <v>TASC - HRA FEES</v>
      </c>
    </row>
    <row r="2509" spans="5:8" x14ac:dyDescent="0.25">
      <c r="E2509" t="str">
        <f>""</f>
        <v/>
      </c>
      <c r="F2509" t="str">
        <f>""</f>
        <v/>
      </c>
      <c r="H2509" t="str">
        <f t="shared" si="62"/>
        <v>TASC - HRA FEES</v>
      </c>
    </row>
    <row r="2510" spans="5:8" x14ac:dyDescent="0.25">
      <c r="E2510" t="str">
        <f>""</f>
        <v/>
      </c>
      <c r="F2510" t="str">
        <f>""</f>
        <v/>
      </c>
      <c r="H2510" t="str">
        <f t="shared" si="62"/>
        <v>TASC - HRA FEES</v>
      </c>
    </row>
    <row r="2511" spans="5:8" x14ac:dyDescent="0.25">
      <c r="E2511" t="str">
        <f>""</f>
        <v/>
      </c>
      <c r="F2511" t="str">
        <f>""</f>
        <v/>
      </c>
      <c r="H2511" t="str">
        <f t="shared" si="62"/>
        <v>TASC - HRA FEES</v>
      </c>
    </row>
    <row r="2512" spans="5:8" x14ac:dyDescent="0.25">
      <c r="E2512" t="str">
        <f>""</f>
        <v/>
      </c>
      <c r="F2512" t="str">
        <f>""</f>
        <v/>
      </c>
      <c r="H2512" t="str">
        <f t="shared" si="62"/>
        <v>TASC - HRA FEES</v>
      </c>
    </row>
    <row r="2513" spans="5:8" x14ac:dyDescent="0.25">
      <c r="E2513" t="str">
        <f>""</f>
        <v/>
      </c>
      <c r="F2513" t="str">
        <f>""</f>
        <v/>
      </c>
      <c r="H2513" t="str">
        <f t="shared" si="62"/>
        <v>TASC - HRA FEES</v>
      </c>
    </row>
    <row r="2514" spans="5:8" x14ac:dyDescent="0.25">
      <c r="E2514" t="str">
        <f>""</f>
        <v/>
      </c>
      <c r="F2514" t="str">
        <f>""</f>
        <v/>
      </c>
      <c r="H2514" t="str">
        <f t="shared" si="62"/>
        <v>TASC - HRA FEES</v>
      </c>
    </row>
    <row r="2515" spans="5:8" x14ac:dyDescent="0.25">
      <c r="E2515" t="str">
        <f>""</f>
        <v/>
      </c>
      <c r="F2515" t="str">
        <f>""</f>
        <v/>
      </c>
      <c r="H2515" t="str">
        <f t="shared" si="62"/>
        <v>TASC - HRA FEES</v>
      </c>
    </row>
    <row r="2516" spans="5:8" x14ac:dyDescent="0.25">
      <c r="E2516" t="str">
        <f>""</f>
        <v/>
      </c>
      <c r="F2516" t="str">
        <f>""</f>
        <v/>
      </c>
      <c r="H2516" t="str">
        <f t="shared" si="62"/>
        <v>TASC - HRA FEES</v>
      </c>
    </row>
    <row r="2517" spans="5:8" x14ac:dyDescent="0.25">
      <c r="E2517" t="str">
        <f>""</f>
        <v/>
      </c>
      <c r="F2517" t="str">
        <f>""</f>
        <v/>
      </c>
      <c r="H2517" t="str">
        <f t="shared" si="62"/>
        <v>TASC - HRA FEES</v>
      </c>
    </row>
    <row r="2518" spans="5:8" x14ac:dyDescent="0.25">
      <c r="E2518" t="str">
        <f>""</f>
        <v/>
      </c>
      <c r="F2518" t="str">
        <f>""</f>
        <v/>
      </c>
      <c r="H2518" t="str">
        <f t="shared" si="62"/>
        <v>TASC - HRA FEES</v>
      </c>
    </row>
    <row r="2519" spans="5:8" x14ac:dyDescent="0.25">
      <c r="E2519" t="str">
        <f>""</f>
        <v/>
      </c>
      <c r="F2519" t="str">
        <f>""</f>
        <v/>
      </c>
      <c r="H2519" t="str">
        <f t="shared" si="62"/>
        <v>TASC - HRA FEES</v>
      </c>
    </row>
    <row r="2520" spans="5:8" x14ac:dyDescent="0.25">
      <c r="E2520" t="str">
        <f>""</f>
        <v/>
      </c>
      <c r="F2520" t="str">
        <f>""</f>
        <v/>
      </c>
      <c r="H2520" t="str">
        <f t="shared" si="62"/>
        <v>TASC - HRA FEES</v>
      </c>
    </row>
    <row r="2521" spans="5:8" x14ac:dyDescent="0.25">
      <c r="E2521" t="str">
        <f>""</f>
        <v/>
      </c>
      <c r="F2521" t="str">
        <f>""</f>
        <v/>
      </c>
      <c r="H2521" t="str">
        <f t="shared" si="62"/>
        <v>TASC - HRA FEES</v>
      </c>
    </row>
    <row r="2522" spans="5:8" x14ac:dyDescent="0.25">
      <c r="E2522" t="str">
        <f>""</f>
        <v/>
      </c>
      <c r="F2522" t="str">
        <f>""</f>
        <v/>
      </c>
      <c r="H2522" t="str">
        <f t="shared" si="62"/>
        <v>TASC - HRA FEES</v>
      </c>
    </row>
    <row r="2523" spans="5:8" x14ac:dyDescent="0.25">
      <c r="E2523" t="str">
        <f>""</f>
        <v/>
      </c>
      <c r="F2523" t="str">
        <f>""</f>
        <v/>
      </c>
      <c r="H2523" t="str">
        <f t="shared" si="62"/>
        <v>TASC - HRA FEES</v>
      </c>
    </row>
    <row r="2524" spans="5:8" x14ac:dyDescent="0.25">
      <c r="E2524" t="str">
        <f>""</f>
        <v/>
      </c>
      <c r="F2524" t="str">
        <f>""</f>
        <v/>
      </c>
      <c r="H2524" t="str">
        <f t="shared" si="62"/>
        <v>TASC - HRA FEES</v>
      </c>
    </row>
    <row r="2525" spans="5:8" x14ac:dyDescent="0.25">
      <c r="E2525" t="str">
        <f>""</f>
        <v/>
      </c>
      <c r="F2525" t="str">
        <f>""</f>
        <v/>
      </c>
      <c r="H2525" t="str">
        <f t="shared" si="62"/>
        <v>TASC - HRA FEES</v>
      </c>
    </row>
    <row r="2526" spans="5:8" x14ac:dyDescent="0.25">
      <c r="E2526" t="str">
        <f>""</f>
        <v/>
      </c>
      <c r="F2526" t="str">
        <f>""</f>
        <v/>
      </c>
      <c r="H2526" t="str">
        <f t="shared" si="62"/>
        <v>TASC - HRA FEES</v>
      </c>
    </row>
    <row r="2527" spans="5:8" x14ac:dyDescent="0.25">
      <c r="E2527" t="str">
        <f>""</f>
        <v/>
      </c>
      <c r="F2527" t="str">
        <f>""</f>
        <v/>
      </c>
      <c r="H2527" t="str">
        <f t="shared" si="62"/>
        <v>TASC - HRA FEES</v>
      </c>
    </row>
    <row r="2528" spans="5:8" x14ac:dyDescent="0.25">
      <c r="E2528" t="str">
        <f>""</f>
        <v/>
      </c>
      <c r="F2528" t="str">
        <f>""</f>
        <v/>
      </c>
      <c r="H2528" t="str">
        <f t="shared" si="62"/>
        <v>TASC - HRA FEES</v>
      </c>
    </row>
    <row r="2529" spans="5:8" x14ac:dyDescent="0.25">
      <c r="E2529" t="str">
        <f>""</f>
        <v/>
      </c>
      <c r="F2529" t="str">
        <f>""</f>
        <v/>
      </c>
      <c r="H2529" t="str">
        <f t="shared" ref="H2529:H2548" si="63">"TASC - HRA FEES"</f>
        <v>TASC - HRA FEES</v>
      </c>
    </row>
    <row r="2530" spans="5:8" x14ac:dyDescent="0.25">
      <c r="E2530" t="str">
        <f>""</f>
        <v/>
      </c>
      <c r="F2530" t="str">
        <f>""</f>
        <v/>
      </c>
      <c r="H2530" t="str">
        <f t="shared" si="63"/>
        <v>TASC - HRA FEES</v>
      </c>
    </row>
    <row r="2531" spans="5:8" x14ac:dyDescent="0.25">
      <c r="E2531" t="str">
        <f>""</f>
        <v/>
      </c>
      <c r="F2531" t="str">
        <f>""</f>
        <v/>
      </c>
      <c r="H2531" t="str">
        <f t="shared" si="63"/>
        <v>TASC - HRA FEES</v>
      </c>
    </row>
    <row r="2532" spans="5:8" x14ac:dyDescent="0.25">
      <c r="E2532" t="str">
        <f>""</f>
        <v/>
      </c>
      <c r="F2532" t="str">
        <f>""</f>
        <v/>
      </c>
      <c r="H2532" t="str">
        <f t="shared" si="63"/>
        <v>TASC - HRA FEES</v>
      </c>
    </row>
    <row r="2533" spans="5:8" x14ac:dyDescent="0.25">
      <c r="E2533" t="str">
        <f>""</f>
        <v/>
      </c>
      <c r="F2533" t="str">
        <f>""</f>
        <v/>
      </c>
      <c r="H2533" t="str">
        <f t="shared" si="63"/>
        <v>TASC - HRA FEES</v>
      </c>
    </row>
    <row r="2534" spans="5:8" x14ac:dyDescent="0.25">
      <c r="E2534" t="str">
        <f>""</f>
        <v/>
      </c>
      <c r="F2534" t="str">
        <f>""</f>
        <v/>
      </c>
      <c r="H2534" t="str">
        <f t="shared" si="63"/>
        <v>TASC - HRA FEES</v>
      </c>
    </row>
    <row r="2535" spans="5:8" x14ac:dyDescent="0.25">
      <c r="E2535" t="str">
        <f>""</f>
        <v/>
      </c>
      <c r="F2535" t="str">
        <f>""</f>
        <v/>
      </c>
      <c r="H2535" t="str">
        <f t="shared" si="63"/>
        <v>TASC - HRA FEES</v>
      </c>
    </row>
    <row r="2536" spans="5:8" x14ac:dyDescent="0.25">
      <c r="E2536" t="str">
        <f>""</f>
        <v/>
      </c>
      <c r="F2536" t="str">
        <f>""</f>
        <v/>
      </c>
      <c r="H2536" t="str">
        <f t="shared" si="63"/>
        <v>TASC - HRA FEES</v>
      </c>
    </row>
    <row r="2537" spans="5:8" x14ac:dyDescent="0.25">
      <c r="E2537" t="str">
        <f>""</f>
        <v/>
      </c>
      <c r="F2537" t="str">
        <f>""</f>
        <v/>
      </c>
      <c r="H2537" t="str">
        <f t="shared" si="63"/>
        <v>TASC - HRA FEES</v>
      </c>
    </row>
    <row r="2538" spans="5:8" x14ac:dyDescent="0.25">
      <c r="E2538" t="str">
        <f>""</f>
        <v/>
      </c>
      <c r="F2538" t="str">
        <f>""</f>
        <v/>
      </c>
      <c r="H2538" t="str">
        <f t="shared" si="63"/>
        <v>TASC - HRA FEES</v>
      </c>
    </row>
    <row r="2539" spans="5:8" x14ac:dyDescent="0.25">
      <c r="E2539" t="str">
        <f>""</f>
        <v/>
      </c>
      <c r="F2539" t="str">
        <f>""</f>
        <v/>
      </c>
      <c r="H2539" t="str">
        <f t="shared" si="63"/>
        <v>TASC - HRA FEES</v>
      </c>
    </row>
    <row r="2540" spans="5:8" x14ac:dyDescent="0.25">
      <c r="E2540" t="str">
        <f>""</f>
        <v/>
      </c>
      <c r="F2540" t="str">
        <f>""</f>
        <v/>
      </c>
      <c r="H2540" t="str">
        <f t="shared" si="63"/>
        <v>TASC - HRA FEES</v>
      </c>
    </row>
    <row r="2541" spans="5:8" x14ac:dyDescent="0.25">
      <c r="E2541" t="str">
        <f>""</f>
        <v/>
      </c>
      <c r="F2541" t="str">
        <f>""</f>
        <v/>
      </c>
      <c r="H2541" t="str">
        <f t="shared" si="63"/>
        <v>TASC - HRA FEES</v>
      </c>
    </row>
    <row r="2542" spans="5:8" x14ac:dyDescent="0.25">
      <c r="E2542" t="str">
        <f>""</f>
        <v/>
      </c>
      <c r="F2542" t="str">
        <f>""</f>
        <v/>
      </c>
      <c r="H2542" t="str">
        <f t="shared" si="63"/>
        <v>TASC - HRA FEES</v>
      </c>
    </row>
    <row r="2543" spans="5:8" x14ac:dyDescent="0.25">
      <c r="E2543" t="str">
        <f>""</f>
        <v/>
      </c>
      <c r="F2543" t="str">
        <f>""</f>
        <v/>
      </c>
      <c r="H2543" t="str">
        <f t="shared" si="63"/>
        <v>TASC - HRA FEES</v>
      </c>
    </row>
    <row r="2544" spans="5:8" x14ac:dyDescent="0.25">
      <c r="E2544" t="str">
        <f>""</f>
        <v/>
      </c>
      <c r="F2544" t="str">
        <f>""</f>
        <v/>
      </c>
      <c r="H2544" t="str">
        <f t="shared" si="63"/>
        <v>TASC - HRA FEES</v>
      </c>
    </row>
    <row r="2545" spans="1:8" x14ac:dyDescent="0.25">
      <c r="E2545" t="str">
        <f>""</f>
        <v/>
      </c>
      <c r="F2545" t="str">
        <f>""</f>
        <v/>
      </c>
      <c r="H2545" t="str">
        <f t="shared" si="63"/>
        <v>TASC - HRA FEES</v>
      </c>
    </row>
    <row r="2546" spans="1:8" x14ac:dyDescent="0.25">
      <c r="E2546" t="str">
        <f>""</f>
        <v/>
      </c>
      <c r="F2546" t="str">
        <f>""</f>
        <v/>
      </c>
      <c r="H2546" t="str">
        <f t="shared" si="63"/>
        <v>TASC - HRA FEES</v>
      </c>
    </row>
    <row r="2547" spans="1:8" x14ac:dyDescent="0.25">
      <c r="E2547" t="str">
        <f>""</f>
        <v/>
      </c>
      <c r="F2547" t="str">
        <f>""</f>
        <v/>
      </c>
      <c r="H2547" t="str">
        <f t="shared" si="63"/>
        <v>TASC - HRA FEES</v>
      </c>
    </row>
    <row r="2548" spans="1:8" x14ac:dyDescent="0.25">
      <c r="E2548" t="str">
        <f>"HRF202002195435"</f>
        <v>HRF202002195435</v>
      </c>
      <c r="F2548" t="str">
        <f>"TASC - HRA FEES"</f>
        <v>TASC - HRA FEES</v>
      </c>
      <c r="G2548" s="2">
        <v>30.6</v>
      </c>
      <c r="H2548" t="str">
        <f t="shared" si="63"/>
        <v>TASC - HRA FEES</v>
      </c>
    </row>
    <row r="2549" spans="1:8" x14ac:dyDescent="0.25">
      <c r="A2549" t="s">
        <v>419</v>
      </c>
      <c r="B2549">
        <v>385</v>
      </c>
      <c r="C2549" s="2">
        <v>5405.4</v>
      </c>
      <c r="D2549" s="1">
        <v>43868</v>
      </c>
      <c r="E2549" t="str">
        <f>"C18202002055139"</f>
        <v>C18202002055139</v>
      </c>
      <c r="F2549" t="str">
        <f>"CAUSE# 0011635329"</f>
        <v>CAUSE# 0011635329</v>
      </c>
      <c r="G2549" s="2">
        <v>603.23</v>
      </c>
      <c r="H2549" t="str">
        <f>"CAUSE# 0011635329"</f>
        <v>CAUSE# 0011635329</v>
      </c>
    </row>
    <row r="2550" spans="1:8" x14ac:dyDescent="0.25">
      <c r="E2550" t="str">
        <f>"C2 202002055139"</f>
        <v>C2 202002055139</v>
      </c>
      <c r="F2550" t="str">
        <f>"0012982132CCL7445"</f>
        <v>0012982132CCL7445</v>
      </c>
      <c r="G2550" s="2">
        <v>692.31</v>
      </c>
      <c r="H2550" t="str">
        <f>"0012982132CCL7445"</f>
        <v>0012982132CCL7445</v>
      </c>
    </row>
    <row r="2551" spans="1:8" x14ac:dyDescent="0.25">
      <c r="E2551" t="str">
        <f>"C20202002045138"</f>
        <v>C20202002045138</v>
      </c>
      <c r="F2551" t="str">
        <f>"001003981107-12252"</f>
        <v>001003981107-12252</v>
      </c>
      <c r="G2551" s="2">
        <v>115.39</v>
      </c>
      <c r="H2551" t="str">
        <f>"001003981107-12252"</f>
        <v>001003981107-12252</v>
      </c>
    </row>
    <row r="2552" spans="1:8" x14ac:dyDescent="0.25">
      <c r="E2552" t="str">
        <f>"C42202002045138"</f>
        <v>C42202002045138</v>
      </c>
      <c r="F2552" t="str">
        <f>"001236769211-14410"</f>
        <v>001236769211-14410</v>
      </c>
      <c r="G2552" s="2">
        <v>230.31</v>
      </c>
      <c r="H2552" t="str">
        <f>"001236769211-14410"</f>
        <v>001236769211-14410</v>
      </c>
    </row>
    <row r="2553" spans="1:8" x14ac:dyDescent="0.25">
      <c r="E2553" t="str">
        <f>"C46202002045138"</f>
        <v>C46202002045138</v>
      </c>
      <c r="F2553" t="str">
        <f>"CAUSE# 11-14911"</f>
        <v>CAUSE# 11-14911</v>
      </c>
      <c r="G2553" s="2">
        <v>238.62</v>
      </c>
      <c r="H2553" t="str">
        <f>"CAUSE# 11-14911"</f>
        <v>CAUSE# 11-14911</v>
      </c>
    </row>
    <row r="2554" spans="1:8" x14ac:dyDescent="0.25">
      <c r="E2554" t="str">
        <f>"C53202002045138"</f>
        <v>C53202002045138</v>
      </c>
      <c r="F2554" t="str">
        <f>"0012453366"</f>
        <v>0012453366</v>
      </c>
      <c r="G2554" s="2">
        <v>138.46</v>
      </c>
      <c r="H2554" t="str">
        <f>"0012453366"</f>
        <v>0012453366</v>
      </c>
    </row>
    <row r="2555" spans="1:8" x14ac:dyDescent="0.25">
      <c r="E2555" t="str">
        <f>"C60202002045138"</f>
        <v>C60202002045138</v>
      </c>
      <c r="F2555" t="str">
        <f>"00130730762012V300"</f>
        <v>00130730762012V300</v>
      </c>
      <c r="G2555" s="2">
        <v>399.32</v>
      </c>
      <c r="H2555" t="str">
        <f>"00130730762012V300"</f>
        <v>00130730762012V300</v>
      </c>
    </row>
    <row r="2556" spans="1:8" x14ac:dyDescent="0.25">
      <c r="E2556" t="str">
        <f>"C62202002045138"</f>
        <v>C62202002045138</v>
      </c>
      <c r="F2556" t="str">
        <f>"# 0012128865"</f>
        <v># 0012128865</v>
      </c>
      <c r="G2556" s="2">
        <v>243.23</v>
      </c>
      <c r="H2556" t="str">
        <f>"# 0012128865"</f>
        <v># 0012128865</v>
      </c>
    </row>
    <row r="2557" spans="1:8" x14ac:dyDescent="0.25">
      <c r="E2557" t="str">
        <f>"C66202002045138"</f>
        <v>C66202002045138</v>
      </c>
      <c r="F2557" t="str">
        <f>"# 0012871801"</f>
        <v># 0012871801</v>
      </c>
      <c r="G2557" s="2">
        <v>90</v>
      </c>
      <c r="H2557" t="str">
        <f>"# 0012871801"</f>
        <v># 0012871801</v>
      </c>
    </row>
    <row r="2558" spans="1:8" x14ac:dyDescent="0.25">
      <c r="E2558" t="str">
        <f>"C67202002045138"</f>
        <v>C67202002045138</v>
      </c>
      <c r="F2558" t="str">
        <f>"13154657"</f>
        <v>13154657</v>
      </c>
      <c r="G2558" s="2">
        <v>101.99</v>
      </c>
      <c r="H2558" t="str">
        <f>"13154657"</f>
        <v>13154657</v>
      </c>
    </row>
    <row r="2559" spans="1:8" x14ac:dyDescent="0.25">
      <c r="E2559" t="str">
        <f>"C69202002045138"</f>
        <v>C69202002045138</v>
      </c>
      <c r="F2559" t="str">
        <f>"0012046911423672"</f>
        <v>0012046911423672</v>
      </c>
      <c r="G2559" s="2">
        <v>187.38</v>
      </c>
      <c r="H2559" t="str">
        <f>"0012046911423672"</f>
        <v>0012046911423672</v>
      </c>
    </row>
    <row r="2560" spans="1:8" x14ac:dyDescent="0.25">
      <c r="E2560" t="str">
        <f>"C70202002045138"</f>
        <v>C70202002045138</v>
      </c>
      <c r="F2560" t="str">
        <f>"00136881334235026"</f>
        <v>00136881334235026</v>
      </c>
      <c r="G2560" s="2">
        <v>195.15</v>
      </c>
      <c r="H2560" t="str">
        <f>"00136881334235026"</f>
        <v>00136881334235026</v>
      </c>
    </row>
    <row r="2561" spans="1:8" x14ac:dyDescent="0.25">
      <c r="E2561" t="str">
        <f>"C71202002045138"</f>
        <v>C71202002045138</v>
      </c>
      <c r="F2561" t="str">
        <f>"00137390532018V215"</f>
        <v>00137390532018V215</v>
      </c>
      <c r="G2561" s="2">
        <v>264</v>
      </c>
      <c r="H2561" t="str">
        <f>"00137390532018V215"</f>
        <v>00137390532018V215</v>
      </c>
    </row>
    <row r="2562" spans="1:8" x14ac:dyDescent="0.25">
      <c r="E2562" t="str">
        <f>"C72202002045138"</f>
        <v>C72202002045138</v>
      </c>
      <c r="F2562" t="str">
        <f>"0012797601C20130529B"</f>
        <v>0012797601C20130529B</v>
      </c>
      <c r="G2562" s="2">
        <v>241.85</v>
      </c>
      <c r="H2562" t="str">
        <f>"0012797601C20130529B"</f>
        <v>0012797601C20130529B</v>
      </c>
    </row>
    <row r="2563" spans="1:8" x14ac:dyDescent="0.25">
      <c r="E2563" t="str">
        <f>"C78202002045138"</f>
        <v>C78202002045138</v>
      </c>
      <c r="F2563" t="str">
        <f>"00105115972005106221"</f>
        <v>00105115972005106221</v>
      </c>
      <c r="G2563" s="2">
        <v>144.68</v>
      </c>
      <c r="H2563" t="str">
        <f>"00105115972005106221"</f>
        <v>00105115972005106221</v>
      </c>
    </row>
    <row r="2564" spans="1:8" x14ac:dyDescent="0.25">
      <c r="E2564" t="str">
        <f>"C79202002045138"</f>
        <v>C79202002045138</v>
      </c>
      <c r="F2564" t="str">
        <f>"0013045733S146091FLB"</f>
        <v>0013045733S146091FLB</v>
      </c>
      <c r="G2564" s="2">
        <v>197.08</v>
      </c>
      <c r="H2564" t="str">
        <f>"0013045733S146091FLB"</f>
        <v>0013045733S146091FLB</v>
      </c>
    </row>
    <row r="2565" spans="1:8" x14ac:dyDescent="0.25">
      <c r="E2565" t="str">
        <f>"C81202002045138"</f>
        <v>C81202002045138</v>
      </c>
      <c r="F2565" t="str">
        <f>"00123916889200232472"</f>
        <v>00123916889200232472</v>
      </c>
      <c r="G2565" s="2">
        <v>109.85</v>
      </c>
      <c r="H2565" t="str">
        <f>"00123916889200232472"</f>
        <v>00123916889200232472</v>
      </c>
    </row>
    <row r="2566" spans="1:8" x14ac:dyDescent="0.25">
      <c r="E2566" t="str">
        <f>"C82202002045138"</f>
        <v>C82202002045138</v>
      </c>
      <c r="F2566" t="str">
        <f>"0009476377203172B"</f>
        <v>0009476377203172B</v>
      </c>
      <c r="G2566" s="2">
        <v>46.15</v>
      </c>
      <c r="H2566" t="str">
        <f>"0009476377203172B"</f>
        <v>0009476377203172B</v>
      </c>
    </row>
    <row r="2567" spans="1:8" x14ac:dyDescent="0.25">
      <c r="E2567" t="str">
        <f>"C83202002045138"</f>
        <v>C83202002045138</v>
      </c>
      <c r="F2567" t="str">
        <f>"0013096953150533"</f>
        <v>0013096953150533</v>
      </c>
      <c r="G2567" s="2">
        <v>346.15</v>
      </c>
      <c r="H2567" t="str">
        <f>"0013096953150533"</f>
        <v>0013096953150533</v>
      </c>
    </row>
    <row r="2568" spans="1:8" x14ac:dyDescent="0.25">
      <c r="E2568" t="str">
        <f>"C84202002045138"</f>
        <v>C84202002045138</v>
      </c>
      <c r="F2568" t="str">
        <f>"00128499834232566"</f>
        <v>00128499834232566</v>
      </c>
      <c r="G2568" s="2">
        <v>439.94</v>
      </c>
      <c r="H2568" t="str">
        <f>"00128499834232566"</f>
        <v>00128499834232566</v>
      </c>
    </row>
    <row r="2569" spans="1:8" x14ac:dyDescent="0.25">
      <c r="E2569" t="str">
        <f>"C85202002045138"</f>
        <v>C85202002045138</v>
      </c>
      <c r="F2569" t="str">
        <f>"0012469425201770874"</f>
        <v>0012469425201770874</v>
      </c>
      <c r="G2569" s="2">
        <v>138.46</v>
      </c>
      <c r="H2569" t="str">
        <f>"0012469425201770874"</f>
        <v>0012469425201770874</v>
      </c>
    </row>
    <row r="2570" spans="1:8" x14ac:dyDescent="0.25">
      <c r="E2570" t="str">
        <f>"C86202002045138"</f>
        <v>C86202002045138</v>
      </c>
      <c r="F2570" t="str">
        <f>"0013854015101285F"</f>
        <v>0013854015101285F</v>
      </c>
      <c r="G2570" s="2">
        <v>241.85</v>
      </c>
      <c r="H2570" t="str">
        <f>"0013854015101285F"</f>
        <v>0013854015101285F</v>
      </c>
    </row>
    <row r="2571" spans="1:8" x14ac:dyDescent="0.25">
      <c r="A2571" t="s">
        <v>419</v>
      </c>
      <c r="B2571">
        <v>419</v>
      </c>
      <c r="C2571" s="2">
        <v>5208.32</v>
      </c>
      <c r="D2571" s="1">
        <v>43882</v>
      </c>
      <c r="E2571" t="str">
        <f>"C18202002195435"</f>
        <v>C18202002195435</v>
      </c>
      <c r="F2571" t="str">
        <f>"CAUSE# 0011635329"</f>
        <v>CAUSE# 0011635329</v>
      </c>
      <c r="G2571" s="2">
        <v>603.23</v>
      </c>
      <c r="H2571" t="str">
        <f>"CAUSE# 0011635329"</f>
        <v>CAUSE# 0011635329</v>
      </c>
    </row>
    <row r="2572" spans="1:8" x14ac:dyDescent="0.25">
      <c r="E2572" t="str">
        <f>"C2 202002195435"</f>
        <v>C2 202002195435</v>
      </c>
      <c r="F2572" t="str">
        <f>"0012982132CCL7445"</f>
        <v>0012982132CCL7445</v>
      </c>
      <c r="G2572" s="2">
        <v>692.31</v>
      </c>
      <c r="H2572" t="str">
        <f>"0012982132CCL7445"</f>
        <v>0012982132CCL7445</v>
      </c>
    </row>
    <row r="2573" spans="1:8" x14ac:dyDescent="0.25">
      <c r="E2573" t="str">
        <f>"C20202002195431"</f>
        <v>C20202002195431</v>
      </c>
      <c r="F2573" t="str">
        <f>"001003981107-12252"</f>
        <v>001003981107-12252</v>
      </c>
      <c r="G2573" s="2">
        <v>115.39</v>
      </c>
      <c r="H2573" t="str">
        <f>"001003981107-12252"</f>
        <v>001003981107-12252</v>
      </c>
    </row>
    <row r="2574" spans="1:8" x14ac:dyDescent="0.25">
      <c r="E2574" t="str">
        <f>"C42202002195431"</f>
        <v>C42202002195431</v>
      </c>
      <c r="F2574" t="str">
        <f>"001236769211-14410"</f>
        <v>001236769211-14410</v>
      </c>
      <c r="G2574" s="2">
        <v>230.31</v>
      </c>
      <c r="H2574" t="str">
        <f>"001236769211-14410"</f>
        <v>001236769211-14410</v>
      </c>
    </row>
    <row r="2575" spans="1:8" x14ac:dyDescent="0.25">
      <c r="E2575" t="str">
        <f>"C46202002195431"</f>
        <v>C46202002195431</v>
      </c>
      <c r="F2575" t="str">
        <f>"CAUSE# 11-14911"</f>
        <v>CAUSE# 11-14911</v>
      </c>
      <c r="G2575" s="2">
        <v>238.62</v>
      </c>
      <c r="H2575" t="str">
        <f>"CAUSE# 11-14911"</f>
        <v>CAUSE# 11-14911</v>
      </c>
    </row>
    <row r="2576" spans="1:8" x14ac:dyDescent="0.25">
      <c r="E2576" t="str">
        <f>"C53202002195431"</f>
        <v>C53202002195431</v>
      </c>
      <c r="F2576" t="str">
        <f>"0012453366"</f>
        <v>0012453366</v>
      </c>
      <c r="G2576" s="2">
        <v>138.46</v>
      </c>
      <c r="H2576" t="str">
        <f>"0012453366"</f>
        <v>0012453366</v>
      </c>
    </row>
    <row r="2577" spans="1:8" x14ac:dyDescent="0.25">
      <c r="E2577" t="str">
        <f>"C60202002195431"</f>
        <v>C60202002195431</v>
      </c>
      <c r="F2577" t="str">
        <f>"00130730762012V300"</f>
        <v>00130730762012V300</v>
      </c>
      <c r="G2577" s="2">
        <v>399.32</v>
      </c>
      <c r="H2577" t="str">
        <f>"00130730762012V300"</f>
        <v>00130730762012V300</v>
      </c>
    </row>
    <row r="2578" spans="1:8" x14ac:dyDescent="0.25">
      <c r="E2578" t="str">
        <f>"C62202002195431"</f>
        <v>C62202002195431</v>
      </c>
      <c r="F2578" t="str">
        <f>"# 0012128865"</f>
        <v># 0012128865</v>
      </c>
      <c r="G2578" s="2">
        <v>243.23</v>
      </c>
      <c r="H2578" t="str">
        <f>"# 0012128865"</f>
        <v># 0012128865</v>
      </c>
    </row>
    <row r="2579" spans="1:8" x14ac:dyDescent="0.25">
      <c r="E2579" t="str">
        <f>"C66202002195431"</f>
        <v>C66202002195431</v>
      </c>
      <c r="F2579" t="str">
        <f>"# 0012871801"</f>
        <v># 0012871801</v>
      </c>
      <c r="G2579" s="2">
        <v>90</v>
      </c>
      <c r="H2579" t="str">
        <f>"# 0012871801"</f>
        <v># 0012871801</v>
      </c>
    </row>
    <row r="2580" spans="1:8" x14ac:dyDescent="0.25">
      <c r="E2580" t="str">
        <f>"C67202002195431"</f>
        <v>C67202002195431</v>
      </c>
      <c r="F2580" t="str">
        <f>"13154657"</f>
        <v>13154657</v>
      </c>
      <c r="G2580" s="2">
        <v>101.99</v>
      </c>
      <c r="H2580" t="str">
        <f>"13154657"</f>
        <v>13154657</v>
      </c>
    </row>
    <row r="2581" spans="1:8" x14ac:dyDescent="0.25">
      <c r="E2581" t="str">
        <f>"C69202002195431"</f>
        <v>C69202002195431</v>
      </c>
      <c r="F2581" t="str">
        <f>"0012046911423672"</f>
        <v>0012046911423672</v>
      </c>
      <c r="G2581" s="2">
        <v>187.38</v>
      </c>
      <c r="H2581" t="str">
        <f>"0012046911423672"</f>
        <v>0012046911423672</v>
      </c>
    </row>
    <row r="2582" spans="1:8" x14ac:dyDescent="0.25">
      <c r="E2582" t="str">
        <f>"C70202002195431"</f>
        <v>C70202002195431</v>
      </c>
      <c r="F2582" t="str">
        <f>"00136881334235026"</f>
        <v>00136881334235026</v>
      </c>
      <c r="G2582" s="2">
        <v>195.15</v>
      </c>
      <c r="H2582" t="str">
        <f>"00136881334235026"</f>
        <v>00136881334235026</v>
      </c>
    </row>
    <row r="2583" spans="1:8" x14ac:dyDescent="0.25">
      <c r="E2583" t="str">
        <f>"C71202002195431"</f>
        <v>C71202002195431</v>
      </c>
      <c r="F2583" t="str">
        <f>"00137390532018V215"</f>
        <v>00137390532018V215</v>
      </c>
      <c r="G2583" s="2">
        <v>264</v>
      </c>
      <c r="H2583" t="str">
        <f>"00137390532018V215"</f>
        <v>00137390532018V215</v>
      </c>
    </row>
    <row r="2584" spans="1:8" x14ac:dyDescent="0.25">
      <c r="E2584" t="str">
        <f>"C72202002195431"</f>
        <v>C72202002195431</v>
      </c>
      <c r="F2584" t="str">
        <f>"0012797601C20130529B"</f>
        <v>0012797601C20130529B</v>
      </c>
      <c r="G2584" s="2">
        <v>241.85</v>
      </c>
      <c r="H2584" t="str">
        <f>"0012797601C20130529B"</f>
        <v>0012797601C20130529B</v>
      </c>
    </row>
    <row r="2585" spans="1:8" x14ac:dyDescent="0.25">
      <c r="E2585" t="str">
        <f>"C78202002195431"</f>
        <v>C78202002195431</v>
      </c>
      <c r="F2585" t="str">
        <f>"00105115972005106221"</f>
        <v>00105115972005106221</v>
      </c>
      <c r="G2585" s="2">
        <v>144.68</v>
      </c>
      <c r="H2585" t="str">
        <f>"00105115972005106221"</f>
        <v>00105115972005106221</v>
      </c>
    </row>
    <row r="2586" spans="1:8" x14ac:dyDescent="0.25">
      <c r="E2586" t="str">
        <f>"C81202002195431"</f>
        <v>C81202002195431</v>
      </c>
      <c r="F2586" t="str">
        <f>"00123916889200232472"</f>
        <v>00123916889200232472</v>
      </c>
      <c r="G2586" s="2">
        <v>109.85</v>
      </c>
      <c r="H2586" t="str">
        <f>"00123916889200232472"</f>
        <v>00123916889200232472</v>
      </c>
    </row>
    <row r="2587" spans="1:8" x14ac:dyDescent="0.25">
      <c r="E2587" t="str">
        <f>"C82202002195431"</f>
        <v>C82202002195431</v>
      </c>
      <c r="F2587" t="str">
        <f>"0009476377203172B"</f>
        <v>0009476377203172B</v>
      </c>
      <c r="G2587" s="2">
        <v>46.15</v>
      </c>
      <c r="H2587" t="str">
        <f>"0009476377203172B"</f>
        <v>0009476377203172B</v>
      </c>
    </row>
    <row r="2588" spans="1:8" x14ac:dyDescent="0.25">
      <c r="E2588" t="str">
        <f>"C83202002195431"</f>
        <v>C83202002195431</v>
      </c>
      <c r="F2588" t="str">
        <f>"0013096953150533"</f>
        <v>0013096953150533</v>
      </c>
      <c r="G2588" s="2">
        <v>346.15</v>
      </c>
      <c r="H2588" t="str">
        <f>"0013096953150533"</f>
        <v>0013096953150533</v>
      </c>
    </row>
    <row r="2589" spans="1:8" x14ac:dyDescent="0.25">
      <c r="E2589" t="str">
        <f>"C84202002195431"</f>
        <v>C84202002195431</v>
      </c>
      <c r="F2589" t="str">
        <f>"00128499834232566"</f>
        <v>00128499834232566</v>
      </c>
      <c r="G2589" s="2">
        <v>439.94</v>
      </c>
      <c r="H2589" t="str">
        <f>"00128499834232566"</f>
        <v>00128499834232566</v>
      </c>
    </row>
    <row r="2590" spans="1:8" x14ac:dyDescent="0.25">
      <c r="E2590" t="str">
        <f>"C85202002195431"</f>
        <v>C85202002195431</v>
      </c>
      <c r="F2590" t="str">
        <f>"0012469425201770874"</f>
        <v>0012469425201770874</v>
      </c>
      <c r="G2590" s="2">
        <v>138.46</v>
      </c>
      <c r="H2590" t="str">
        <f>"0012469425201770874"</f>
        <v>0012469425201770874</v>
      </c>
    </row>
    <row r="2591" spans="1:8" x14ac:dyDescent="0.25">
      <c r="E2591" t="str">
        <f>"C86202002195431"</f>
        <v>C86202002195431</v>
      </c>
      <c r="F2591" t="str">
        <f>"0013854015101285F"</f>
        <v>0013854015101285F</v>
      </c>
      <c r="G2591" s="2">
        <v>241.85</v>
      </c>
      <c r="H2591" t="str">
        <f>"0013854015101285F"</f>
        <v>0013854015101285F</v>
      </c>
    </row>
    <row r="2592" spans="1:8" x14ac:dyDescent="0.25">
      <c r="A2592" t="s">
        <v>420</v>
      </c>
      <c r="B2592">
        <v>410</v>
      </c>
      <c r="C2592" s="2">
        <v>193305.74</v>
      </c>
      <c r="D2592" s="1">
        <v>43868</v>
      </c>
      <c r="E2592" t="str">
        <f>"RET202002045138"</f>
        <v>RET202002045138</v>
      </c>
      <c r="F2592" t="str">
        <f>"TEXAS COUNTY &amp; DISTRICT RET"</f>
        <v>TEXAS COUNTY &amp; DISTRICT RET</v>
      </c>
      <c r="G2592" s="2">
        <v>179384.16</v>
      </c>
      <c r="H2592" t="str">
        <f t="shared" ref="H2592:H2623" si="64">"TEXAS COUNTY &amp; DISTRICT RET"</f>
        <v>TEXAS COUNTY &amp; DISTRICT RET</v>
      </c>
    </row>
    <row r="2593" spans="5:8" x14ac:dyDescent="0.25">
      <c r="E2593" t="str">
        <f>""</f>
        <v/>
      </c>
      <c r="F2593" t="str">
        <f>""</f>
        <v/>
      </c>
      <c r="H2593" t="str">
        <f t="shared" si="64"/>
        <v>TEXAS COUNTY &amp; DISTRICT RET</v>
      </c>
    </row>
    <row r="2594" spans="5:8" x14ac:dyDescent="0.25">
      <c r="E2594" t="str">
        <f>""</f>
        <v/>
      </c>
      <c r="F2594" t="str">
        <f>""</f>
        <v/>
      </c>
      <c r="H2594" t="str">
        <f t="shared" si="64"/>
        <v>TEXAS COUNTY &amp; DISTRICT RET</v>
      </c>
    </row>
    <row r="2595" spans="5:8" x14ac:dyDescent="0.25">
      <c r="E2595" t="str">
        <f>""</f>
        <v/>
      </c>
      <c r="F2595" t="str">
        <f>""</f>
        <v/>
      </c>
      <c r="H2595" t="str">
        <f t="shared" si="64"/>
        <v>TEXAS COUNTY &amp; DISTRICT RET</v>
      </c>
    </row>
    <row r="2596" spans="5:8" x14ac:dyDescent="0.25">
      <c r="E2596" t="str">
        <f>""</f>
        <v/>
      </c>
      <c r="F2596" t="str">
        <f>""</f>
        <v/>
      </c>
      <c r="H2596" t="str">
        <f t="shared" si="64"/>
        <v>TEXAS COUNTY &amp; DISTRICT RET</v>
      </c>
    </row>
    <row r="2597" spans="5:8" x14ac:dyDescent="0.25">
      <c r="E2597" t="str">
        <f>""</f>
        <v/>
      </c>
      <c r="F2597" t="str">
        <f>""</f>
        <v/>
      </c>
      <c r="H2597" t="str">
        <f t="shared" si="64"/>
        <v>TEXAS COUNTY &amp; DISTRICT RET</v>
      </c>
    </row>
    <row r="2598" spans="5:8" x14ac:dyDescent="0.25">
      <c r="E2598" t="str">
        <f>""</f>
        <v/>
      </c>
      <c r="F2598" t="str">
        <f>""</f>
        <v/>
      </c>
      <c r="H2598" t="str">
        <f t="shared" si="64"/>
        <v>TEXAS COUNTY &amp; DISTRICT RET</v>
      </c>
    </row>
    <row r="2599" spans="5:8" x14ac:dyDescent="0.25">
      <c r="E2599" t="str">
        <f>""</f>
        <v/>
      </c>
      <c r="F2599" t="str">
        <f>""</f>
        <v/>
      </c>
      <c r="H2599" t="str">
        <f t="shared" si="64"/>
        <v>TEXAS COUNTY &amp; DISTRICT RET</v>
      </c>
    </row>
    <row r="2600" spans="5:8" x14ac:dyDescent="0.25">
      <c r="E2600" t="str">
        <f>""</f>
        <v/>
      </c>
      <c r="F2600" t="str">
        <f>""</f>
        <v/>
      </c>
      <c r="H2600" t="str">
        <f t="shared" si="64"/>
        <v>TEXAS COUNTY &amp; DISTRICT RET</v>
      </c>
    </row>
    <row r="2601" spans="5:8" x14ac:dyDescent="0.25">
      <c r="E2601" t="str">
        <f>""</f>
        <v/>
      </c>
      <c r="F2601" t="str">
        <f>""</f>
        <v/>
      </c>
      <c r="H2601" t="str">
        <f t="shared" si="64"/>
        <v>TEXAS COUNTY &amp; DISTRICT RET</v>
      </c>
    </row>
    <row r="2602" spans="5:8" x14ac:dyDescent="0.25">
      <c r="E2602" t="str">
        <f>""</f>
        <v/>
      </c>
      <c r="F2602" t="str">
        <f>""</f>
        <v/>
      </c>
      <c r="H2602" t="str">
        <f t="shared" si="64"/>
        <v>TEXAS COUNTY &amp; DISTRICT RET</v>
      </c>
    </row>
    <row r="2603" spans="5:8" x14ac:dyDescent="0.25">
      <c r="E2603" t="str">
        <f>""</f>
        <v/>
      </c>
      <c r="F2603" t="str">
        <f>""</f>
        <v/>
      </c>
      <c r="H2603" t="str">
        <f t="shared" si="64"/>
        <v>TEXAS COUNTY &amp; DISTRICT RET</v>
      </c>
    </row>
    <row r="2604" spans="5:8" x14ac:dyDescent="0.25">
      <c r="E2604" t="str">
        <f>""</f>
        <v/>
      </c>
      <c r="F2604" t="str">
        <f>""</f>
        <v/>
      </c>
      <c r="H2604" t="str">
        <f t="shared" si="64"/>
        <v>TEXAS COUNTY &amp; DISTRICT RET</v>
      </c>
    </row>
    <row r="2605" spans="5:8" x14ac:dyDescent="0.25">
      <c r="E2605" t="str">
        <f>""</f>
        <v/>
      </c>
      <c r="F2605" t="str">
        <f>""</f>
        <v/>
      </c>
      <c r="H2605" t="str">
        <f t="shared" si="64"/>
        <v>TEXAS COUNTY &amp; DISTRICT RET</v>
      </c>
    </row>
    <row r="2606" spans="5:8" x14ac:dyDescent="0.25">
      <c r="E2606" t="str">
        <f>""</f>
        <v/>
      </c>
      <c r="F2606" t="str">
        <f>""</f>
        <v/>
      </c>
      <c r="H2606" t="str">
        <f t="shared" si="64"/>
        <v>TEXAS COUNTY &amp; DISTRICT RET</v>
      </c>
    </row>
    <row r="2607" spans="5:8" x14ac:dyDescent="0.25">
      <c r="E2607" t="str">
        <f>""</f>
        <v/>
      </c>
      <c r="F2607" t="str">
        <f>""</f>
        <v/>
      </c>
      <c r="H2607" t="str">
        <f t="shared" si="64"/>
        <v>TEXAS COUNTY &amp; DISTRICT RET</v>
      </c>
    </row>
    <row r="2608" spans="5:8" x14ac:dyDescent="0.25">
      <c r="E2608" t="str">
        <f>""</f>
        <v/>
      </c>
      <c r="F2608" t="str">
        <f>""</f>
        <v/>
      </c>
      <c r="H2608" t="str">
        <f t="shared" si="64"/>
        <v>TEXAS COUNTY &amp; DISTRICT RET</v>
      </c>
    </row>
    <row r="2609" spans="5:8" x14ac:dyDescent="0.25">
      <c r="E2609" t="str">
        <f>""</f>
        <v/>
      </c>
      <c r="F2609" t="str">
        <f>""</f>
        <v/>
      </c>
      <c r="H2609" t="str">
        <f t="shared" si="64"/>
        <v>TEXAS COUNTY &amp; DISTRICT RET</v>
      </c>
    </row>
    <row r="2610" spans="5:8" x14ac:dyDescent="0.25">
      <c r="E2610" t="str">
        <f>""</f>
        <v/>
      </c>
      <c r="F2610" t="str">
        <f>""</f>
        <v/>
      </c>
      <c r="H2610" t="str">
        <f t="shared" si="64"/>
        <v>TEXAS COUNTY &amp; DISTRICT RET</v>
      </c>
    </row>
    <row r="2611" spans="5:8" x14ac:dyDescent="0.25">
      <c r="E2611" t="str">
        <f>""</f>
        <v/>
      </c>
      <c r="F2611" t="str">
        <f>""</f>
        <v/>
      </c>
      <c r="H2611" t="str">
        <f t="shared" si="64"/>
        <v>TEXAS COUNTY &amp; DISTRICT RET</v>
      </c>
    </row>
    <row r="2612" spans="5:8" x14ac:dyDescent="0.25">
      <c r="E2612" t="str">
        <f>""</f>
        <v/>
      </c>
      <c r="F2612" t="str">
        <f>""</f>
        <v/>
      </c>
      <c r="H2612" t="str">
        <f t="shared" si="64"/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 t="shared" si="64"/>
        <v>TEXAS COUNTY &amp; DISTRICT RET</v>
      </c>
    </row>
    <row r="2614" spans="5:8" x14ac:dyDescent="0.25">
      <c r="E2614" t="str">
        <f>""</f>
        <v/>
      </c>
      <c r="F2614" t="str">
        <f>""</f>
        <v/>
      </c>
      <c r="H2614" t="str">
        <f t="shared" si="64"/>
        <v>TEXAS COUNTY &amp; DISTRICT RET</v>
      </c>
    </row>
    <row r="2615" spans="5:8" x14ac:dyDescent="0.25">
      <c r="E2615" t="str">
        <f>""</f>
        <v/>
      </c>
      <c r="F2615" t="str">
        <f>""</f>
        <v/>
      </c>
      <c r="H2615" t="str">
        <f t="shared" si="64"/>
        <v>TEXAS COUNTY &amp; DISTRICT RET</v>
      </c>
    </row>
    <row r="2616" spans="5:8" x14ac:dyDescent="0.25">
      <c r="E2616" t="str">
        <f>""</f>
        <v/>
      </c>
      <c r="F2616" t="str">
        <f>""</f>
        <v/>
      </c>
      <c r="H2616" t="str">
        <f t="shared" si="64"/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 t="shared" si="64"/>
        <v>TEXAS COUNTY &amp; DISTRICT RET</v>
      </c>
    </row>
    <row r="2618" spans="5:8" x14ac:dyDescent="0.25">
      <c r="E2618" t="str">
        <f>""</f>
        <v/>
      </c>
      <c r="F2618" t="str">
        <f>""</f>
        <v/>
      </c>
      <c r="H2618" t="str">
        <f t="shared" si="64"/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 t="shared" si="64"/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 t="shared" si="64"/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 t="shared" si="64"/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 t="shared" si="64"/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 t="shared" si="64"/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 t="shared" ref="H2624:H2643" si="65">"TEXAS COUNTY &amp; DISTRICT RET"</f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 t="shared" si="65"/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 t="shared" si="65"/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 t="shared" si="65"/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 t="shared" si="65"/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 t="shared" si="65"/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 t="shared" si="65"/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 t="shared" si="65"/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 t="shared" si="65"/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 t="shared" si="65"/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 t="shared" si="65"/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 t="shared" si="65"/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 t="shared" si="65"/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 t="shared" si="65"/>
        <v>TEXAS COUNTY &amp; DISTRICT RET</v>
      </c>
    </row>
    <row r="2638" spans="5:8" x14ac:dyDescent="0.25">
      <c r="E2638" t="str">
        <f>""</f>
        <v/>
      </c>
      <c r="F2638" t="str">
        <f>""</f>
        <v/>
      </c>
      <c r="H2638" t="str">
        <f t="shared" si="65"/>
        <v>TEXAS COUNTY &amp; DISTRICT RET</v>
      </c>
    </row>
    <row r="2639" spans="5:8" x14ac:dyDescent="0.25">
      <c r="E2639" t="str">
        <f>""</f>
        <v/>
      </c>
      <c r="F2639" t="str">
        <f>""</f>
        <v/>
      </c>
      <c r="H2639" t="str">
        <f t="shared" si="65"/>
        <v>TEXAS COUNTY &amp; DISTRICT RET</v>
      </c>
    </row>
    <row r="2640" spans="5:8" x14ac:dyDescent="0.25">
      <c r="E2640" t="str">
        <f>""</f>
        <v/>
      </c>
      <c r="F2640" t="str">
        <f>""</f>
        <v/>
      </c>
      <c r="H2640" t="str">
        <f t="shared" si="65"/>
        <v>TEXAS COUNTY &amp; DISTRICT RET</v>
      </c>
    </row>
    <row r="2641" spans="1:8" x14ac:dyDescent="0.25">
      <c r="E2641" t="str">
        <f>""</f>
        <v/>
      </c>
      <c r="F2641" t="str">
        <f>""</f>
        <v/>
      </c>
      <c r="H2641" t="str">
        <f t="shared" si="65"/>
        <v>TEXAS COUNTY &amp; DISTRICT RET</v>
      </c>
    </row>
    <row r="2642" spans="1:8" x14ac:dyDescent="0.25">
      <c r="E2642" t="str">
        <f>""</f>
        <v/>
      </c>
      <c r="F2642" t="str">
        <f>""</f>
        <v/>
      </c>
      <c r="H2642" t="str">
        <f t="shared" si="65"/>
        <v>TEXAS COUNTY &amp; DISTRICT RET</v>
      </c>
    </row>
    <row r="2643" spans="1:8" x14ac:dyDescent="0.25">
      <c r="E2643" t="str">
        <f>""</f>
        <v/>
      </c>
      <c r="F2643" t="str">
        <f>""</f>
        <v/>
      </c>
      <c r="H2643" t="str">
        <f t="shared" si="65"/>
        <v>TEXAS COUNTY &amp; DISTRICT RET</v>
      </c>
    </row>
    <row r="2644" spans="1:8" x14ac:dyDescent="0.25">
      <c r="E2644" t="str">
        <f>"RET202002055139"</f>
        <v>RET202002055139</v>
      </c>
      <c r="F2644" t="str">
        <f>"TEXAS COUNTY  DISTRICT RET"</f>
        <v>TEXAS COUNTY  DISTRICT RET</v>
      </c>
      <c r="G2644" s="2">
        <v>6631.36</v>
      </c>
      <c r="H2644" t="str">
        <f>"TEXAS COUNTY  DISTRICT RET"</f>
        <v>TEXAS COUNTY  DISTRICT RET</v>
      </c>
    </row>
    <row r="2645" spans="1:8" x14ac:dyDescent="0.25">
      <c r="E2645" t="str">
        <f>""</f>
        <v/>
      </c>
      <c r="F2645" t="str">
        <f>""</f>
        <v/>
      </c>
      <c r="H2645" t="str">
        <f>"TEXAS COUNTY  DISTRICT RET"</f>
        <v>TEXAS COUNTY  DISTRICT RET</v>
      </c>
    </row>
    <row r="2646" spans="1:8" x14ac:dyDescent="0.25">
      <c r="E2646" t="str">
        <f>"RET202002055140"</f>
        <v>RET202002055140</v>
      </c>
      <c r="F2646" t="str">
        <f>"TEXAS COUNTY &amp; DISTRICT RET"</f>
        <v>TEXAS COUNTY &amp; DISTRICT RET</v>
      </c>
      <c r="G2646" s="2">
        <v>7290.22</v>
      </c>
      <c r="H2646" t="str">
        <f t="shared" ref="H2646:H2677" si="66">"TEXAS COUNTY &amp; DISTRICT RET"</f>
        <v>TEXAS COUNTY &amp; DISTRICT RET</v>
      </c>
    </row>
    <row r="2647" spans="1:8" x14ac:dyDescent="0.25">
      <c r="E2647" t="str">
        <f>""</f>
        <v/>
      </c>
      <c r="F2647" t="str">
        <f>""</f>
        <v/>
      </c>
      <c r="H2647" t="str">
        <f t="shared" si="66"/>
        <v>TEXAS COUNTY &amp; DISTRICT RET</v>
      </c>
    </row>
    <row r="2648" spans="1:8" x14ac:dyDescent="0.25">
      <c r="A2648" t="s">
        <v>420</v>
      </c>
      <c r="B2648">
        <v>421</v>
      </c>
      <c r="C2648" s="2">
        <v>192330.86</v>
      </c>
      <c r="D2648" s="1">
        <v>43882</v>
      </c>
      <c r="E2648" t="str">
        <f>"RET202002195431"</f>
        <v>RET202002195431</v>
      </c>
      <c r="F2648" t="str">
        <f>"TEXAS COUNTY &amp; DISTRICT RET"</f>
        <v>TEXAS COUNTY &amp; DISTRICT RET</v>
      </c>
      <c r="G2648" s="2">
        <v>178440.03</v>
      </c>
      <c r="H2648" t="str">
        <f t="shared" si="66"/>
        <v>TEXAS COUNTY &amp; DISTRICT RET</v>
      </c>
    </row>
    <row r="2649" spans="1:8" x14ac:dyDescent="0.25">
      <c r="E2649" t="str">
        <f>""</f>
        <v/>
      </c>
      <c r="F2649" t="str">
        <f>""</f>
        <v/>
      </c>
      <c r="H2649" t="str">
        <f t="shared" si="66"/>
        <v>TEXAS COUNTY &amp; DISTRICT RET</v>
      </c>
    </row>
    <row r="2650" spans="1:8" x14ac:dyDescent="0.25">
      <c r="E2650" t="str">
        <f>""</f>
        <v/>
      </c>
      <c r="F2650" t="str">
        <f>""</f>
        <v/>
      </c>
      <c r="H2650" t="str">
        <f t="shared" si="66"/>
        <v>TEXAS COUNTY &amp; DISTRICT RET</v>
      </c>
    </row>
    <row r="2651" spans="1:8" x14ac:dyDescent="0.25">
      <c r="E2651" t="str">
        <f>""</f>
        <v/>
      </c>
      <c r="F2651" t="str">
        <f>""</f>
        <v/>
      </c>
      <c r="H2651" t="str">
        <f t="shared" si="66"/>
        <v>TEXAS COUNTY &amp; DISTRICT RET</v>
      </c>
    </row>
    <row r="2652" spans="1:8" x14ac:dyDescent="0.25">
      <c r="E2652" t="str">
        <f>""</f>
        <v/>
      </c>
      <c r="F2652" t="str">
        <f>""</f>
        <v/>
      </c>
      <c r="H2652" t="str">
        <f t="shared" si="66"/>
        <v>TEXAS COUNTY &amp; DISTRICT RET</v>
      </c>
    </row>
    <row r="2653" spans="1:8" x14ac:dyDescent="0.25">
      <c r="E2653" t="str">
        <f>""</f>
        <v/>
      </c>
      <c r="F2653" t="str">
        <f>""</f>
        <v/>
      </c>
      <c r="H2653" t="str">
        <f t="shared" si="66"/>
        <v>TEXAS COUNTY &amp; DISTRICT RET</v>
      </c>
    </row>
    <row r="2654" spans="1:8" x14ac:dyDescent="0.25">
      <c r="E2654" t="str">
        <f>""</f>
        <v/>
      </c>
      <c r="F2654" t="str">
        <f>""</f>
        <v/>
      </c>
      <c r="H2654" t="str">
        <f t="shared" si="66"/>
        <v>TEXAS COUNTY &amp; DISTRICT RET</v>
      </c>
    </row>
    <row r="2655" spans="1:8" x14ac:dyDescent="0.25">
      <c r="E2655" t="str">
        <f>""</f>
        <v/>
      </c>
      <c r="F2655" t="str">
        <f>""</f>
        <v/>
      </c>
      <c r="H2655" t="str">
        <f t="shared" si="66"/>
        <v>TEXAS COUNTY &amp; DISTRICT RET</v>
      </c>
    </row>
    <row r="2656" spans="1:8" x14ac:dyDescent="0.25">
      <c r="E2656" t="str">
        <f>""</f>
        <v/>
      </c>
      <c r="F2656" t="str">
        <f>""</f>
        <v/>
      </c>
      <c r="H2656" t="str">
        <f t="shared" si="66"/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 t="shared" si="66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66"/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 t="shared" si="66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66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66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66"/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 t="shared" si="66"/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 t="shared" si="66"/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 t="shared" si="66"/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66"/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 t="shared" si="66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66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66"/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 t="shared" si="66"/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 t="shared" si="66"/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 t="shared" si="66"/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66"/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 t="shared" si="66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si="66"/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66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66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ref="H2678:H2699" si="67">"TEXAS COUNTY &amp; DISTRICT RET"</f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si="67"/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si="67"/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si="67"/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67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67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67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67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67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si="67"/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67"/>
        <v>TEXAS COUNTY &amp; DISTRICT RET</v>
      </c>
    </row>
    <row r="2689" spans="1:8" x14ac:dyDescent="0.25">
      <c r="E2689" t="str">
        <f>""</f>
        <v/>
      </c>
      <c r="F2689" t="str">
        <f>""</f>
        <v/>
      </c>
      <c r="H2689" t="str">
        <f t="shared" si="67"/>
        <v>TEXAS COUNTY &amp; DISTRICT RET</v>
      </c>
    </row>
    <row r="2690" spans="1:8" x14ac:dyDescent="0.25">
      <c r="E2690" t="str">
        <f>""</f>
        <v/>
      </c>
      <c r="F2690" t="str">
        <f>""</f>
        <v/>
      </c>
      <c r="H2690" t="str">
        <f t="shared" si="67"/>
        <v>TEXAS COUNTY &amp; DISTRICT RET</v>
      </c>
    </row>
    <row r="2691" spans="1:8" x14ac:dyDescent="0.25">
      <c r="E2691" t="str">
        <f>""</f>
        <v/>
      </c>
      <c r="F2691" t="str">
        <f>""</f>
        <v/>
      </c>
      <c r="H2691" t="str">
        <f t="shared" si="67"/>
        <v>TEXAS COUNTY &amp; DISTRICT RET</v>
      </c>
    </row>
    <row r="2692" spans="1:8" x14ac:dyDescent="0.25">
      <c r="E2692" t="str">
        <f>""</f>
        <v/>
      </c>
      <c r="F2692" t="str">
        <f>""</f>
        <v/>
      </c>
      <c r="H2692" t="str">
        <f t="shared" si="67"/>
        <v>TEXAS COUNTY &amp; DISTRICT RET</v>
      </c>
    </row>
    <row r="2693" spans="1:8" x14ac:dyDescent="0.25">
      <c r="E2693" t="str">
        <f>""</f>
        <v/>
      </c>
      <c r="F2693" t="str">
        <f>""</f>
        <v/>
      </c>
      <c r="H2693" t="str">
        <f t="shared" si="67"/>
        <v>TEXAS COUNTY &amp; DISTRICT RET</v>
      </c>
    </row>
    <row r="2694" spans="1:8" x14ac:dyDescent="0.25">
      <c r="E2694" t="str">
        <f>""</f>
        <v/>
      </c>
      <c r="F2694" t="str">
        <f>""</f>
        <v/>
      </c>
      <c r="H2694" t="str">
        <f t="shared" si="67"/>
        <v>TEXAS COUNTY &amp; DISTRICT RET</v>
      </c>
    </row>
    <row r="2695" spans="1:8" x14ac:dyDescent="0.25">
      <c r="E2695" t="str">
        <f>""</f>
        <v/>
      </c>
      <c r="F2695" t="str">
        <f>""</f>
        <v/>
      </c>
      <c r="H2695" t="str">
        <f t="shared" si="67"/>
        <v>TEXAS COUNTY &amp; DISTRICT RET</v>
      </c>
    </row>
    <row r="2696" spans="1:8" x14ac:dyDescent="0.25">
      <c r="E2696" t="str">
        <f>""</f>
        <v/>
      </c>
      <c r="F2696" t="str">
        <f>""</f>
        <v/>
      </c>
      <c r="H2696" t="str">
        <f t="shared" si="67"/>
        <v>TEXAS COUNTY &amp; DISTRICT RET</v>
      </c>
    </row>
    <row r="2697" spans="1:8" x14ac:dyDescent="0.25">
      <c r="E2697" t="str">
        <f>""</f>
        <v/>
      </c>
      <c r="F2697" t="str">
        <f>""</f>
        <v/>
      </c>
      <c r="H2697" t="str">
        <f t="shared" si="67"/>
        <v>TEXAS COUNTY &amp; DISTRICT RET</v>
      </c>
    </row>
    <row r="2698" spans="1:8" x14ac:dyDescent="0.25">
      <c r="E2698" t="str">
        <f>""</f>
        <v/>
      </c>
      <c r="F2698" t="str">
        <f>""</f>
        <v/>
      </c>
      <c r="H2698" t="str">
        <f t="shared" si="67"/>
        <v>TEXAS COUNTY &amp; DISTRICT RET</v>
      </c>
    </row>
    <row r="2699" spans="1:8" x14ac:dyDescent="0.25">
      <c r="E2699" t="str">
        <f>""</f>
        <v/>
      </c>
      <c r="F2699" t="str">
        <f>""</f>
        <v/>
      </c>
      <c r="H2699" t="str">
        <f t="shared" si="67"/>
        <v>TEXAS COUNTY &amp; DISTRICT RET</v>
      </c>
    </row>
    <row r="2700" spans="1:8" x14ac:dyDescent="0.25">
      <c r="E2700" t="str">
        <f>"RET202002195435"</f>
        <v>RET202002195435</v>
      </c>
      <c r="F2700" t="str">
        <f>"TEXAS COUNTY  DISTRICT RET"</f>
        <v>TEXAS COUNTY  DISTRICT RET</v>
      </c>
      <c r="G2700" s="2">
        <v>6658.07</v>
      </c>
      <c r="H2700" t="str">
        <f>"TEXAS COUNTY  DISTRICT RET"</f>
        <v>TEXAS COUNTY  DISTRICT RET</v>
      </c>
    </row>
    <row r="2701" spans="1:8" x14ac:dyDescent="0.25">
      <c r="E2701" t="str">
        <f>""</f>
        <v/>
      </c>
      <c r="F2701" t="str">
        <f>""</f>
        <v/>
      </c>
      <c r="H2701" t="str">
        <f>"TEXAS COUNTY  DISTRICT RET"</f>
        <v>TEXAS COUNTY  DISTRICT RET</v>
      </c>
    </row>
    <row r="2702" spans="1:8" x14ac:dyDescent="0.25">
      <c r="E2702" t="str">
        <f>"RET202002195436"</f>
        <v>RET202002195436</v>
      </c>
      <c r="F2702" t="str">
        <f>"TEXAS COUNTY &amp; DISTRICT RET"</f>
        <v>TEXAS COUNTY &amp; DISTRICT RET</v>
      </c>
      <c r="G2702" s="2">
        <v>7232.76</v>
      </c>
      <c r="H2702" t="str">
        <f>"TEXAS COUNTY &amp; DISTRICT RET"</f>
        <v>TEXAS COUNTY &amp; DISTRICT RET</v>
      </c>
    </row>
    <row r="2703" spans="1:8" x14ac:dyDescent="0.25">
      <c r="E2703" t="str">
        <f>""</f>
        <v/>
      </c>
      <c r="F2703" t="str">
        <f>""</f>
        <v/>
      </c>
      <c r="H2703" t="str">
        <f>"TEXAS COUNTY &amp; DISTRICT RET"</f>
        <v>TEXAS COUNTY &amp; DISTRICT RET</v>
      </c>
    </row>
    <row r="2704" spans="1:8" x14ac:dyDescent="0.25">
      <c r="A2704" t="s">
        <v>421</v>
      </c>
      <c r="B2704">
        <v>47805</v>
      </c>
      <c r="C2704" s="2">
        <v>736</v>
      </c>
      <c r="D2704" s="1">
        <v>43868</v>
      </c>
      <c r="E2704" t="str">
        <f>"LEG202002045138"</f>
        <v>LEG202002045138</v>
      </c>
      <c r="F2704" t="str">
        <f>"TEXAS LEGAL PROTECTION PLAN"</f>
        <v>TEXAS LEGAL PROTECTION PLAN</v>
      </c>
      <c r="G2704" s="2">
        <v>264</v>
      </c>
      <c r="H2704" t="str">
        <f>"TEXAS LEGAL PROTECTION PLAN"</f>
        <v>TEXAS LEGAL PROTECTION PLAN</v>
      </c>
    </row>
    <row r="2705" spans="1:8" x14ac:dyDescent="0.25">
      <c r="E2705" t="str">
        <f>"LGF202002045138"</f>
        <v>LGF202002045138</v>
      </c>
      <c r="F2705" t="str">
        <f>"TEXAS LEGAL PROTECTION PLAN"</f>
        <v>TEXAS LEGAL PROTECTION PLAN</v>
      </c>
      <c r="G2705" s="2">
        <v>472</v>
      </c>
      <c r="H2705" t="str">
        <f>"TEXAS LEGAL PROTECTION PLAN"</f>
        <v>TEXAS LEGAL PROTECTION PLAN</v>
      </c>
    </row>
    <row r="2706" spans="1:8" x14ac:dyDescent="0.25">
      <c r="A2706" t="s">
        <v>421</v>
      </c>
      <c r="B2706">
        <v>47820</v>
      </c>
      <c r="C2706" s="2">
        <v>736</v>
      </c>
      <c r="D2706" s="1">
        <v>43886</v>
      </c>
      <c r="E2706" t="str">
        <f>"LEG202002195431"</f>
        <v>LEG202002195431</v>
      </c>
      <c r="F2706" t="str">
        <f>"TEXAS LEGAL PROTECTION PLAN"</f>
        <v>TEXAS LEGAL PROTECTION PLAN</v>
      </c>
      <c r="G2706" s="2">
        <v>264</v>
      </c>
      <c r="H2706" t="str">
        <f>"TEXAS LEGAL PROTECTION PLAN"</f>
        <v>TEXAS LEGAL PROTECTION PLAN</v>
      </c>
    </row>
    <row r="2707" spans="1:8" x14ac:dyDescent="0.25">
      <c r="E2707" t="str">
        <f>"LGF202002195431"</f>
        <v>LGF202002195431</v>
      </c>
      <c r="F2707" t="str">
        <f>"TEXAS LEGAL PROTECTION PLAN"</f>
        <v>TEXAS LEGAL PROTECTION PLAN</v>
      </c>
      <c r="G2707" s="2">
        <v>472</v>
      </c>
      <c r="H2707" t="str">
        <f>"TEXAS LEGAL PROTECTION PLAN"</f>
        <v>TEXAS LEGAL PROTECTION PLAN</v>
      </c>
    </row>
    <row r="2708" spans="1:8" x14ac:dyDescent="0.25">
      <c r="A2708" t="s">
        <v>422</v>
      </c>
      <c r="B2708">
        <v>47802</v>
      </c>
      <c r="C2708" s="2">
        <v>219.67</v>
      </c>
      <c r="D2708" s="1">
        <v>43868</v>
      </c>
      <c r="E2708" t="str">
        <f>"S12202002045138"</f>
        <v>S12202002045138</v>
      </c>
      <c r="F2708" t="str">
        <f>"STUDENT LOAN"</f>
        <v>STUDENT LOAN</v>
      </c>
      <c r="G2708" s="2">
        <v>219.67</v>
      </c>
      <c r="H2708" t="str">
        <f>"STUDENT LOAN"</f>
        <v>STUDENT LOAN</v>
      </c>
    </row>
    <row r="2709" spans="1:8" x14ac:dyDescent="0.25">
      <c r="A2709" t="s">
        <v>423</v>
      </c>
      <c r="B2709">
        <v>47804</v>
      </c>
      <c r="C2709" s="2">
        <v>212.65</v>
      </c>
      <c r="D2709" s="1">
        <v>43868</v>
      </c>
      <c r="E2709" t="str">
        <f>"SL9202002045138"</f>
        <v>SL9202002045138</v>
      </c>
      <c r="F2709" t="str">
        <f>"STUDENT LOAN"</f>
        <v>STUDENT LOAN</v>
      </c>
      <c r="G2709" s="2">
        <v>212.65</v>
      </c>
      <c r="H2709" t="str">
        <f>"STUDENT LOAN"</f>
        <v>STUDENT LOAN</v>
      </c>
    </row>
    <row r="2710" spans="1:8" x14ac:dyDescent="0.25">
      <c r="A2710" t="s">
        <v>422</v>
      </c>
      <c r="B2710">
        <v>47817</v>
      </c>
      <c r="C2710" s="2">
        <v>219.67</v>
      </c>
      <c r="D2710" s="1">
        <v>43882</v>
      </c>
      <c r="E2710" t="str">
        <f>"S12202002195431"</f>
        <v>S12202002195431</v>
      </c>
      <c r="F2710" t="str">
        <f>"STUDENT LOAN"</f>
        <v>STUDENT LOAN</v>
      </c>
      <c r="G2710" s="2">
        <v>219.67</v>
      </c>
      <c r="H2710" t="str">
        <f>"STUDENT LOAN"</f>
        <v>STUDENT LOAN</v>
      </c>
    </row>
    <row r="2711" spans="1:8" x14ac:dyDescent="0.25">
      <c r="A2711" t="s">
        <v>423</v>
      </c>
      <c r="B2711">
        <v>47819</v>
      </c>
      <c r="C2711" s="2">
        <v>212.65</v>
      </c>
      <c r="D2711" s="1">
        <v>43882</v>
      </c>
      <c r="E2711" t="str">
        <f>"SL9202002195431"</f>
        <v>SL9202002195431</v>
      </c>
      <c r="F2711" t="str">
        <f>"STUDENT LOAN"</f>
        <v>STUDENT LOAN</v>
      </c>
      <c r="G2711" s="2">
        <v>212.65</v>
      </c>
      <c r="H2711" t="str">
        <f>"STUDENT LOAN"</f>
        <v>STUDENT LOAN</v>
      </c>
    </row>
    <row r="2712" spans="1:8" x14ac:dyDescent="0.25">
      <c r="B2712" s="3" t="s">
        <v>424</v>
      </c>
      <c r="C2712" s="2">
        <f>SUM(C2:C2711)</f>
        <v>3565962.7399999979</v>
      </c>
      <c r="D2712" s="1"/>
    </row>
    <row r="2715" spans="1:8" x14ac:dyDescent="0.25">
      <c r="D2715" s="1"/>
    </row>
    <row r="2716" spans="1:8" x14ac:dyDescent="0.25">
      <c r="D2716" s="1"/>
    </row>
    <row r="2718" spans="1:8" x14ac:dyDescent="0.25">
      <c r="D2718" s="1"/>
    </row>
    <row r="2722" spans="4:4" x14ac:dyDescent="0.25">
      <c r="D2722" s="1"/>
    </row>
    <row r="2723" spans="4:4" x14ac:dyDescent="0.25">
      <c r="D2723" s="1"/>
    </row>
    <row r="2724" spans="4:4" x14ac:dyDescent="0.25">
      <c r="D2724" s="1"/>
    </row>
    <row r="2725" spans="4:4" x14ac:dyDescent="0.25">
      <c r="D2725" s="1"/>
    </row>
    <row r="2726" spans="4:4" x14ac:dyDescent="0.25">
      <c r="D2726" s="1"/>
    </row>
    <row r="2727" spans="4:4" x14ac:dyDescent="0.25">
      <c r="D2727" s="1"/>
    </row>
    <row r="2728" spans="4:4" x14ac:dyDescent="0.25">
      <c r="D2728" s="1"/>
    </row>
    <row r="2731" spans="4:4" x14ac:dyDescent="0.25">
      <c r="D2731" s="1"/>
    </row>
    <row r="2732" spans="4:4" x14ac:dyDescent="0.25">
      <c r="D2732" s="1"/>
    </row>
    <row r="2733" spans="4:4" x14ac:dyDescent="0.25">
      <c r="D2733" s="1"/>
    </row>
    <row r="2734" spans="4:4" x14ac:dyDescent="0.25">
      <c r="D2734" s="1"/>
    </row>
    <row r="2735" spans="4:4" x14ac:dyDescent="0.25">
      <c r="D2735" s="1"/>
    </row>
    <row r="2736" spans="4:4" x14ac:dyDescent="0.25">
      <c r="D2736" s="1"/>
    </row>
    <row r="2738" spans="4:4" x14ac:dyDescent="0.25">
      <c r="D2738" s="1"/>
    </row>
    <row r="2739" spans="4:4" x14ac:dyDescent="0.25">
      <c r="D2739" s="1"/>
    </row>
    <row r="2740" spans="4:4" x14ac:dyDescent="0.25">
      <c r="D2740" s="1"/>
    </row>
    <row r="2741" spans="4:4" x14ac:dyDescent="0.25">
      <c r="D27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AP-CHK-RPT-20200508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2020-05-08T15:23:41Z</dcterms:created>
  <dcterms:modified xsi:type="dcterms:W3CDTF">2020-05-08T15:23:41Z</dcterms:modified>
</cp:coreProperties>
</file>