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June 2020" sheetId="1" r:id="rId1"/>
  </sheets>
  <definedNames>
    <definedName name="_xlnm._FilterDatabase" localSheetId="0" hidden="1">'June 2020'!$A$1:$H$2372</definedName>
  </definedNames>
  <calcPr calcId="152511"/>
</workbook>
</file>

<file path=xl/calcChain.xml><?xml version="1.0" encoding="utf-8"?>
<calcChain xmlns="http://schemas.openxmlformats.org/spreadsheetml/2006/main">
  <c r="C2372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</calcChain>
</file>

<file path=xl/sharedStrings.xml><?xml version="1.0" encoding="utf-8"?>
<sst xmlns="http://schemas.openxmlformats.org/spreadsheetml/2006/main" count="437" uniqueCount="339">
  <si>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</si>
  <si>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</si>
  <si>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</si>
  <si>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</si>
  <si>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</si>
  <si>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</si>
  <si>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</si>
  <si>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</si>
  <si>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</si>
  <si>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ARNOLD OIL COMPANY OF AUSTIN LP</t>
  </si>
  <si>
    <t>ADAM DAKOTA ROWINS</t>
  </si>
  <si>
    <t>ADAM MUERY</t>
  </si>
  <si>
    <t>ADVANCED GRAPHIX INC</t>
  </si>
  <si>
    <t>AIR PRO INC</t>
  </si>
  <si>
    <t>ALBERT NEAL PFEIFFER</t>
  </si>
  <si>
    <t>ALETRUE  LLC</t>
  </si>
  <si>
    <t>AMAZON CAPITAL SERVICES INC</t>
  </si>
  <si>
    <t>AMERISOURCEBERGEN</t>
  </si>
  <si>
    <t>ANDERSON &amp; ANDERSON LAW FIRM PC</t>
  </si>
  <si>
    <t>ANTONIO R VILLAFRANCA</t>
  </si>
  <si>
    <t>C APPLEMAN ENT INC</t>
  </si>
  <si>
    <t>AQUA WATER SUPPLY CORPORATION</t>
  </si>
  <si>
    <t>ARELI ALVARADO</t>
  </si>
  <si>
    <t>ASSOCIATED SUPPLY COMPANY  INC.</t>
  </si>
  <si>
    <t>ASHLEY HERMANS</t>
  </si>
  <si>
    <t>ASIEL CONSTRUCTION &amp; REMODELING</t>
  </si>
  <si>
    <t>AT&amp;T</t>
  </si>
  <si>
    <t>AT&amp;T MOBILITY</t>
  </si>
  <si>
    <t>AUS-TEX TOWING &amp; RECOVERY LLC</t>
  </si>
  <si>
    <t>BUTLER &amp; BURNS EAR NOSE &amp; THROAT ASSO</t>
  </si>
  <si>
    <t>AUSTIN KIDNEY ASSOCIATES  PA</t>
  </si>
  <si>
    <t>AUTUMN J SMITH</t>
  </si>
  <si>
    <t>JIM ATTRA INC</t>
  </si>
  <si>
    <t>BANKNOTE CORPORATION OF AMERICA INC</t>
  </si>
  <si>
    <t>MICHAEL OLDHAM TIRE INC</t>
  </si>
  <si>
    <t>EDUARDO BARRIENTOS</t>
  </si>
  <si>
    <t>BASTROP COUNTY SHERIFF'S DEPT</t>
  </si>
  <si>
    <t>DANIEL L HEPKER</t>
  </si>
  <si>
    <t>BASTROP COUNTY CARES</t>
  </si>
  <si>
    <t>BASTROP COUNTY PROBATION DEPT</t>
  </si>
  <si>
    <t>ASCENSION SETON</t>
  </si>
  <si>
    <t>BASTROP PROVIDENCE  LLC</t>
  </si>
  <si>
    <t>BAYER CORPORATION</t>
  </si>
  <si>
    <t>DAVID H OUTON</t>
  </si>
  <si>
    <t>BEACON SALES ACQUISITION  INC.</t>
  </si>
  <si>
    <t>BELL COUNTY</t>
  </si>
  <si>
    <t>BEN E KEITH CO.</t>
  </si>
  <si>
    <t>MULTI SERVICE TECHNOLOGY SOLUTIONS  INC.</t>
  </si>
  <si>
    <t>B C FOOD GROUP  LLC</t>
  </si>
  <si>
    <t>BETTY LOU GAINES</t>
  </si>
  <si>
    <t>BIG WRENCH ROAD SERVICE INC</t>
  </si>
  <si>
    <t>BIMBO FOODS INC</t>
  </si>
  <si>
    <t>BLUEBONNET AREA CRIME STOPPERS PROGRAM</t>
  </si>
  <si>
    <t>BLUEBONNET ELECTRIC COOPERATIVE  INC.</t>
  </si>
  <si>
    <t>BLUEBONNET TRAILS MHMR</t>
  </si>
  <si>
    <t>BOB BARKER COMPANY  INC.</t>
  </si>
  <si>
    <t>BOEHM TRACTOR SALES INC</t>
  </si>
  <si>
    <t>BRAUNTEX MATERIALS INC</t>
  </si>
  <si>
    <t>BUREAU OF VITAL STATISTICS</t>
  </si>
  <si>
    <t>CAPITAL AREA COUNCIL OF GOVERNMENTS</t>
  </si>
  <si>
    <t>CAPITOL BEARING SERVICE OF AUSTIN  INC.</t>
  </si>
  <si>
    <t>TIB-THE INDEPENDENT BANKERS BANK</t>
  </si>
  <si>
    <t>CDW GOVERNMENT INC</t>
  </si>
  <si>
    <t>CENTERPOINT ENERGY</t>
  </si>
  <si>
    <t>CENTEX MATERIALS LLC</t>
  </si>
  <si>
    <t>CHARLES W CARVER</t>
  </si>
  <si>
    <t>CHARM-TEX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</si>
  <si>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</si>
  <si>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</si>
  <si>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</si>
  <si>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</si>
  <si>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</si>
  <si>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</si>
  <si>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CLIFFORD POWER SYSTEMS INC</t>
  </si>
  <si>
    <t>CLINICAL PATHOLOGY LABORATORIES INC</t>
  </si>
  <si>
    <t>CML SECURITY  LLC</t>
  </si>
  <si>
    <t>CNA SURETY</t>
  </si>
  <si>
    <t>COMMUNITY COFFEE COMPANY LLC</t>
  </si>
  <si>
    <t>CONVERGENCE CABLING  INC.</t>
  </si>
  <si>
    <t>COOPER EQUIPMENT CO.</t>
  </si>
  <si>
    <t>COTHRON SECURITY SOLUTIONS  LLC</t>
  </si>
  <si>
    <t>BUTLER ANIMAL HEALTH HOLDING COMPANY  LLC</t>
  </si>
  <si>
    <t>CURTIS OLTMANN</t>
  </si>
  <si>
    <t>CUSTOM PRODUCTS CORPORATION</t>
  </si>
  <si>
    <t>DAVID B BROOKS</t>
  </si>
  <si>
    <t>DAVID M COLLINS</t>
  </si>
  <si>
    <t>DAVIS &amp; STANTON  INC.</t>
  </si>
  <si>
    <t>DEAN DAIRY CORPORATE  LLC</t>
  </si>
  <si>
    <t>DELL</t>
  </si>
  <si>
    <t>DENTRUST DENTAL TX PC</t>
  </si>
  <si>
    <t>TEXAS DEPARTMENT OF INFORMATION RESOURCES</t>
  </si>
  <si>
    <t>DISCOUNT DOOR &amp; METAL  LLC</t>
  </si>
  <si>
    <t>DONNIE STARK</t>
  </si>
  <si>
    <t>DOOR CONTROL SERVICES INC</t>
  </si>
  <si>
    <t>DOUBLE D INTERNATIONAL FOOD CO.  INC.</t>
  </si>
  <si>
    <t>DUNNE &amp; JUAREZ L.L.C.</t>
  </si>
  <si>
    <t>DAVID MCMULLEN</t>
  </si>
  <si>
    <t>RHODES &amp; LOZIER LLC</t>
  </si>
  <si>
    <t>ECOLAB INC</t>
  </si>
  <si>
    <t>BLACKLANDS PUBLICATIONS INC</t>
  </si>
  <si>
    <t>CITY OF ELGIN UTILITIES</t>
  </si>
  <si>
    <t>ELLIOTT ELECTRIC SUPPLY INC</t>
  </si>
  <si>
    <t>ERGON ASPHALT &amp; EMULSIONS INC</t>
  </si>
  <si>
    <t>EWALD KUBOTA  INC.</t>
  </si>
  <si>
    <t>FAMILY HEALTH CENTER OF BASTROP PLLC</t>
  </si>
  <si>
    <t>FAYETTE COUNTY TOURISM ASSOCIATION</t>
  </si>
  <si>
    <t>FEDERAL EXPRESS</t>
  </si>
  <si>
    <t>FOREMOST COUNTY MUTUAL INS CO</t>
  </si>
  <si>
    <t>347  05/07/20"</t>
  </si>
  <si>
    <t>FORREST L. SANDERSON</t>
  </si>
  <si>
    <t>AUSTIN TRUCK AND EQUIPMENT  LTD</t>
  </si>
  <si>
    <t>EUGENE W BRIGGS JR</t>
  </si>
  <si>
    <t>GALLS PARENT HOLDINGS LLC</t>
  </si>
  <si>
    <t>GENNY RODRIGUEZ SANCHEZ</t>
  </si>
  <si>
    <t>GT DISTRIBUTORS  INC.</t>
  </si>
  <si>
    <t>GULF COAST PAPER CO. INC.</t>
  </si>
  <si>
    <t>VERTEX ENERGY  INC.</t>
  </si>
  <si>
    <t>HALFF ASSOCIATES</t>
  </si>
  <si>
    <t>DOUGLAS D. SPILLMAN</t>
  </si>
  <si>
    <t>HARRIS COUNTY CONSTABLE PCT 4</t>
  </si>
  <si>
    <t>HARRIS COUNTY CONSTABLE PCT 7</t>
  </si>
  <si>
    <t>HARRIS COUNTY HOSPITAL DISTRICT</t>
  </si>
  <si>
    <t>BLTI SERVICES</t>
  </si>
  <si>
    <t>HEARTLAND QUARRIES  LLC</t>
  </si>
  <si>
    <t>HERSHCAP BACKHOE &amp; DITCHING  INC.</t>
  </si>
  <si>
    <t>658  05/11/20"</t>
  </si>
  <si>
    <t>BASCOM L HODGES JR</t>
  </si>
  <si>
    <t>HODGSON G ECKEL</t>
  </si>
  <si>
    <t>BD HOLT CO</t>
  </si>
  <si>
    <t>CITIBANK (SOUTH DAKOTA)N.A./THE HOME DEPOT</t>
  </si>
  <si>
    <t>NORTHWEST CASCADE INC</t>
  </si>
  <si>
    <t>AMERICAS EQUINE WAREHOUSE  INC.</t>
  </si>
  <si>
    <t>GREGORY LUCAS</t>
  </si>
  <si>
    <t>HYDRAULIC HOUSE INC</t>
  </si>
  <si>
    <t>INCLUSION SOLUTIONS  LLC</t>
  </si>
  <si>
    <t>INDIGENT HEALTHCARE SOLUTIONS</t>
  </si>
  <si>
    <t>INTERSTATE BILLING SERVICE INC</t>
  </si>
  <si>
    <t>INTERVET INC</t>
  </si>
  <si>
    <t>IRON MOUNTAIN RECORDS MGMT INC</t>
  </si>
  <si>
    <t>JENKINS &amp; JENKINS LLP</t>
  </si>
  <si>
    <t>JOHN DEERE FINANCIAL f.s.b.</t>
  </si>
  <si>
    <t>JOSE ARIZA MILLAN</t>
  </si>
  <si>
    <t>BILLY JOSHUA GILL</t>
  </si>
  <si>
    <t>JUSTIN MATTHEW FOHN</t>
  </si>
  <si>
    <t>KAREN STARKS</t>
  </si>
  <si>
    <t>898  05/11/20"</t>
  </si>
  <si>
    <t>KAYCI SCHULTZ WATSON</t>
  </si>
  <si>
    <t>KENNETH E. LIMUEL JR</t>
  </si>
  <si>
    <t>KENT BROUSSARD TOWER RENTAL INC</t>
  </si>
  <si>
    <t>DIONNE HIEBERT</t>
  </si>
  <si>
    <t>KING'S PORTABLE THRONES</t>
  </si>
  <si>
    <t>KOETTER FIRE PROTECTION OF AUSTIN  LLC</t>
  </si>
  <si>
    <t>LONGHORN INTERNATIONAL TRUCKS LTD</t>
  </si>
  <si>
    <t>THE LA GRANGE PARTS HOUSE INC</t>
  </si>
  <si>
    <t>LABATT INSTITUTIONAL SUPPLY CO</t>
  </si>
  <si>
    <t>LAURA ROBERTSON</t>
  </si>
  <si>
    <t>LUCIO LEAL</t>
  </si>
  <si>
    <t>LEE COUNTY WATER SUPPLY CORP</t>
  </si>
  <si>
    <t>LESLIE CROSBY</t>
  </si>
  <si>
    <t>LEXISNEXIS RISK DATA MGMT INC</t>
  </si>
  <si>
    <t>LINDA HARMON-TAX ASSESSOR</t>
  </si>
  <si>
    <t>LONE STAR CIRCLE OF CARE</t>
  </si>
  <si>
    <t>UNITED KWB COLLABORATIONS LLC</t>
  </si>
  <si>
    <t>LONNIE LAWRENCE DAVIS JR</t>
  </si>
  <si>
    <t>SCOTT BRYANT</t>
  </si>
  <si>
    <t>LOWE'S</t>
  </si>
  <si>
    <t>LYNDSEY SCHROEDER</t>
  </si>
  <si>
    <t>MARATHON FITNESS</t>
  </si>
  <si>
    <t>MARIA LUZ SANCHEZ</t>
  </si>
  <si>
    <t>MARK T. MALONE  M.D. P.A</t>
  </si>
  <si>
    <t>JOHN W GASPARINI INC</t>
  </si>
  <si>
    <t>MARY BETH SCOTT</t>
  </si>
  <si>
    <t>MATEO FAJARDO</t>
  </si>
  <si>
    <t>MATHESON TRI-GAS INC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</si>
  <si>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</si>
  <si>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</si>
  <si>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</si>
  <si>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</si>
  <si>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MELLANIE MICKELSON</t>
  </si>
  <si>
    <t>MIDTEX MATERIALS</t>
  </si>
  <si>
    <t>TUCKER WITHINGTON BRISCOE</t>
  </si>
  <si>
    <t>VIRGINIA ROSS BERDOLL</t>
  </si>
  <si>
    <t>SANDRA JEAN GOERTZ</t>
  </si>
  <si>
    <t>BLAKE ROBERT CLAMPFFER</t>
  </si>
  <si>
    <t>JACKIE VAN EVANS</t>
  </si>
  <si>
    <t>MARISA JANIRA GARCIA</t>
  </si>
  <si>
    <t>CRAIG EDWARD COSGROVE</t>
  </si>
  <si>
    <t>VICTORIA MAXWELL ALLEN</t>
  </si>
  <si>
    <t>JO LYNN COHEN</t>
  </si>
  <si>
    <t>SALLIE SKELLEY BLALOCK</t>
  </si>
  <si>
    <t>DONALD C BELCHER JR</t>
  </si>
  <si>
    <t>MOTOROLA SOLUTIONS  IN.C</t>
  </si>
  <si>
    <t>MOTOROLA TRUNKED USERS GROUP</t>
  </si>
  <si>
    <t>MUSTANG MACHINERY COMPANY LTD</t>
  </si>
  <si>
    <t>NALCO COMPANY LLC</t>
  </si>
  <si>
    <t>NALLEY HVAC MECHANICAL LLC</t>
  </si>
  <si>
    <t>NATIONAL FOOD GROUP INC</t>
  </si>
  <si>
    <t>O'REILLY AUTOMOTIVE  INC.</t>
  </si>
  <si>
    <t>OFFICE DEPOT</t>
  </si>
  <si>
    <t>OMNIBASE SERVICES OF TEXAS LP</t>
  </si>
  <si>
    <t>ON SITE SERVICES</t>
  </si>
  <si>
    <t>ROGER C. OSBORN</t>
  </si>
  <si>
    <t>OPERATIONAL SUPPORT SERVICES INC</t>
  </si>
  <si>
    <t>P SQUARED EMULSION PLANTS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</si>
  <si>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</si>
  <si>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</si>
  <si>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</si>
  <si>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</si>
  <si>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</si>
  <si>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PAUL PAPE</t>
  </si>
  <si>
    <t>PFC PRODUCTS INC.</t>
  </si>
  <si>
    <t>PHILIP L HALL</t>
  </si>
  <si>
    <t>PHILIP R DUCLOUX</t>
  </si>
  <si>
    <t>CLYDE HAYWOOD SR</t>
  </si>
  <si>
    <t>PB PROFESSIONAL SERVICES INC</t>
  </si>
  <si>
    <t>PITNEY BOWES GLOBAL FINANCIAL SERVICES</t>
  </si>
  <si>
    <t>POST OAK HARDWARE  INC.</t>
  </si>
  <si>
    <t>POSTMASTER</t>
  </si>
  <si>
    <t>ELGIN PROVIDENCE LLC</t>
  </si>
  <si>
    <t>RAMIRO ROSALES</t>
  </si>
  <si>
    <t>MADTEX  INC.</t>
  </si>
  <si>
    <t>RC HEALTH SERVICES  INC.</t>
  </si>
  <si>
    <t>NESTLE WATERS N AMERICA INC</t>
  </si>
  <si>
    <t>REBECCA STRNAD</t>
  </si>
  <si>
    <t>NRG ENERGY INC</t>
  </si>
  <si>
    <t>RESERVE ACCOUNT</t>
  </si>
  <si>
    <t>REYNOLDS &amp; KEINARTH</t>
  </si>
  <si>
    <t>RICHARD ALLAN DICKMAN JR</t>
  </si>
  <si>
    <t>CIT TECHNOLOGY FINANCE</t>
  </si>
  <si>
    <t>ROADRUNNER RADIOLOGY EQUIP LLC</t>
  </si>
  <si>
    <t>ROBERT E CANTU M.D. P.A.</t>
  </si>
  <si>
    <t>ROBERT MADDEN INDUSTRIES LTD</t>
  </si>
  <si>
    <t>ROCIC</t>
  </si>
  <si>
    <t>ROCKY ROAD PRINTING</t>
  </si>
  <si>
    <t>ROSA WARREN</t>
  </si>
  <si>
    <t>ROSE PIETSCH COUNTY CLERK</t>
  </si>
  <si>
    <t>SAMMY LERMA III MD</t>
  </si>
  <si>
    <t>SCOTT &amp; WHITE CLINIC</t>
  </si>
  <si>
    <t>SECURETECH SYSTEMS  INC.</t>
  </si>
  <si>
    <t>SERVICE CASTER CORPORATION</t>
  </si>
  <si>
    <t>SHARON HANCOCK</t>
  </si>
  <si>
    <t>962  05/21/20"</t>
  </si>
  <si>
    <t>FERRELLGAS  LP</t>
  </si>
  <si>
    <t>SHI GOVERNMENT SOLUTIONS INC.</t>
  </si>
  <si>
    <t>SHRED-IT US HOLDCO  INC</t>
  </si>
  <si>
    <t>RONALD JOHN CALDWELL JR</t>
  </si>
  <si>
    <t>SMITH STORES  INC.</t>
  </si>
  <si>
    <t>SMITHVILLE AUTO PARTS  INC</t>
  </si>
  <si>
    <t>SOUTHERN COMPUTER WAREHOUSE INC</t>
  </si>
  <si>
    <t>SOUTHERN TIRE MART LLC</t>
  </si>
  <si>
    <t>DS WATERS OF AMERICA INC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</si>
  <si>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</si>
  <si>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</si>
  <si>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</si>
  <si>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</si>
  <si>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</si>
  <si>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STERICYCLE  INC.</t>
  </si>
  <si>
    <t>STEVE GRANADO</t>
  </si>
  <si>
    <t>MICHAEL GRAMZA</t>
  </si>
  <si>
    <t>MATTHEW LEE SULLINS</t>
  </si>
  <si>
    <t>SUN COAST RESOURCES</t>
  </si>
  <si>
    <t>TAVCO SERVICES INC</t>
  </si>
  <si>
    <t>TEJAS ELEVATOR COMPANY</t>
  </si>
  <si>
    <t>TERRACON CONSULTANTS INC</t>
  </si>
  <si>
    <t>AIR RELIEF TECHNOLOGIES  INC</t>
  </si>
  <si>
    <t>TEX-CON OIL CO</t>
  </si>
  <si>
    <t>TEXAS AGGREGATES  LLC</t>
  </si>
  <si>
    <t>TEXAS ASSOCIATES INSURORS AGENCY</t>
  </si>
  <si>
    <t>TEXAS ASSOCIATION FOR COURT ADMINISTRATION</t>
  </si>
  <si>
    <t>TEXAS ASSOCIATION OF COUNTIES</t>
  </si>
  <si>
    <t>TEXAS COMMISSION ON ENVIRONMENTAL QUALITY</t>
  </si>
  <si>
    <t>TEXAS DISPOSAL SYSTEMS  INC.</t>
  </si>
  <si>
    <t>TEXAS DOWNTOWN ASSOCIATION</t>
  </si>
  <si>
    <t>TEXAS MATERIALS GROUP  INC.</t>
  </si>
  <si>
    <t>TEXAS PARKS &amp; WILDLIFE DEPARTMENT</t>
  </si>
  <si>
    <t>HIGH COUNTRY AUTOMOTIVE  LLC</t>
  </si>
  <si>
    <t>TEXAS STATE UNIVERSITY</t>
  </si>
  <si>
    <t>TEXAS VISION CLINIC  PLLC</t>
  </si>
  <si>
    <t>BUG MASTER EXTERMINATING SERVICES  LTD</t>
  </si>
  <si>
    <t>JAMES ANDREW CASEY</t>
  </si>
  <si>
    <t>RICHARD NELSON MOORE</t>
  </si>
  <si>
    <t>THE PRODUCT CENTER</t>
  </si>
  <si>
    <t>THERESA STOPPELBERG</t>
  </si>
  <si>
    <t>WEST PUBLISHING CORPORATION</t>
  </si>
  <si>
    <t>TIM MAHONEY  ATTORNEY AT LAW  PC</t>
  </si>
  <si>
    <t>TRACTOR SUPPLY CREDIT PLAN</t>
  </si>
  <si>
    <t>TRAVIS COUNTY CONSTABLE PCT 5</t>
  </si>
  <si>
    <t>TRAVIS COUNTY MEDICAL EXAMINER</t>
  </si>
  <si>
    <t>KAUFFMAN TIRE</t>
  </si>
  <si>
    <t>SETON FAMILY OF DOCTORS</t>
  </si>
  <si>
    <t>TRI-TECH FORENSICS  INC.</t>
  </si>
  <si>
    <t>TYLER TOWNSEND</t>
  </si>
  <si>
    <t>TULL FARLEY</t>
  </si>
  <si>
    <t>TYLER TECHNOLOGIES INC</t>
  </si>
  <si>
    <t>TYRONE C. MONCRIFFE</t>
  </si>
  <si>
    <t>ULINE  INC.</t>
  </si>
  <si>
    <t>COUFAL-PRATER EQUIPMENT  LLC</t>
  </si>
  <si>
    <t>U S ANESTHESIA PARTNERS OF TEXAS PA</t>
  </si>
  <si>
    <t>VALERIE BULLOCK</t>
  </si>
  <si>
    <t>VIGILANT SOLUTIONS  LLC</t>
  </si>
  <si>
    <t>TEXAS DEPARTMENT OF STATE HEALTH SERVICES</t>
  </si>
  <si>
    <t>VIVIAN PAN</t>
  </si>
  <si>
    <t>VOTEC CORPORATION</t>
  </si>
  <si>
    <t>US BANK NA</t>
  </si>
  <si>
    <t>VTX COMMUNICATIONS  LLC</t>
  </si>
  <si>
    <t>WAGEWORKS INC  FSA/HSA</t>
  </si>
  <si>
    <t>WALLER COUNTY ASPHALT INC</t>
  </si>
  <si>
    <t>WASTE CONNECTIONS LONE STAR. INC.</t>
  </si>
  <si>
    <t>WASTE MANAGEMENT OF TEXAS  INC</t>
  </si>
  <si>
    <t>WEI-ANN LIN (REIMBURSEMENTS ONLY)</t>
  </si>
  <si>
    <t>MAO PHARMACY INC</t>
  </si>
  <si>
    <t>WORKANTBIZ LLC</t>
  </si>
  <si>
    <t>WORKPLACE RESOURCE</t>
  </si>
  <si>
    <t>ZOETIS US LLC</t>
  </si>
  <si>
    <t>AAA BASTROP STORAGE INC</t>
  </si>
  <si>
    <t>AQUA BEVERAGE COMPANY/OZARKA</t>
  </si>
  <si>
    <t>CHASCO CONSTRUCTORS LTD LLP</t>
  </si>
  <si>
    <t>COPPERAS CREEK HOUSTON TOAD PRESERVE</t>
  </si>
  <si>
    <t>DATA PROJECTIONS  INC.</t>
  </si>
  <si>
    <t>SHEVIS MOORE</t>
  </si>
  <si>
    <t>GEORGE C. REINEMUND</t>
  </si>
  <si>
    <t>RS EQUIPMENT CO</t>
  </si>
  <si>
    <t>HULL SUPPLY COMPANY INC</t>
  </si>
  <si>
    <t>VIZOCOM ICT LLC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</si>
  <si>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</si>
  <si>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</si>
  <si>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</si>
  <si>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</si>
  <si>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</si>
  <si>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</si>
  <si>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</si>
  <si>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</si>
  <si>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</si>
  <si>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</si>
  <si>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</si>
  <si>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</si>
  <si>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</si>
  <si>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</si>
  <si>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Grand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</si>
</sst>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4" fontId="18" fillId="0" borderId="0" xfId="1" applyFont="1"/>
    <xf numFmtId="44" fontId="0" fillId="0" borderId="0" xfId="1" applyFont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.28515625" style="5" bestFit="1" customWidth="1"/>
    <col min="4" max="4" width="10.85546875" bestFit="1" customWidth="1"/>
    <col min="5" max="5" width="19.85546875" bestFit="1" customWidth="1"/>
    <col min="6" max="6" width="34.85546875" bestFit="1" customWidth="1"/>
    <col min="7" max="7" width="17.42578125" style="5" bestFit="1" customWidth="1"/>
    <col min="8" max="8" width="34.8554687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2666</v>
      </c>
      <c r="C2" s="5">
        <v>4312.38</v>
      </c>
      <c r="D2" s="1">
        <v>43991</v>
      </c>
      <c r="E2" t="str">
        <f>"9725-001-116162"</f>
        <v>9725-001-116162</v>
      </c>
      <c r="F2" t="str">
        <f>"ACCT#9725-001/PCT#2"</f>
        <v>ACCT#9725-001/PCT#2</v>
      </c>
      <c r="G2" s="5">
        <v>644.70000000000005</v>
      </c>
      <c r="H2" t="str">
        <f>"ACCT#9725-001/PCT#2"</f>
        <v>ACCT#9725-001/PCT#2</v>
      </c>
    </row>
    <row r="3" spans="1:8" x14ac:dyDescent="0.25">
      <c r="E3" t="str">
        <f>"9725-001-116191"</f>
        <v>9725-001-116191</v>
      </c>
      <c r="F3" t="str">
        <f t="shared" ref="F3:F8" si="0">"ACCT#9725-001/REC BASE/PCT#2"</f>
        <v>ACCT#9725-001/REC BASE/PCT#2</v>
      </c>
      <c r="G3" s="5">
        <v>418.16</v>
      </c>
      <c r="H3" t="str">
        <f t="shared" ref="H3:H8" si="1">"ACCT#9725-001/REC BASE/PCT#2"</f>
        <v>ACCT#9725-001/REC BASE/PCT#2</v>
      </c>
    </row>
    <row r="4" spans="1:8" x14ac:dyDescent="0.25">
      <c r="E4" t="str">
        <f>"9725-001-116218"</f>
        <v>9725-001-116218</v>
      </c>
      <c r="F4" t="str">
        <f t="shared" si="0"/>
        <v>ACCT#9725-001/REC BASE/PCT#2</v>
      </c>
      <c r="G4" s="5">
        <v>216.04</v>
      </c>
      <c r="H4" t="str">
        <f t="shared" si="1"/>
        <v>ACCT#9725-001/REC BASE/PCT#2</v>
      </c>
    </row>
    <row r="5" spans="1:8" x14ac:dyDescent="0.25">
      <c r="E5" t="str">
        <f>"9725-001-116256"</f>
        <v>9725-001-116256</v>
      </c>
      <c r="F5" t="str">
        <f t="shared" si="0"/>
        <v>ACCT#9725-001/REC BASE/PCT#2</v>
      </c>
      <c r="G5" s="5">
        <v>204.31</v>
      </c>
      <c r="H5" t="str">
        <f t="shared" si="1"/>
        <v>ACCT#9725-001/REC BASE/PCT#2</v>
      </c>
    </row>
    <row r="6" spans="1:8" x14ac:dyDescent="0.25">
      <c r="E6" t="str">
        <f>"9725-001-116282"</f>
        <v>9725-001-116282</v>
      </c>
      <c r="F6" t="str">
        <f t="shared" si="0"/>
        <v>ACCT#9725-001/REC BASE/PCT#2</v>
      </c>
      <c r="G6" s="5">
        <v>984.82</v>
      </c>
      <c r="H6" t="str">
        <f t="shared" si="1"/>
        <v>ACCT#9725-001/REC BASE/PCT#2</v>
      </c>
    </row>
    <row r="7" spans="1:8" x14ac:dyDescent="0.25">
      <c r="E7" t="str">
        <f>"9725-001-116307"</f>
        <v>9725-001-116307</v>
      </c>
      <c r="F7" t="str">
        <f t="shared" si="0"/>
        <v>ACCT#9725-001/REC BASE/PCT#2</v>
      </c>
      <c r="G7" s="5">
        <v>806.67</v>
      </c>
      <c r="H7" t="str">
        <f t="shared" si="1"/>
        <v>ACCT#9725-001/REC BASE/PCT#2</v>
      </c>
    </row>
    <row r="8" spans="1:8" x14ac:dyDescent="0.25">
      <c r="E8" t="str">
        <f>"9725-001-116329"</f>
        <v>9725-001-116329</v>
      </c>
      <c r="F8" t="str">
        <f t="shared" si="0"/>
        <v>ACCT#9725-001/REC BASE/PCT#2</v>
      </c>
      <c r="G8" s="5">
        <v>653.02</v>
      </c>
      <c r="H8" t="str">
        <f t="shared" si="1"/>
        <v>ACCT#9725-001/REC BASE/PCT#2</v>
      </c>
    </row>
    <row r="9" spans="1:8" x14ac:dyDescent="0.25">
      <c r="E9" t="str">
        <f>"9725-004-116293"</f>
        <v>9725-004-116293</v>
      </c>
      <c r="F9" t="str">
        <f>"ACCT#9725-004/REC BASE/PCT#1"</f>
        <v>ACCT#9725-004/REC BASE/PCT#1</v>
      </c>
      <c r="G9" s="5">
        <v>264.77999999999997</v>
      </c>
      <c r="H9" t="str">
        <f>"ACCT#9725-004/REC BASE/PCT#1"</f>
        <v>ACCT#9725-004/REC BASE/PCT#1</v>
      </c>
    </row>
    <row r="10" spans="1:8" x14ac:dyDescent="0.25">
      <c r="E10" t="str">
        <f>"9725-004-116317"</f>
        <v>9725-004-116317</v>
      </c>
      <c r="F10" t="str">
        <f>"ACCT#9725-004/REC BASE/PCT#1"</f>
        <v>ACCT#9725-004/REC BASE/PCT#1</v>
      </c>
      <c r="G10" s="5">
        <v>119.88</v>
      </c>
      <c r="H10" t="str">
        <f>"ACCT#9725-004/REC BASE/PCT#1"</f>
        <v>ACCT#9725-004/REC BASE/PCT#1</v>
      </c>
    </row>
    <row r="11" spans="1:8" x14ac:dyDescent="0.25">
      <c r="A11" t="s">
        <v>8</v>
      </c>
      <c r="B11">
        <v>2720</v>
      </c>
      <c r="C11" s="5">
        <v>7496.69</v>
      </c>
      <c r="D11" s="1">
        <v>44005</v>
      </c>
      <c r="E11" t="str">
        <f>"9725-001-116355"</f>
        <v>9725-001-116355</v>
      </c>
      <c r="F11" t="str">
        <f t="shared" ref="F11:F20" si="2">"ACCT#9725-001/REC BASE/PCT#2"</f>
        <v>ACCT#9725-001/REC BASE/PCT#2</v>
      </c>
      <c r="G11" s="5">
        <v>877.99</v>
      </c>
      <c r="H11" t="str">
        <f t="shared" ref="H11:H20" si="3">"ACCT#9725-001/REC BASE/PCT#2"</f>
        <v>ACCT#9725-001/REC BASE/PCT#2</v>
      </c>
    </row>
    <row r="12" spans="1:8" x14ac:dyDescent="0.25">
      <c r="E12" t="str">
        <f>"9725-001-116377"</f>
        <v>9725-001-116377</v>
      </c>
      <c r="F12" t="str">
        <f t="shared" si="2"/>
        <v>ACCT#9725-001/REC BASE/PCT#2</v>
      </c>
      <c r="G12" s="5">
        <v>891.8</v>
      </c>
      <c r="H12" t="str">
        <f t="shared" si="3"/>
        <v>ACCT#9725-001/REC BASE/PCT#2</v>
      </c>
    </row>
    <row r="13" spans="1:8" x14ac:dyDescent="0.25">
      <c r="E13" t="str">
        <f>"9725-001-116397"</f>
        <v>9725-001-116397</v>
      </c>
      <c r="F13" t="str">
        <f t="shared" si="2"/>
        <v>ACCT#9725-001/REC BASE/PCT#2</v>
      </c>
      <c r="G13" s="5">
        <v>413.7</v>
      </c>
      <c r="H13" t="str">
        <f t="shared" si="3"/>
        <v>ACCT#9725-001/REC BASE/PCT#2</v>
      </c>
    </row>
    <row r="14" spans="1:8" x14ac:dyDescent="0.25">
      <c r="E14" t="str">
        <f>"9725-001-116420"</f>
        <v>9725-001-116420</v>
      </c>
      <c r="F14" t="str">
        <f t="shared" si="2"/>
        <v>ACCT#9725-001/REC BASE/PCT#2</v>
      </c>
      <c r="G14" s="5">
        <v>409.5</v>
      </c>
      <c r="H14" t="str">
        <f t="shared" si="3"/>
        <v>ACCT#9725-001/REC BASE/PCT#2</v>
      </c>
    </row>
    <row r="15" spans="1:8" x14ac:dyDescent="0.25">
      <c r="E15" t="str">
        <f>"9725-001-116443"</f>
        <v>9725-001-116443</v>
      </c>
      <c r="F15" t="str">
        <f t="shared" si="2"/>
        <v>ACCT#9725-001/REC BASE/PCT#2</v>
      </c>
      <c r="G15" s="5">
        <v>629.04</v>
      </c>
      <c r="H15" t="str">
        <f t="shared" si="3"/>
        <v>ACCT#9725-001/REC BASE/PCT#2</v>
      </c>
    </row>
    <row r="16" spans="1:8" x14ac:dyDescent="0.25">
      <c r="E16" t="str">
        <f>"9725-001-116482"</f>
        <v>9725-001-116482</v>
      </c>
      <c r="F16" t="str">
        <f t="shared" si="2"/>
        <v>ACCT#9725-001/REC BASE/PCT#2</v>
      </c>
      <c r="G16" s="5">
        <v>888.65</v>
      </c>
      <c r="H16" t="str">
        <f t="shared" si="3"/>
        <v>ACCT#9725-001/REC BASE/PCT#2</v>
      </c>
    </row>
    <row r="17" spans="1:8" x14ac:dyDescent="0.25">
      <c r="E17" t="str">
        <f>"9725-001-116506"</f>
        <v>9725-001-116506</v>
      </c>
      <c r="F17" t="str">
        <f t="shared" si="2"/>
        <v>ACCT#9725-001/REC BASE/PCT#2</v>
      </c>
      <c r="G17" s="5">
        <v>206.41</v>
      </c>
      <c r="H17" t="str">
        <f t="shared" si="3"/>
        <v>ACCT#9725-001/REC BASE/PCT#2</v>
      </c>
    </row>
    <row r="18" spans="1:8" x14ac:dyDescent="0.25">
      <c r="E18" t="str">
        <f>"9725-001-116529"</f>
        <v>9725-001-116529</v>
      </c>
      <c r="F18" t="str">
        <f t="shared" si="2"/>
        <v>ACCT#9725-001/REC BASE/PCT#2</v>
      </c>
      <c r="G18" s="5">
        <v>1471.24</v>
      </c>
      <c r="H18" t="str">
        <f t="shared" si="3"/>
        <v>ACCT#9725-001/REC BASE/PCT#2</v>
      </c>
    </row>
    <row r="19" spans="1:8" x14ac:dyDescent="0.25">
      <c r="E19" t="str">
        <f>"9725-001-116554"</f>
        <v>9725-001-116554</v>
      </c>
      <c r="F19" t="str">
        <f t="shared" si="2"/>
        <v>ACCT#9725-001/REC BASE/PCT#2</v>
      </c>
      <c r="G19" s="5">
        <v>856.89</v>
      </c>
      <c r="H19" t="str">
        <f t="shared" si="3"/>
        <v>ACCT#9725-001/REC BASE/PCT#2</v>
      </c>
    </row>
    <row r="20" spans="1:8" x14ac:dyDescent="0.25">
      <c r="E20" t="str">
        <f>"9725-001-116581"</f>
        <v>9725-001-116581</v>
      </c>
      <c r="F20" t="str">
        <f t="shared" si="2"/>
        <v>ACCT#9725-001/REC BASE/PCT#2</v>
      </c>
      <c r="G20" s="5">
        <v>851.47</v>
      </c>
      <c r="H20" t="str">
        <f t="shared" si="3"/>
        <v>ACCT#9725-001/REC BASE/PCT#2</v>
      </c>
    </row>
    <row r="21" spans="1:8" x14ac:dyDescent="0.25">
      <c r="A21" t="s">
        <v>9</v>
      </c>
      <c r="B21">
        <v>132025</v>
      </c>
      <c r="C21" s="5">
        <v>365.17</v>
      </c>
      <c r="D21" s="1">
        <v>43990</v>
      </c>
      <c r="E21" t="str">
        <f>"202006037122"</f>
        <v>202006037122</v>
      </c>
      <c r="F21" t="str">
        <f>"CUST ID:16500/STMT#394334/P4"</f>
        <v>CUST ID:16500/STMT#394334/P4</v>
      </c>
      <c r="G21" s="5">
        <v>365.17</v>
      </c>
      <c r="H21" t="str">
        <f>"CUST ID:16500/STMT#394334/P4"</f>
        <v>CUST ID:16500/STMT#394334/P4</v>
      </c>
    </row>
    <row r="22" spans="1:8" x14ac:dyDescent="0.25">
      <c r="A22" t="s">
        <v>10</v>
      </c>
      <c r="B22">
        <v>132152</v>
      </c>
      <c r="C22" s="5">
        <v>412.5</v>
      </c>
      <c r="D22" s="1">
        <v>44004</v>
      </c>
      <c r="E22" t="str">
        <f>"202006107260"</f>
        <v>202006107260</v>
      </c>
      <c r="F22" t="str">
        <f>"19-19963"</f>
        <v>19-19963</v>
      </c>
      <c r="G22" s="5">
        <v>37.5</v>
      </c>
      <c r="H22" t="str">
        <f>"19-19963"</f>
        <v>19-19963</v>
      </c>
    </row>
    <row r="23" spans="1:8" x14ac:dyDescent="0.25">
      <c r="E23" t="str">
        <f>"202006107261"</f>
        <v>202006107261</v>
      </c>
      <c r="F23" t="str">
        <f>"19-19768"</f>
        <v>19-19768</v>
      </c>
      <c r="G23" s="5">
        <v>157.5</v>
      </c>
      <c r="H23" t="str">
        <f>"19-19768"</f>
        <v>19-19768</v>
      </c>
    </row>
    <row r="24" spans="1:8" x14ac:dyDescent="0.25">
      <c r="E24" t="str">
        <f>"202006107262"</f>
        <v>202006107262</v>
      </c>
      <c r="F24" t="str">
        <f>"19-20002"</f>
        <v>19-20002</v>
      </c>
      <c r="G24" s="5">
        <v>217.5</v>
      </c>
      <c r="H24" t="str">
        <f>"19-20002"</f>
        <v>19-20002</v>
      </c>
    </row>
    <row r="25" spans="1:8" x14ac:dyDescent="0.25">
      <c r="A25" t="s">
        <v>11</v>
      </c>
      <c r="B25">
        <v>132026</v>
      </c>
      <c r="C25" s="5">
        <v>6990</v>
      </c>
      <c r="D25" s="1">
        <v>43990</v>
      </c>
      <c r="E25" t="str">
        <f>"202006017046"</f>
        <v>202006017046</v>
      </c>
      <c r="F25" t="str">
        <f>"412208-7"</f>
        <v>412208-7</v>
      </c>
      <c r="G25" s="5">
        <v>400</v>
      </c>
      <c r="H25" t="str">
        <f>"412208-7"</f>
        <v>412208-7</v>
      </c>
    </row>
    <row r="26" spans="1:8" x14ac:dyDescent="0.25">
      <c r="E26" t="str">
        <f>"202006017047"</f>
        <v>202006017047</v>
      </c>
      <c r="F26" t="str">
        <f>"1178-335"</f>
        <v>1178-335</v>
      </c>
      <c r="G26" s="5">
        <v>400</v>
      </c>
      <c r="H26" t="str">
        <f>"1178-335"</f>
        <v>1178-335</v>
      </c>
    </row>
    <row r="27" spans="1:8" x14ac:dyDescent="0.25">
      <c r="E27" t="str">
        <f>"202006017048"</f>
        <v>202006017048</v>
      </c>
      <c r="F27" t="str">
        <f>"02.0106.2"</f>
        <v>02.0106.2</v>
      </c>
      <c r="G27" s="5">
        <v>400</v>
      </c>
      <c r="H27" t="str">
        <f>"02.0106.2"</f>
        <v>02.0106.2</v>
      </c>
    </row>
    <row r="28" spans="1:8" x14ac:dyDescent="0.25">
      <c r="E28" t="str">
        <f>"202006017049"</f>
        <v>202006017049</v>
      </c>
      <c r="F28" t="str">
        <f>"16 732"</f>
        <v>16 732</v>
      </c>
      <c r="G28" s="5">
        <v>1770</v>
      </c>
      <c r="H28" t="str">
        <f>"16 732"</f>
        <v>16 732</v>
      </c>
    </row>
    <row r="29" spans="1:8" x14ac:dyDescent="0.25">
      <c r="E29" t="str">
        <f>"202006017050"</f>
        <v>202006017050</v>
      </c>
      <c r="F29" t="str">
        <f>"16 699"</f>
        <v>16 699</v>
      </c>
      <c r="G29" s="5">
        <v>2010</v>
      </c>
      <c r="H29" t="str">
        <f>"16 699"</f>
        <v>16 699</v>
      </c>
    </row>
    <row r="30" spans="1:8" x14ac:dyDescent="0.25">
      <c r="E30" t="str">
        <f>"202006017051"</f>
        <v>202006017051</v>
      </c>
      <c r="F30" t="str">
        <f>"16 700"</f>
        <v>16 700</v>
      </c>
      <c r="G30" s="5">
        <v>2010</v>
      </c>
      <c r="H30" t="str">
        <f>"16 700"</f>
        <v>16 700</v>
      </c>
    </row>
    <row r="31" spans="1:8" x14ac:dyDescent="0.25">
      <c r="A31" t="s">
        <v>12</v>
      </c>
      <c r="B31">
        <v>132027</v>
      </c>
      <c r="C31" s="5">
        <v>97</v>
      </c>
      <c r="D31" s="1">
        <v>43990</v>
      </c>
      <c r="E31" t="str">
        <f>"204235"</f>
        <v>204235</v>
      </c>
      <c r="F31" t="str">
        <f>"INV 204235 / UNIT 0126"</f>
        <v>INV 204235 / UNIT 0126</v>
      </c>
      <c r="G31" s="5">
        <v>97</v>
      </c>
      <c r="H31" t="str">
        <f>"INV 204235 / UNIT 0126"</f>
        <v>INV 204235 / UNIT 0126</v>
      </c>
    </row>
    <row r="32" spans="1:8" x14ac:dyDescent="0.25">
      <c r="A32" t="s">
        <v>12</v>
      </c>
      <c r="B32">
        <v>132153</v>
      </c>
      <c r="C32" s="5">
        <v>637.5</v>
      </c>
      <c r="D32" s="1">
        <v>44004</v>
      </c>
      <c r="E32" t="str">
        <f>"204321"</f>
        <v>204321</v>
      </c>
      <c r="F32" t="str">
        <f>"INV 204321"</f>
        <v>INV 204321</v>
      </c>
      <c r="G32" s="5">
        <v>637.5</v>
      </c>
      <c r="H32" t="str">
        <f>"INV 204321"</f>
        <v>INV 204321</v>
      </c>
    </row>
    <row r="33" spans="1:8" x14ac:dyDescent="0.25">
      <c r="A33" t="s">
        <v>13</v>
      </c>
      <c r="B33">
        <v>132023</v>
      </c>
      <c r="C33" s="5">
        <v>25</v>
      </c>
      <c r="D33" s="1">
        <v>43985</v>
      </c>
      <c r="E33" t="str">
        <f>"202006037138"</f>
        <v>202006037138</v>
      </c>
      <c r="F33" t="str">
        <f>"DRIVEWAY PERMIT REFUND"</f>
        <v>DRIVEWAY PERMIT REFUND</v>
      </c>
      <c r="G33" s="5">
        <v>25</v>
      </c>
      <c r="H33" t="str">
        <f>"DRIVEWAY PERMIT REFUND"</f>
        <v>DRIVEWAY PERMIT REFUND</v>
      </c>
    </row>
    <row r="34" spans="1:8" x14ac:dyDescent="0.25">
      <c r="A34" t="s">
        <v>14</v>
      </c>
      <c r="B34">
        <v>2762</v>
      </c>
      <c r="C34" s="5">
        <v>400</v>
      </c>
      <c r="D34" s="1">
        <v>44005</v>
      </c>
      <c r="E34" t="str">
        <f>"202006097198"</f>
        <v>202006097198</v>
      </c>
      <c r="F34" t="str">
        <f>"16333"</f>
        <v>16333</v>
      </c>
      <c r="G34" s="5">
        <v>400</v>
      </c>
      <c r="H34" t="str">
        <f>"16333"</f>
        <v>16333</v>
      </c>
    </row>
    <row r="35" spans="1:8" x14ac:dyDescent="0.25">
      <c r="A35" t="s">
        <v>15</v>
      </c>
      <c r="B35">
        <v>132028</v>
      </c>
      <c r="C35" s="5">
        <v>275</v>
      </c>
      <c r="D35" s="1">
        <v>43990</v>
      </c>
      <c r="E35" t="str">
        <f>"202005297034"</f>
        <v>202005297034</v>
      </c>
      <c r="F35" t="str">
        <f>"REFUND FOR DRAINAGE PERMIT"</f>
        <v>REFUND FOR DRAINAGE PERMIT</v>
      </c>
      <c r="G35" s="5">
        <v>50</v>
      </c>
      <c r="H35" t="str">
        <f>"REFUND FOR DRAINAGE PERMIT"</f>
        <v>REFUND FOR DRAINAGE PERMIT</v>
      </c>
    </row>
    <row r="36" spans="1:8" x14ac:dyDescent="0.25">
      <c r="E36" t="str">
        <f>"202005297035"</f>
        <v>202005297035</v>
      </c>
      <c r="F36" t="str">
        <f>"REFUND FOR DEVELOPMENT PERMIT"</f>
        <v>REFUND FOR DEVELOPMENT PERMIT</v>
      </c>
      <c r="G36" s="5">
        <v>225</v>
      </c>
      <c r="H36" t="str">
        <f>"REFUND FOR DEVELOPMENT PERMIT"</f>
        <v>REFUND FOR DEVELOPMENT PERMIT</v>
      </c>
    </row>
    <row r="37" spans="1:8" x14ac:dyDescent="0.25">
      <c r="A37" t="s">
        <v>16</v>
      </c>
      <c r="B37">
        <v>2683</v>
      </c>
      <c r="C37" s="5">
        <v>3439.89</v>
      </c>
      <c r="D37" s="1">
        <v>43991</v>
      </c>
      <c r="E37" t="str">
        <f>"16RQ-PNHX-CTWT"</f>
        <v>16RQ-PNHX-CTWT</v>
      </c>
      <c r="F37" t="str">
        <f>"Table Fans"</f>
        <v>Table Fans</v>
      </c>
      <c r="G37" s="5">
        <v>59.76</v>
      </c>
      <c r="H37" t="str">
        <f>"Honeywell HT-900"</f>
        <v>Honeywell HT-900</v>
      </c>
    </row>
    <row r="38" spans="1:8" x14ac:dyDescent="0.25">
      <c r="E38" t="str">
        <f>"17WD-LKFL-Y96K"</f>
        <v>17WD-LKFL-Y96K</v>
      </c>
      <c r="F38" t="str">
        <f>"Light Bulbs and Tissue"</f>
        <v>Light Bulbs and Tissue</v>
      </c>
      <c r="G38" s="5">
        <v>123.24</v>
      </c>
      <c r="H38" t="str">
        <f>"TIssue"</f>
        <v>TIssue</v>
      </c>
    </row>
    <row r="39" spans="1:8" x14ac:dyDescent="0.25">
      <c r="E39" t="str">
        <f>""</f>
        <v/>
      </c>
      <c r="F39" t="str">
        <f>""</f>
        <v/>
      </c>
      <c r="H39" t="str">
        <f>"Light Bulbs"</f>
        <v>Light Bulbs</v>
      </c>
    </row>
    <row r="40" spans="1:8" x14ac:dyDescent="0.25">
      <c r="E40" t="str">
        <f>""</f>
        <v/>
      </c>
      <c r="F40" t="str">
        <f>""</f>
        <v/>
      </c>
      <c r="H40" t="str">
        <f>"shipping"</f>
        <v>shipping</v>
      </c>
    </row>
    <row r="41" spans="1:8" x14ac:dyDescent="0.25">
      <c r="E41" t="str">
        <f>"1JRC-YXMD-3LHX"</f>
        <v>1JRC-YXMD-3LHX</v>
      </c>
      <c r="F41" t="str">
        <f>"Pallets of Paper"</f>
        <v>Pallets of Paper</v>
      </c>
      <c r="G41" s="5">
        <v>2718</v>
      </c>
      <c r="H41" t="str">
        <f>"Hammermill"</f>
        <v>Hammermill</v>
      </c>
    </row>
    <row r="42" spans="1:8" x14ac:dyDescent="0.25">
      <c r="E42" t="str">
        <f>""</f>
        <v/>
      </c>
      <c r="F42" t="str">
        <f>""</f>
        <v/>
      </c>
      <c r="H42" t="str">
        <f>"Hammermill"</f>
        <v>Hammermill</v>
      </c>
    </row>
    <row r="43" spans="1:8" x14ac:dyDescent="0.25">
      <c r="E43" t="str">
        <f>"1K7P-NR4J-FPLG"</f>
        <v>1K7P-NR4J-FPLG</v>
      </c>
      <c r="F43" t="str">
        <f>"office supplies"</f>
        <v>office supplies</v>
      </c>
      <c r="G43" s="5">
        <v>158.88999999999999</v>
      </c>
      <c r="H43" t="str">
        <f>"scale"</f>
        <v>scale</v>
      </c>
    </row>
    <row r="44" spans="1:8" x14ac:dyDescent="0.25">
      <c r="E44" t="str">
        <f>""</f>
        <v/>
      </c>
      <c r="F44" t="str">
        <f>""</f>
        <v/>
      </c>
      <c r="H44" t="str">
        <f>"ordered stamp"</f>
        <v>ordered stamp</v>
      </c>
    </row>
    <row r="45" spans="1:8" x14ac:dyDescent="0.25">
      <c r="E45" t="str">
        <f>""</f>
        <v/>
      </c>
      <c r="F45" t="str">
        <f>""</f>
        <v/>
      </c>
      <c r="H45" t="str">
        <f>"File Tab"</f>
        <v>File Tab</v>
      </c>
    </row>
    <row r="46" spans="1:8" x14ac:dyDescent="0.25">
      <c r="E46" t="str">
        <f>""</f>
        <v/>
      </c>
      <c r="F46" t="str">
        <f>""</f>
        <v/>
      </c>
      <c r="H46" t="str">
        <f>"Pen"</f>
        <v>Pen</v>
      </c>
    </row>
    <row r="47" spans="1:8" x14ac:dyDescent="0.25">
      <c r="E47" t="str">
        <f>""</f>
        <v/>
      </c>
      <c r="F47" t="str">
        <f>""</f>
        <v/>
      </c>
      <c r="H47" t="str">
        <f>"planner"</f>
        <v>planner</v>
      </c>
    </row>
    <row r="48" spans="1:8" x14ac:dyDescent="0.25">
      <c r="E48" t="str">
        <f>""</f>
        <v/>
      </c>
      <c r="F48" t="str">
        <f>""</f>
        <v/>
      </c>
      <c r="H48" t="str">
        <f>"Planner"</f>
        <v>Planner</v>
      </c>
    </row>
    <row r="49" spans="1:8" x14ac:dyDescent="0.25">
      <c r="E49" t="str">
        <f>""</f>
        <v/>
      </c>
      <c r="F49" t="str">
        <f>""</f>
        <v/>
      </c>
      <c r="H49" t="str">
        <f>"desk calender"</f>
        <v>desk calender</v>
      </c>
    </row>
    <row r="50" spans="1:8" x14ac:dyDescent="0.25">
      <c r="E50" t="str">
        <f>""</f>
        <v/>
      </c>
      <c r="F50" t="str">
        <f>""</f>
        <v/>
      </c>
      <c r="H50" t="str">
        <f>"Anker USB"</f>
        <v>Anker USB</v>
      </c>
    </row>
    <row r="51" spans="1:8" x14ac:dyDescent="0.25">
      <c r="E51" t="str">
        <f>"1V1J-XCP7-N73K"</f>
        <v>1V1J-XCP7-N73K</v>
      </c>
      <c r="F51" t="str">
        <f>"Amazon Order"</f>
        <v>Amazon Order</v>
      </c>
      <c r="G51" s="5">
        <v>380</v>
      </c>
      <c r="H51" t="str">
        <f>"Ceiling Tiles 2x4"</f>
        <v>Ceiling Tiles 2x4</v>
      </c>
    </row>
    <row r="52" spans="1:8" x14ac:dyDescent="0.25">
      <c r="A52" t="s">
        <v>16</v>
      </c>
      <c r="B52">
        <v>2744</v>
      </c>
      <c r="C52" s="5">
        <v>95.4</v>
      </c>
      <c r="D52" s="1">
        <v>44005</v>
      </c>
      <c r="E52" t="str">
        <f>"114Q-K3XC-4DMC"</f>
        <v>114Q-K3XC-4DMC</v>
      </c>
      <c r="F52" t="str">
        <f>"Battery Backup"</f>
        <v>Battery Backup</v>
      </c>
      <c r="G52" s="5">
        <v>60.49</v>
      </c>
      <c r="H52" t="str">
        <f>"Battery Backup"</f>
        <v>Battery Backup</v>
      </c>
    </row>
    <row r="53" spans="1:8" x14ac:dyDescent="0.25">
      <c r="E53" t="str">
        <f>"1Y93-LVNL-3VTC"</f>
        <v>1Y93-LVNL-3VTC</v>
      </c>
      <c r="F53" t="str">
        <f>"Suction Pipe"</f>
        <v>Suction Pipe</v>
      </c>
      <c r="G53" s="5">
        <v>34.909999999999997</v>
      </c>
      <c r="H53" t="str">
        <f>"Suction Pipe"</f>
        <v>Suction Pipe</v>
      </c>
    </row>
    <row r="54" spans="1:8" x14ac:dyDescent="0.25">
      <c r="A54" t="s">
        <v>17</v>
      </c>
      <c r="B54">
        <v>132154</v>
      </c>
      <c r="C54" s="5">
        <v>3393.5</v>
      </c>
      <c r="D54" s="1">
        <v>44004</v>
      </c>
      <c r="E54" t="str">
        <f>"972808720"</f>
        <v>972808720</v>
      </c>
      <c r="F54" t="str">
        <f>"INV 972808720"</f>
        <v>INV 972808720</v>
      </c>
      <c r="G54" s="5">
        <v>3393.5</v>
      </c>
      <c r="H54" t="str">
        <f>"INV 972808720"</f>
        <v>INV 972808720</v>
      </c>
    </row>
    <row r="55" spans="1:8" x14ac:dyDescent="0.25">
      <c r="A55" t="s">
        <v>18</v>
      </c>
      <c r="B55">
        <v>2710</v>
      </c>
      <c r="C55" s="5">
        <v>400</v>
      </c>
      <c r="D55" s="1">
        <v>43991</v>
      </c>
      <c r="E55" t="str">
        <f>"202005287016"</f>
        <v>202005287016</v>
      </c>
      <c r="F55" t="str">
        <f>"1914168"</f>
        <v>1914168</v>
      </c>
      <c r="G55" s="5">
        <v>400</v>
      </c>
      <c r="H55" t="str">
        <f>"1914168"</f>
        <v>1914168</v>
      </c>
    </row>
    <row r="56" spans="1:8" x14ac:dyDescent="0.25">
      <c r="A56" t="s">
        <v>19</v>
      </c>
      <c r="B56">
        <v>132029</v>
      </c>
      <c r="C56" s="5">
        <v>541</v>
      </c>
      <c r="D56" s="1">
        <v>43990</v>
      </c>
      <c r="E56" t="str">
        <f>"20-00541"</f>
        <v>20-00541</v>
      </c>
      <c r="F56" t="str">
        <f>"2016 INTL/PCT#1"</f>
        <v>2016 INTL/PCT#1</v>
      </c>
      <c r="G56" s="5">
        <v>541</v>
      </c>
      <c r="H56" t="str">
        <f>"2016 INTL/PCT#1"</f>
        <v>2016 INTL/PCT#1</v>
      </c>
    </row>
    <row r="57" spans="1:8" x14ac:dyDescent="0.25">
      <c r="A57" t="s">
        <v>20</v>
      </c>
      <c r="B57">
        <v>132030</v>
      </c>
      <c r="C57" s="5">
        <v>19.25</v>
      </c>
      <c r="D57" s="1">
        <v>43990</v>
      </c>
      <c r="E57" t="str">
        <f>"2005-494855"</f>
        <v>2005-494855</v>
      </c>
      <c r="F57" t="str">
        <f>"ACCT#3-3053"</f>
        <v>ACCT#3-3053</v>
      </c>
      <c r="G57" s="5">
        <v>19.25</v>
      </c>
      <c r="H57" t="str">
        <f>"ACCT#3-3053"</f>
        <v>ACCT#3-3053</v>
      </c>
    </row>
    <row r="58" spans="1:8" x14ac:dyDescent="0.25">
      <c r="A58" t="s">
        <v>21</v>
      </c>
      <c r="B58">
        <v>132031</v>
      </c>
      <c r="C58" s="5">
        <v>615</v>
      </c>
      <c r="D58" s="1">
        <v>43990</v>
      </c>
      <c r="E58" t="str">
        <f>"202005287022"</f>
        <v>202005287022</v>
      </c>
      <c r="F58" t="str">
        <f>"ACCT#7700010027/60 LDS WATER"</f>
        <v>ACCT#7700010027/60 LDS WATER</v>
      </c>
      <c r="G58" s="5">
        <v>615</v>
      </c>
      <c r="H58" t="str">
        <f>"ACCT#7700010027/60 LDS WATER"</f>
        <v>ACCT#7700010027/60 LDS WATER</v>
      </c>
    </row>
    <row r="59" spans="1:8" x14ac:dyDescent="0.25">
      <c r="A59" t="s">
        <v>21</v>
      </c>
      <c r="B59">
        <v>132132</v>
      </c>
      <c r="C59" s="5">
        <v>55.2</v>
      </c>
      <c r="D59" s="1">
        <v>43990</v>
      </c>
      <c r="E59" t="str">
        <f>"202006087192"</f>
        <v>202006087192</v>
      </c>
      <c r="F59" t="str">
        <f>"ACCT#0201891401 / 06052020"</f>
        <v>ACCT#0201891401 / 06052020</v>
      </c>
      <c r="G59" s="5">
        <v>25.28</v>
      </c>
      <c r="H59" t="str">
        <f>"ACCT#0201891401 / 06052020"</f>
        <v>ACCT#0201891401 / 06052020</v>
      </c>
    </row>
    <row r="60" spans="1:8" x14ac:dyDescent="0.25">
      <c r="E60" t="str">
        <f>"202006087193"</f>
        <v>202006087193</v>
      </c>
      <c r="F60" t="str">
        <f>"ACCT#0201855301 / 06052020"</f>
        <v>ACCT#0201855301 / 06052020</v>
      </c>
      <c r="G60" s="5">
        <v>29.92</v>
      </c>
      <c r="H60" t="str">
        <f>"ACCT#0201855301 / 06052020"</f>
        <v>ACCT#0201855301 / 06052020</v>
      </c>
    </row>
    <row r="61" spans="1:8" x14ac:dyDescent="0.25">
      <c r="A61" t="s">
        <v>21</v>
      </c>
      <c r="B61">
        <v>132149</v>
      </c>
      <c r="C61" s="5">
        <v>797.07</v>
      </c>
      <c r="D61" s="1">
        <v>44000</v>
      </c>
      <c r="E61" t="str">
        <f>"202006177363"</f>
        <v>202006177363</v>
      </c>
      <c r="F61" t="str">
        <f>"ACCT#0102120801 / 06202020"</f>
        <v>ACCT#0102120801 / 06202020</v>
      </c>
      <c r="G61" s="5">
        <v>207.66</v>
      </c>
      <c r="H61" t="str">
        <f>"ACCT#0102120801 / 06202020"</f>
        <v>ACCT#0102120801 / 06202020</v>
      </c>
    </row>
    <row r="62" spans="1:8" x14ac:dyDescent="0.25">
      <c r="E62" t="str">
        <f>"202006177364"</f>
        <v>202006177364</v>
      </c>
      <c r="F62" t="str">
        <f>"ACCT#0400785803 / 06202020"</f>
        <v>ACCT#0400785803 / 06202020</v>
      </c>
      <c r="G62" s="5">
        <v>161.87</v>
      </c>
      <c r="H62" t="str">
        <f>"ACCT#0400785803 / 06202020"</f>
        <v>ACCT#0400785803 / 06202020</v>
      </c>
    </row>
    <row r="63" spans="1:8" x14ac:dyDescent="0.25">
      <c r="E63" t="str">
        <f>"202006177365"</f>
        <v>202006177365</v>
      </c>
      <c r="F63" t="str">
        <f>"ACCT#0401408501 / 06202020"</f>
        <v>ACCT#0401408501 / 06202020</v>
      </c>
      <c r="G63" s="5">
        <v>359.57</v>
      </c>
      <c r="H63" t="str">
        <f>"ACCT#0401408501 / 06202020"</f>
        <v>ACCT#0401408501 / 06202020</v>
      </c>
    </row>
    <row r="64" spans="1:8" x14ac:dyDescent="0.25">
      <c r="E64" t="str">
        <f>"202006177366"</f>
        <v>202006177366</v>
      </c>
      <c r="F64" t="str">
        <f>"ACCT#0800042801 / 06202020"</f>
        <v>ACCT#0800042801 / 06202020</v>
      </c>
      <c r="G64" s="5">
        <v>42.3</v>
      </c>
      <c r="H64" t="str">
        <f>"ACCT#0800042801 / 06202020"</f>
        <v>ACCT#0800042801 / 06202020</v>
      </c>
    </row>
    <row r="65" spans="1:8" x14ac:dyDescent="0.25">
      <c r="E65" t="str">
        <f>"202006177367"</f>
        <v>202006177367</v>
      </c>
      <c r="F65" t="str">
        <f>"ACCT#0802361501 / 06202020"</f>
        <v>ACCT#0802361501 / 06202020</v>
      </c>
      <c r="G65" s="5">
        <v>25.67</v>
      </c>
      <c r="H65" t="str">
        <f>"ACCT#0802361501 / 06202020"</f>
        <v>ACCT#0802361501 / 06202020</v>
      </c>
    </row>
    <row r="66" spans="1:8" x14ac:dyDescent="0.25">
      <c r="A66" t="s">
        <v>21</v>
      </c>
      <c r="B66">
        <v>132155</v>
      </c>
      <c r="C66" s="5">
        <v>625.25</v>
      </c>
      <c r="D66" s="1">
        <v>44004</v>
      </c>
      <c r="E66" t="str">
        <f>"202006097232"</f>
        <v>202006097232</v>
      </c>
      <c r="F66" t="str">
        <f>"ACCT#7700010025/4 LDS WATER/P2"</f>
        <v>ACCT#7700010025/4 LDS WATER/P2</v>
      </c>
      <c r="G66" s="5">
        <v>41</v>
      </c>
      <c r="H66" t="str">
        <f>"ACCT#7700010025/4 LDS WATER/P2"</f>
        <v>ACCT#7700010025/4 LDS WATER/P2</v>
      </c>
    </row>
    <row r="67" spans="1:8" x14ac:dyDescent="0.25">
      <c r="E67" t="str">
        <f>"202006097238"</f>
        <v>202006097238</v>
      </c>
      <c r="F67" t="str">
        <f>"ACCT#7700010027/20 LD WATER/P4"</f>
        <v>ACCT#7700010027/20 LD WATER/P4</v>
      </c>
      <c r="G67" s="5">
        <v>205</v>
      </c>
      <c r="H67" t="str">
        <f>"ACCT#7700010027/20 LD WATER/P4"</f>
        <v>ACCT#7700010027/20 LD WATER/P4</v>
      </c>
    </row>
    <row r="68" spans="1:8" x14ac:dyDescent="0.25">
      <c r="E68" t="str">
        <f>"202006117286"</f>
        <v>202006117286</v>
      </c>
      <c r="F68" t="str">
        <f>"ACCT#7700010026/37 LD WATER/P3"</f>
        <v>ACCT#7700010026/37 LD WATER/P3</v>
      </c>
      <c r="G68" s="5">
        <v>379.25</v>
      </c>
      <c r="H68" t="str">
        <f>"ACCT#7700010026/37 LD WATER/P3"</f>
        <v>ACCT#7700010026/37 LD WATER/P3</v>
      </c>
    </row>
    <row r="69" spans="1:8" x14ac:dyDescent="0.25">
      <c r="A69" t="s">
        <v>22</v>
      </c>
      <c r="B69">
        <v>132032</v>
      </c>
      <c r="C69" s="5">
        <v>150</v>
      </c>
      <c r="D69" s="1">
        <v>43990</v>
      </c>
      <c r="E69" t="str">
        <f>"202005287019"</f>
        <v>202005287019</v>
      </c>
      <c r="F69" t="str">
        <f>"REFUND FOOD PERMIT"</f>
        <v>REFUND FOOD PERMIT</v>
      </c>
      <c r="G69" s="5">
        <v>150</v>
      </c>
      <c r="H69" t="str">
        <f>"REFUND FOOD PERMIT"</f>
        <v>REFUND FOOD PERMIT</v>
      </c>
    </row>
    <row r="70" spans="1:8" x14ac:dyDescent="0.25">
      <c r="A70" t="s">
        <v>23</v>
      </c>
      <c r="B70">
        <v>2721</v>
      </c>
      <c r="C70" s="5">
        <v>458.44</v>
      </c>
      <c r="D70" s="1">
        <v>44005</v>
      </c>
      <c r="E70" t="str">
        <f>"PSO163130-1"</f>
        <v>PSO163130-1</v>
      </c>
      <c r="F70" t="str">
        <f>"CUST#BP0020879/PCT#1"</f>
        <v>CUST#BP0020879/PCT#1</v>
      </c>
      <c r="G70" s="5">
        <v>458.44</v>
      </c>
      <c r="H70" t="str">
        <f>"CUST#BP0020879/PCT#1"</f>
        <v>CUST#BP0020879/PCT#1</v>
      </c>
    </row>
    <row r="71" spans="1:8" x14ac:dyDescent="0.25">
      <c r="A71" t="s">
        <v>24</v>
      </c>
      <c r="B71">
        <v>132156</v>
      </c>
      <c r="C71" s="5">
        <v>657.26</v>
      </c>
      <c r="D71" s="1">
        <v>44004</v>
      </c>
      <c r="E71" t="str">
        <f>"202006177361"</f>
        <v>202006177361</v>
      </c>
      <c r="F71" t="str">
        <f>"REIMBURSE IPAD"</f>
        <v>REIMBURSE IPAD</v>
      </c>
      <c r="G71" s="5">
        <v>606.17999999999995</v>
      </c>
      <c r="H71" t="str">
        <f>"REIMBURSE IPAD"</f>
        <v>REIMBURSE IPAD</v>
      </c>
    </row>
    <row r="72" spans="1:8" x14ac:dyDescent="0.25">
      <c r="E72" t="str">
        <f>"202006177362"</f>
        <v>202006177362</v>
      </c>
      <c r="F72" t="str">
        <f>"REIMBURSE SHELTER SUPPLIES"</f>
        <v>REIMBURSE SHELTER SUPPLIES</v>
      </c>
      <c r="G72" s="5">
        <v>51.08</v>
      </c>
      <c r="H72" t="str">
        <f>"REIMBURSE SHELTER SUPPLIES"</f>
        <v>REIMBURSE SHELTER SUPPLIES</v>
      </c>
    </row>
    <row r="73" spans="1:8" x14ac:dyDescent="0.25">
      <c r="E73" t="str">
        <f>""</f>
        <v/>
      </c>
      <c r="F73" t="str">
        <f>""</f>
        <v/>
      </c>
      <c r="H73" t="str">
        <f>"REIMBURSE SHELTER SUPPLIES"</f>
        <v>REIMBURSE SHELTER SUPPLIES</v>
      </c>
    </row>
    <row r="74" spans="1:8" x14ac:dyDescent="0.25">
      <c r="E74" t="str">
        <f>""</f>
        <v/>
      </c>
      <c r="F74" t="str">
        <f>""</f>
        <v/>
      </c>
      <c r="H74" t="str">
        <f>"REIMBURSE SHELTER SUPPLIES"</f>
        <v>REIMBURSE SHELTER SUPPLIES</v>
      </c>
    </row>
    <row r="75" spans="1:8" x14ac:dyDescent="0.25">
      <c r="E75" t="str">
        <f>""</f>
        <v/>
      </c>
      <c r="F75" t="str">
        <f>""</f>
        <v/>
      </c>
      <c r="H75" t="str">
        <f>"REIMBURSE SHELTER SUPPLIES"</f>
        <v>REIMBURSE SHELTER SUPPLIES</v>
      </c>
    </row>
    <row r="76" spans="1:8" x14ac:dyDescent="0.25">
      <c r="A76" t="s">
        <v>25</v>
      </c>
      <c r="B76">
        <v>132033</v>
      </c>
      <c r="C76" s="5">
        <v>25</v>
      </c>
      <c r="D76" s="1">
        <v>43990</v>
      </c>
      <c r="E76" t="str">
        <f>"202005297033"</f>
        <v>202005297033</v>
      </c>
      <c r="F76" t="str">
        <f>"REFUND FOR DRIVEWAY PERMIT"</f>
        <v>REFUND FOR DRIVEWAY PERMIT</v>
      </c>
      <c r="G76" s="5">
        <v>25</v>
      </c>
      <c r="H76" t="str">
        <f>"REFUND FOR DRIVEWAY PERMIT"</f>
        <v>REFUND FOR DRIVEWAY PERMIT</v>
      </c>
    </row>
    <row r="77" spans="1:8" x14ac:dyDescent="0.25">
      <c r="A77" t="s">
        <v>26</v>
      </c>
      <c r="B77">
        <v>132034</v>
      </c>
      <c r="C77" s="5">
        <v>6642.52</v>
      </c>
      <c r="D77" s="1">
        <v>43990</v>
      </c>
      <c r="E77" t="str">
        <f>"202006017037"</f>
        <v>202006017037</v>
      </c>
      <c r="F77" t="str">
        <f>"ACCT#512A490048 193 3"</f>
        <v>ACCT#512A490048 193 3</v>
      </c>
      <c r="G77" s="5">
        <v>6062.06</v>
      </c>
      <c r="H77" t="str">
        <f>"ACCT#512A490048 193 3"</f>
        <v>ACCT#512A490048 193 3</v>
      </c>
    </row>
    <row r="78" spans="1:8" x14ac:dyDescent="0.25">
      <c r="E78" t="str">
        <f>""</f>
        <v/>
      </c>
      <c r="F78" t="str">
        <f>""</f>
        <v/>
      </c>
      <c r="H78" t="str">
        <f>"ACCT#512A490048 193 3"</f>
        <v>ACCT#512A490048 193 3</v>
      </c>
    </row>
    <row r="79" spans="1:8" x14ac:dyDescent="0.25">
      <c r="E79" t="str">
        <f>""</f>
        <v/>
      </c>
      <c r="F79" t="str">
        <f>""</f>
        <v/>
      </c>
      <c r="H79" t="str">
        <f>"ACCT#512A490048 193 3"</f>
        <v>ACCT#512A490048 193 3</v>
      </c>
    </row>
    <row r="80" spans="1:8" x14ac:dyDescent="0.25">
      <c r="E80" t="str">
        <f>""</f>
        <v/>
      </c>
      <c r="F80" t="str">
        <f>""</f>
        <v/>
      </c>
      <c r="H80" t="str">
        <f>"ACCT#512A490048 193 3"</f>
        <v>ACCT#512A490048 193 3</v>
      </c>
    </row>
    <row r="81" spans="1:8" x14ac:dyDescent="0.25">
      <c r="E81" t="str">
        <f>"202006027109"</f>
        <v>202006027109</v>
      </c>
      <c r="F81" t="str">
        <f>"ACCT#512 308-9870 530 7"</f>
        <v>ACCT#512 308-9870 530 7</v>
      </c>
      <c r="G81" s="5">
        <v>580.46</v>
      </c>
      <c r="H81" t="str">
        <f>"ACCT#512 308-9870 530 7"</f>
        <v>ACCT#512 308-9870 530 7</v>
      </c>
    </row>
    <row r="82" spans="1:8" x14ac:dyDescent="0.25">
      <c r="A82" t="s">
        <v>26</v>
      </c>
      <c r="B82">
        <v>132035</v>
      </c>
      <c r="C82" s="5">
        <v>1762.7</v>
      </c>
      <c r="D82" s="1">
        <v>43990</v>
      </c>
      <c r="E82" t="str">
        <f>"2749205503"</f>
        <v>2749205503</v>
      </c>
      <c r="F82" t="str">
        <f>"ACCT#831-000-9850-451"</f>
        <v>ACCT#831-000-9850-451</v>
      </c>
      <c r="G82" s="5">
        <v>1762.7</v>
      </c>
      <c r="H82" t="str">
        <f>"ACCT#831-000-9850-451"</f>
        <v>ACCT#831-000-9850-451</v>
      </c>
    </row>
    <row r="83" spans="1:8" x14ac:dyDescent="0.25">
      <c r="A83" t="s">
        <v>26</v>
      </c>
      <c r="B83">
        <v>132157</v>
      </c>
      <c r="C83" s="5">
        <v>1804.19</v>
      </c>
      <c r="D83" s="1">
        <v>44004</v>
      </c>
      <c r="E83" t="str">
        <f>"51230310802385"</f>
        <v>51230310802385</v>
      </c>
      <c r="F83" t="str">
        <f>"512 303-1080 238 5"</f>
        <v>512 303-1080 238 5</v>
      </c>
      <c r="G83" s="5">
        <v>1804.19</v>
      </c>
      <c r="H83" t="str">
        <f>"512 303-1080 238 5"</f>
        <v>512 303-1080 238 5</v>
      </c>
    </row>
    <row r="84" spans="1:8" x14ac:dyDescent="0.25">
      <c r="E84" t="str">
        <f>""</f>
        <v/>
      </c>
      <c r="F84" t="str">
        <f>""</f>
        <v/>
      </c>
      <c r="H84" t="str">
        <f>"512 303-1080 238 5"</f>
        <v>512 303-1080 238 5</v>
      </c>
    </row>
    <row r="85" spans="1:8" x14ac:dyDescent="0.25">
      <c r="A85" t="s">
        <v>26</v>
      </c>
      <c r="B85">
        <v>132158</v>
      </c>
      <c r="C85" s="5">
        <v>225</v>
      </c>
      <c r="D85" s="1">
        <v>44004</v>
      </c>
      <c r="E85" t="str">
        <f>"350829"</f>
        <v>350829</v>
      </c>
      <c r="F85" t="str">
        <f>"INV 350829"</f>
        <v>INV 350829</v>
      </c>
      <c r="G85" s="5">
        <v>225</v>
      </c>
      <c r="H85" t="str">
        <f>"INV 350829"</f>
        <v>INV 350829</v>
      </c>
    </row>
    <row r="86" spans="1:8" x14ac:dyDescent="0.25">
      <c r="A86" t="s">
        <v>26</v>
      </c>
      <c r="B86">
        <v>132159</v>
      </c>
      <c r="C86" s="5">
        <v>4559.32</v>
      </c>
      <c r="D86" s="1">
        <v>44004</v>
      </c>
      <c r="E86" t="str">
        <f>"2461215509"</f>
        <v>2461215509</v>
      </c>
      <c r="F86" t="str">
        <f>"ACCT#831-000-6084 095"</f>
        <v>ACCT#831-000-6084 095</v>
      </c>
      <c r="G86" s="5">
        <v>1684.69</v>
      </c>
      <c r="H86" t="str">
        <f>"ACCT#831-000-6084 095"</f>
        <v>ACCT#831-000-6084 095</v>
      </c>
    </row>
    <row r="87" spans="1:8" x14ac:dyDescent="0.25">
      <c r="E87" t="str">
        <f>"4691074507"</f>
        <v>4691074507</v>
      </c>
      <c r="F87" t="str">
        <f>"ACCT#831-000-7218 923"</f>
        <v>ACCT#831-000-7218 923</v>
      </c>
      <c r="G87" s="5">
        <v>874.25</v>
      </c>
      <c r="H87" t="str">
        <f>"ACCT#831-000-7218 923"</f>
        <v>ACCT#831-000-7218 923</v>
      </c>
    </row>
    <row r="88" spans="1:8" x14ac:dyDescent="0.25">
      <c r="E88" t="str">
        <f>"9971315506"</f>
        <v>9971315506</v>
      </c>
      <c r="F88" t="str">
        <f>"ACCT#831-0007919 623"</f>
        <v>ACCT#831-0007919 623</v>
      </c>
      <c r="G88" s="5">
        <v>2000.38</v>
      </c>
      <c r="H88" t="str">
        <f>"ACCT#831-0007919 623"</f>
        <v>ACCT#831-0007919 623</v>
      </c>
    </row>
    <row r="89" spans="1:8" x14ac:dyDescent="0.25">
      <c r="A89" t="s">
        <v>27</v>
      </c>
      <c r="B89">
        <v>132160</v>
      </c>
      <c r="C89" s="5">
        <v>4138.6099999999997</v>
      </c>
      <c r="D89" s="1">
        <v>44004</v>
      </c>
      <c r="E89" t="str">
        <f>"287290524359X052"</f>
        <v>287290524359X052</v>
      </c>
      <c r="F89" t="str">
        <f>"ACCT#287290524359"</f>
        <v>ACCT#287290524359</v>
      </c>
      <c r="G89" s="5">
        <v>4138.6099999999997</v>
      </c>
      <c r="H89" t="str">
        <f t="shared" ref="H89:H98" si="4">"ACCT#287290524359"</f>
        <v>ACCT#287290524359</v>
      </c>
    </row>
    <row r="90" spans="1:8" x14ac:dyDescent="0.25">
      <c r="E90" t="str">
        <f>""</f>
        <v/>
      </c>
      <c r="F90" t="str">
        <f>""</f>
        <v/>
      </c>
      <c r="H90" t="str">
        <f t="shared" si="4"/>
        <v>ACCT#287290524359</v>
      </c>
    </row>
    <row r="91" spans="1:8" x14ac:dyDescent="0.25">
      <c r="E91" t="str">
        <f>""</f>
        <v/>
      </c>
      <c r="F91" t="str">
        <f>""</f>
        <v/>
      </c>
      <c r="H91" t="str">
        <f t="shared" si="4"/>
        <v>ACCT#287290524359</v>
      </c>
    </row>
    <row r="92" spans="1:8" x14ac:dyDescent="0.25">
      <c r="E92" t="str">
        <f>""</f>
        <v/>
      </c>
      <c r="F92" t="str">
        <f>""</f>
        <v/>
      </c>
      <c r="H92" t="str">
        <f t="shared" si="4"/>
        <v>ACCT#287290524359</v>
      </c>
    </row>
    <row r="93" spans="1:8" x14ac:dyDescent="0.25">
      <c r="E93" t="str">
        <f>""</f>
        <v/>
      </c>
      <c r="F93" t="str">
        <f>""</f>
        <v/>
      </c>
      <c r="H93" t="str">
        <f t="shared" si="4"/>
        <v>ACCT#287290524359</v>
      </c>
    </row>
    <row r="94" spans="1:8" x14ac:dyDescent="0.25">
      <c r="E94" t="str">
        <f>""</f>
        <v/>
      </c>
      <c r="F94" t="str">
        <f>""</f>
        <v/>
      </c>
      <c r="H94" t="str">
        <f t="shared" si="4"/>
        <v>ACCT#287290524359</v>
      </c>
    </row>
    <row r="95" spans="1:8" x14ac:dyDescent="0.25">
      <c r="E95" t="str">
        <f>""</f>
        <v/>
      </c>
      <c r="F95" t="str">
        <f>""</f>
        <v/>
      </c>
      <c r="H95" t="str">
        <f t="shared" si="4"/>
        <v>ACCT#287290524359</v>
      </c>
    </row>
    <row r="96" spans="1:8" x14ac:dyDescent="0.25">
      <c r="E96" t="str">
        <f>""</f>
        <v/>
      </c>
      <c r="F96" t="str">
        <f>""</f>
        <v/>
      </c>
      <c r="H96" t="str">
        <f t="shared" si="4"/>
        <v>ACCT#287290524359</v>
      </c>
    </row>
    <row r="97" spans="1:8" x14ac:dyDescent="0.25">
      <c r="E97" t="str">
        <f>""</f>
        <v/>
      </c>
      <c r="F97" t="str">
        <f>""</f>
        <v/>
      </c>
      <c r="H97" t="str">
        <f t="shared" si="4"/>
        <v>ACCT#287290524359</v>
      </c>
    </row>
    <row r="98" spans="1:8" x14ac:dyDescent="0.25">
      <c r="E98" t="str">
        <f>""</f>
        <v/>
      </c>
      <c r="F98" t="str">
        <f>""</f>
        <v/>
      </c>
      <c r="H98" t="str">
        <f t="shared" si="4"/>
        <v>ACCT#287290524359</v>
      </c>
    </row>
    <row r="99" spans="1:8" x14ac:dyDescent="0.25">
      <c r="A99" t="s">
        <v>28</v>
      </c>
      <c r="B99">
        <v>132161</v>
      </c>
      <c r="C99" s="5">
        <v>306</v>
      </c>
      <c r="D99" s="1">
        <v>44004</v>
      </c>
      <c r="E99" t="str">
        <f>"202006157317"</f>
        <v>202006157317</v>
      </c>
      <c r="F99" t="str">
        <f>"TOWING/PCT#3"</f>
        <v>TOWING/PCT#3</v>
      </c>
      <c r="G99" s="5">
        <v>306</v>
      </c>
      <c r="H99" t="str">
        <f>"TOWING/PCT#3"</f>
        <v>TOWING/PCT#3</v>
      </c>
    </row>
    <row r="100" spans="1:8" x14ac:dyDescent="0.25">
      <c r="A100" t="s">
        <v>29</v>
      </c>
      <c r="B100">
        <v>132162</v>
      </c>
      <c r="C100" s="5">
        <v>46.73</v>
      </c>
      <c r="D100" s="1">
        <v>44004</v>
      </c>
      <c r="E100" t="str">
        <f>"202006167342"</f>
        <v>202006167342</v>
      </c>
      <c r="F100" t="str">
        <f>"INDIGENT HEALTH"</f>
        <v>INDIGENT HEALTH</v>
      </c>
      <c r="G100" s="5">
        <v>46.73</v>
      </c>
      <c r="H100" t="str">
        <f>"INDIGENT HEALTH"</f>
        <v>INDIGENT HEALTH</v>
      </c>
    </row>
    <row r="101" spans="1:8" x14ac:dyDescent="0.25">
      <c r="A101" t="s">
        <v>30</v>
      </c>
      <c r="B101">
        <v>132163</v>
      </c>
      <c r="C101" s="5">
        <v>227.75</v>
      </c>
      <c r="D101" s="1">
        <v>44004</v>
      </c>
      <c r="E101" t="str">
        <f>"202006167343"</f>
        <v>202006167343</v>
      </c>
      <c r="F101" t="str">
        <f>"INDIGENT HEALTH"</f>
        <v>INDIGENT HEALTH</v>
      </c>
      <c r="G101" s="5">
        <v>227.75</v>
      </c>
      <c r="H101" t="str">
        <f>"INDIGENT HEALTH"</f>
        <v>INDIGENT HEALTH</v>
      </c>
    </row>
    <row r="102" spans="1:8" x14ac:dyDescent="0.25">
      <c r="E102" t="str">
        <f>""</f>
        <v/>
      </c>
      <c r="F102" t="str">
        <f>""</f>
        <v/>
      </c>
      <c r="H102" t="str">
        <f>"INDIGENT HEALTH"</f>
        <v>INDIGENT HEALTH</v>
      </c>
    </row>
    <row r="103" spans="1:8" x14ac:dyDescent="0.25">
      <c r="A103" t="s">
        <v>31</v>
      </c>
      <c r="B103">
        <v>2730</v>
      </c>
      <c r="C103" s="5">
        <v>450</v>
      </c>
      <c r="D103" s="1">
        <v>44005</v>
      </c>
      <c r="E103" t="str">
        <f>"2176"</f>
        <v>2176</v>
      </c>
      <c r="F103" t="str">
        <f>"HUNTERS CROSSING STATUS HEARIN"</f>
        <v>HUNTERS CROSSING STATUS HEARIN</v>
      </c>
      <c r="G103" s="5">
        <v>450</v>
      </c>
      <c r="H103" t="str">
        <f>"HUNTERS CROSSING STATUS HEARIN"</f>
        <v>HUNTERS CROSSING STATUS HEARIN</v>
      </c>
    </row>
    <row r="104" spans="1:8" x14ac:dyDescent="0.25">
      <c r="A104" t="s">
        <v>32</v>
      </c>
      <c r="B104">
        <v>132036</v>
      </c>
      <c r="C104" s="5">
        <v>16.25</v>
      </c>
      <c r="D104" s="1">
        <v>43990</v>
      </c>
      <c r="E104" t="str">
        <f>"113445"</f>
        <v>113445</v>
      </c>
      <c r="F104" t="str">
        <f>"INV 113445"</f>
        <v>INV 113445</v>
      </c>
      <c r="G104" s="5">
        <v>16.25</v>
      </c>
      <c r="H104" t="str">
        <f>"INV 113445"</f>
        <v>INV 113445</v>
      </c>
    </row>
    <row r="105" spans="1:8" x14ac:dyDescent="0.25">
      <c r="A105" t="s">
        <v>33</v>
      </c>
      <c r="B105">
        <v>132164</v>
      </c>
      <c r="C105" s="5">
        <v>1971</v>
      </c>
      <c r="D105" s="1">
        <v>44004</v>
      </c>
      <c r="E105" t="str">
        <f>"IN2006033"</f>
        <v>IN2006033</v>
      </c>
      <c r="F105" t="str">
        <f>"186-4/ORD#SO2005063"</f>
        <v>186-4/ORD#SO2005063</v>
      </c>
      <c r="G105" s="5">
        <v>1971</v>
      </c>
      <c r="H105" t="str">
        <f>"186-4/ORD#SO2005063"</f>
        <v>186-4/ORD#SO2005063</v>
      </c>
    </row>
    <row r="106" spans="1:8" x14ac:dyDescent="0.25">
      <c r="A106" t="s">
        <v>34</v>
      </c>
      <c r="B106">
        <v>2692</v>
      </c>
      <c r="C106" s="5">
        <v>252.5</v>
      </c>
      <c r="D106" s="1">
        <v>43991</v>
      </c>
      <c r="E106" t="str">
        <f>"202006017041"</f>
        <v>202006017041</v>
      </c>
      <c r="F106" t="str">
        <f>"CUST ID:0011/PCT#3"</f>
        <v>CUST ID:0011/PCT#3</v>
      </c>
      <c r="G106" s="5">
        <v>176.5</v>
      </c>
      <c r="H106" t="str">
        <f>"CUST ID:0011/PCT#3"</f>
        <v>CUST ID:0011/PCT#3</v>
      </c>
    </row>
    <row r="107" spans="1:8" x14ac:dyDescent="0.25">
      <c r="E107" t="str">
        <f>"371876"</f>
        <v>371876</v>
      </c>
      <c r="F107" t="str">
        <f>"CUST ID:0009/PCT#1"</f>
        <v>CUST ID:0009/PCT#1</v>
      </c>
      <c r="G107" s="5">
        <v>76</v>
      </c>
      <c r="H107" t="str">
        <f>"CUST ID:0009/PCT#1"</f>
        <v>CUST ID:0009/PCT#1</v>
      </c>
    </row>
    <row r="108" spans="1:8" x14ac:dyDescent="0.25">
      <c r="A108" t="s">
        <v>35</v>
      </c>
      <c r="B108">
        <v>2669</v>
      </c>
      <c r="C108" s="5">
        <v>4700</v>
      </c>
      <c r="D108" s="1">
        <v>43991</v>
      </c>
      <c r="E108" t="str">
        <f>"1558"</f>
        <v>1558</v>
      </c>
      <c r="F108" t="str">
        <f>"REMOVED DEAD TREES/PCT#2"</f>
        <v>REMOVED DEAD TREES/PCT#2</v>
      </c>
      <c r="G108" s="5">
        <v>4700</v>
      </c>
      <c r="H108" t="str">
        <f>"REMOVED DEAD TREES/PCT#2"</f>
        <v>REMOVED DEAD TREES/PCT#2</v>
      </c>
    </row>
    <row r="109" spans="1:8" x14ac:dyDescent="0.25">
      <c r="A109" t="s">
        <v>35</v>
      </c>
      <c r="B109">
        <v>2724</v>
      </c>
      <c r="C109" s="5">
        <v>2850</v>
      </c>
      <c r="D109" s="1">
        <v>44005</v>
      </c>
      <c r="E109" t="str">
        <f>"1559"</f>
        <v>1559</v>
      </c>
      <c r="F109" t="str">
        <f>"REMOVED LARGE PINE/PCT#1"</f>
        <v>REMOVED LARGE PINE/PCT#1</v>
      </c>
      <c r="G109" s="5">
        <v>1200</v>
      </c>
      <c r="H109" t="str">
        <f>"REMOVED LARGE PINE/PCT#1"</f>
        <v>REMOVED LARGE PINE/PCT#1</v>
      </c>
    </row>
    <row r="110" spans="1:8" x14ac:dyDescent="0.25">
      <c r="E110" t="str">
        <f>"1600"</f>
        <v>1600</v>
      </c>
      <c r="F110" t="str">
        <f>"REMOVED A LARGE HACKBERRY/P1"</f>
        <v>REMOVED A LARGE HACKBERRY/P1</v>
      </c>
      <c r="G110" s="5">
        <v>1650</v>
      </c>
      <c r="H110" t="str">
        <f>"REMOVED A LARGE HACKBERRY/P1"</f>
        <v>REMOVED A LARGE HACKBERRY/P1</v>
      </c>
    </row>
    <row r="111" spans="1:8" x14ac:dyDescent="0.25">
      <c r="A111" t="s">
        <v>36</v>
      </c>
      <c r="B111">
        <v>132165</v>
      </c>
      <c r="C111" s="5">
        <v>300</v>
      </c>
      <c r="D111" s="1">
        <v>44004</v>
      </c>
      <c r="E111" t="str">
        <f>"13409"</f>
        <v>13409</v>
      </c>
      <c r="F111" t="str">
        <f>"SERVICE"</f>
        <v>SERVICE</v>
      </c>
      <c r="G111" s="5">
        <v>75</v>
      </c>
      <c r="H111" t="str">
        <f>"SERVICE"</f>
        <v>SERVICE</v>
      </c>
    </row>
    <row r="112" spans="1:8" x14ac:dyDescent="0.25">
      <c r="E112" t="str">
        <f>"13415"</f>
        <v>13415</v>
      </c>
      <c r="F112" t="str">
        <f>"SERVICE"</f>
        <v>SERVICE</v>
      </c>
      <c r="G112" s="5">
        <v>150</v>
      </c>
      <c r="H112" t="str">
        <f>"SERVICE"</f>
        <v>SERVICE</v>
      </c>
    </row>
    <row r="113" spans="1:8" x14ac:dyDescent="0.25">
      <c r="E113" t="str">
        <f>"13443"</f>
        <v>13443</v>
      </c>
      <c r="F113" t="str">
        <f>"SERVICE"</f>
        <v>SERVICE</v>
      </c>
      <c r="G113" s="5">
        <v>75</v>
      </c>
      <c r="H113" t="str">
        <f>"SERVICE"</f>
        <v>SERVICE</v>
      </c>
    </row>
    <row r="114" spans="1:8" x14ac:dyDescent="0.25">
      <c r="A114" t="s">
        <v>37</v>
      </c>
      <c r="B114">
        <v>132166</v>
      </c>
      <c r="C114" s="5">
        <v>766.72</v>
      </c>
      <c r="D114" s="1">
        <v>44004</v>
      </c>
      <c r="E114" t="str">
        <f>"202006167328"</f>
        <v>202006167328</v>
      </c>
      <c r="F114" t="str">
        <f>"ACCT#BC01"</f>
        <v>ACCT#BC01</v>
      </c>
      <c r="G114" s="5">
        <v>766.72</v>
      </c>
      <c r="H114" t="str">
        <f>"ACCT#BC01"</f>
        <v>ACCT#BC01</v>
      </c>
    </row>
    <row r="115" spans="1:8" x14ac:dyDescent="0.25">
      <c r="E115" t="str">
        <f>""</f>
        <v/>
      </c>
      <c r="F115" t="str">
        <f>""</f>
        <v/>
      </c>
      <c r="H115" t="str">
        <f>"ACCT#BC01"</f>
        <v>ACCT#BC01</v>
      </c>
    </row>
    <row r="116" spans="1:8" x14ac:dyDescent="0.25">
      <c r="E116" t="str">
        <f>""</f>
        <v/>
      </c>
      <c r="F116" t="str">
        <f>""</f>
        <v/>
      </c>
      <c r="H116" t="str">
        <f>"ACCT#BC01"</f>
        <v>ACCT#BC01</v>
      </c>
    </row>
    <row r="117" spans="1:8" x14ac:dyDescent="0.25">
      <c r="E117" t="str">
        <f>""</f>
        <v/>
      </c>
      <c r="F117" t="str">
        <f>""</f>
        <v/>
      </c>
      <c r="H117" t="str">
        <f>"ACCT#BC01"</f>
        <v>ACCT#BC01</v>
      </c>
    </row>
    <row r="118" spans="1:8" x14ac:dyDescent="0.25">
      <c r="A118" t="s">
        <v>38</v>
      </c>
      <c r="B118">
        <v>2685</v>
      </c>
      <c r="C118" s="5">
        <v>5086.54</v>
      </c>
      <c r="D118" s="1">
        <v>43991</v>
      </c>
      <c r="E118" t="str">
        <f>"202006027056"</f>
        <v>202006027056</v>
      </c>
      <c r="F118" t="str">
        <f>"GRANT REIMBURSEMENT"</f>
        <v>GRANT REIMBURSEMENT</v>
      </c>
      <c r="G118" s="5">
        <v>5086.54</v>
      </c>
      <c r="H118" t="str">
        <f>"GRANT REIMBURSEMENT"</f>
        <v>GRANT REIMBURSEMENT</v>
      </c>
    </row>
    <row r="119" spans="1:8" x14ac:dyDescent="0.25">
      <c r="A119" t="s">
        <v>39</v>
      </c>
      <c r="B119">
        <v>132167</v>
      </c>
      <c r="C119" s="5">
        <v>82017</v>
      </c>
      <c r="D119" s="1">
        <v>44004</v>
      </c>
      <c r="E119" t="str">
        <f>"3RD QURT FY 2020"</f>
        <v>3RD QURT FY 2020</v>
      </c>
      <c r="F119" t="str">
        <f>"CUST ID:BASTROP/REVENUE BASTRO"</f>
        <v>CUST ID:BASTROP/REVENUE BASTRO</v>
      </c>
      <c r="G119" s="5">
        <v>82017</v>
      </c>
      <c r="H119" t="str">
        <f>"CUST ID:BASTROP/REVENUE BASTRO"</f>
        <v>CUST ID:BASTROP/REVENUE BASTRO</v>
      </c>
    </row>
    <row r="120" spans="1:8" x14ac:dyDescent="0.25">
      <c r="A120" t="s">
        <v>40</v>
      </c>
      <c r="B120">
        <v>132168</v>
      </c>
      <c r="C120" s="5">
        <v>33.270000000000003</v>
      </c>
      <c r="D120" s="1">
        <v>44004</v>
      </c>
      <c r="E120" t="str">
        <f>"202006167341"</f>
        <v>202006167341</v>
      </c>
      <c r="F120" t="str">
        <f>"INDIGENT HEALTH"</f>
        <v>INDIGENT HEALTH</v>
      </c>
      <c r="G120" s="5">
        <v>33.270000000000003</v>
      </c>
      <c r="H120" t="str">
        <f>"INDIGENT HEALTH"</f>
        <v>INDIGENT HEALTH</v>
      </c>
    </row>
    <row r="121" spans="1:8" x14ac:dyDescent="0.25">
      <c r="A121" t="s">
        <v>41</v>
      </c>
      <c r="B121">
        <v>2722</v>
      </c>
      <c r="C121" s="5">
        <v>3655</v>
      </c>
      <c r="D121" s="1">
        <v>44005</v>
      </c>
      <c r="E121" t="str">
        <f>"2020069"</f>
        <v>2020069</v>
      </c>
      <c r="F121" t="str">
        <f>"TRANSPORT - R. GONZALES"</f>
        <v>TRANSPORT - R. GONZALES</v>
      </c>
      <c r="G121" s="5">
        <v>390</v>
      </c>
      <c r="H121" t="str">
        <f>"TRANSPORT - R. GONZALES"</f>
        <v>TRANSPORT - R. GONZALES</v>
      </c>
    </row>
    <row r="122" spans="1:8" x14ac:dyDescent="0.25">
      <c r="E122" t="str">
        <f>"2020075"</f>
        <v>2020075</v>
      </c>
      <c r="F122" t="str">
        <f>"TRANSPORT - M. GAMBOL"</f>
        <v>TRANSPORT - M. GAMBOL</v>
      </c>
      <c r="G122" s="5">
        <v>495</v>
      </c>
      <c r="H122" t="str">
        <f>"TRANSPORT - M. GAMBOL"</f>
        <v>TRANSPORT - M. GAMBOL</v>
      </c>
    </row>
    <row r="123" spans="1:8" x14ac:dyDescent="0.25">
      <c r="E123" t="str">
        <f>"2020076"</f>
        <v>2020076</v>
      </c>
      <c r="F123" t="str">
        <f>"TRANSPORT - C. JONES"</f>
        <v>TRANSPORT - C. JONES</v>
      </c>
      <c r="G123" s="5">
        <v>495</v>
      </c>
      <c r="H123" t="str">
        <f>"TRANSPORT - C. JONES"</f>
        <v>TRANSPORT - C. JONES</v>
      </c>
    </row>
    <row r="124" spans="1:8" x14ac:dyDescent="0.25">
      <c r="E124" t="str">
        <f>"2020077"</f>
        <v>2020077</v>
      </c>
      <c r="F124" t="str">
        <f>"TRANSPORT - J. SMITH"</f>
        <v>TRANSPORT - J. SMITH</v>
      </c>
      <c r="G124" s="5">
        <v>495</v>
      </c>
      <c r="H124" t="str">
        <f>"TRANSPORT - J. SMITH"</f>
        <v>TRANSPORT - J. SMITH</v>
      </c>
    </row>
    <row r="125" spans="1:8" x14ac:dyDescent="0.25">
      <c r="E125" t="str">
        <f>"2020083"</f>
        <v>2020083</v>
      </c>
      <c r="F125" t="str">
        <f>"TRANSPORT - R. PERKINS"</f>
        <v>TRANSPORT - R. PERKINS</v>
      </c>
      <c r="G125" s="5">
        <v>295</v>
      </c>
      <c r="H125" t="str">
        <f>"TRANSPORT - R. PERKINS"</f>
        <v>TRANSPORT - R. PERKINS</v>
      </c>
    </row>
    <row r="126" spans="1:8" x14ac:dyDescent="0.25">
      <c r="E126" t="str">
        <f>"2020085"</f>
        <v>2020085</v>
      </c>
      <c r="F126" t="str">
        <f>"TRANSPORT - A.O. GONZALEZ II"</f>
        <v>TRANSPORT - A.O. GONZALEZ II</v>
      </c>
      <c r="G126" s="5">
        <v>495</v>
      </c>
      <c r="H126" t="str">
        <f>"TRANSPORT - A.O. GONZALEZ II"</f>
        <v>TRANSPORT - A.O. GONZALEZ II</v>
      </c>
    </row>
    <row r="127" spans="1:8" x14ac:dyDescent="0.25">
      <c r="E127" t="str">
        <f>"2020087"</f>
        <v>2020087</v>
      </c>
      <c r="F127" t="str">
        <f>"TRANSPORT - J. CONCEPCION"</f>
        <v>TRANSPORT - J. CONCEPCION</v>
      </c>
      <c r="G127" s="5">
        <v>495</v>
      </c>
      <c r="H127" t="str">
        <f>"TRANSPORT - J. CONCEPCION"</f>
        <v>TRANSPORT - J. CONCEPCION</v>
      </c>
    </row>
    <row r="128" spans="1:8" x14ac:dyDescent="0.25">
      <c r="E128" t="str">
        <f>"2020091"</f>
        <v>2020091</v>
      </c>
      <c r="F128" t="str">
        <f>"TRANSPORT - C.M. HARMAN"</f>
        <v>TRANSPORT - C.M. HARMAN</v>
      </c>
      <c r="G128" s="5">
        <v>495</v>
      </c>
      <c r="H128" t="str">
        <f>"TRANSPORT - C.M. HARMAN"</f>
        <v>TRANSPORT - C.M. HARMAN</v>
      </c>
    </row>
    <row r="129" spans="1:8" x14ac:dyDescent="0.25">
      <c r="A129" t="s">
        <v>42</v>
      </c>
      <c r="B129">
        <v>2688</v>
      </c>
      <c r="C129" s="5">
        <v>347.88</v>
      </c>
      <c r="D129" s="1">
        <v>43991</v>
      </c>
      <c r="E129" t="str">
        <f>"6008576876"</f>
        <v>6008576876</v>
      </c>
      <c r="F129" t="str">
        <f>"ACCT#3422853/ANIMAL CONTROL"</f>
        <v>ACCT#3422853/ANIMAL CONTROL</v>
      </c>
      <c r="G129" s="5">
        <v>347.88</v>
      </c>
      <c r="H129" t="str">
        <f>"ACCT#3422853/ANIMAL CONTROL"</f>
        <v>ACCT#3422853/ANIMAL CONTROL</v>
      </c>
    </row>
    <row r="130" spans="1:8" x14ac:dyDescent="0.25">
      <c r="A130" t="s">
        <v>43</v>
      </c>
      <c r="B130">
        <v>2662</v>
      </c>
      <c r="C130" s="5">
        <v>420</v>
      </c>
      <c r="D130" s="1">
        <v>43991</v>
      </c>
      <c r="E130" t="str">
        <f>"202006017054"</f>
        <v>202006017054</v>
      </c>
      <c r="F130" t="str">
        <f>"INVESTIGATIVE SVCS-MAY 2020"</f>
        <v>INVESTIGATIVE SVCS-MAY 2020</v>
      </c>
      <c r="G130" s="5">
        <v>157.5</v>
      </c>
      <c r="H130" t="str">
        <f>"INVESTIGATIVE SVCS-MAY 2020"</f>
        <v>INVESTIGATIVE SVCS-MAY 2020</v>
      </c>
    </row>
    <row r="131" spans="1:8" x14ac:dyDescent="0.25">
      <c r="E131" t="str">
        <f>"202006027097"</f>
        <v>202006027097</v>
      </c>
      <c r="F131" t="str">
        <f>"MAY BACKGROUND CHECKS"</f>
        <v>MAY BACKGROUND CHECKS</v>
      </c>
      <c r="G131" s="5">
        <v>262.5</v>
      </c>
      <c r="H131" t="str">
        <f>"BACKGROUND CHECKS LE"</f>
        <v>BACKGROUND CHECKS LE</v>
      </c>
    </row>
    <row r="132" spans="1:8" x14ac:dyDescent="0.25">
      <c r="A132" t="s">
        <v>44</v>
      </c>
      <c r="B132">
        <v>132169</v>
      </c>
      <c r="C132" s="5">
        <v>22.4</v>
      </c>
      <c r="D132" s="1">
        <v>44004</v>
      </c>
      <c r="E132" t="str">
        <f>"FK85738"</f>
        <v>FK85738</v>
      </c>
      <c r="F132" t="str">
        <f>"INV FK85738"</f>
        <v>INV FK85738</v>
      </c>
      <c r="G132" s="5">
        <v>22.4</v>
      </c>
      <c r="H132" t="str">
        <f>"INV FK85738"</f>
        <v>INV FK85738</v>
      </c>
    </row>
    <row r="133" spans="1:8" x14ac:dyDescent="0.25">
      <c r="A133" t="s">
        <v>45</v>
      </c>
      <c r="B133">
        <v>132170</v>
      </c>
      <c r="C133" s="5">
        <v>686</v>
      </c>
      <c r="D133" s="1">
        <v>44004</v>
      </c>
      <c r="E133" t="str">
        <f>"202006097221"</f>
        <v>202006097221</v>
      </c>
      <c r="F133" t="str">
        <f>"CAUSE#13934 - THOMAS BOYD"</f>
        <v>CAUSE#13934 - THOMAS BOYD</v>
      </c>
      <c r="G133" s="5">
        <v>686</v>
      </c>
      <c r="H133" t="str">
        <f>"CAUSE#13934 - THOMAS BOYD"</f>
        <v>CAUSE#13934 - THOMAS BOYD</v>
      </c>
    </row>
    <row r="134" spans="1:8" x14ac:dyDescent="0.25">
      <c r="A134" t="s">
        <v>46</v>
      </c>
      <c r="B134">
        <v>132037</v>
      </c>
      <c r="C134" s="5">
        <v>1284.5899999999999</v>
      </c>
      <c r="D134" s="1">
        <v>43990</v>
      </c>
      <c r="E134" t="str">
        <f>"75523571 75531344"</f>
        <v>75523571 75531344</v>
      </c>
      <c r="F134" t="str">
        <f>"INV 75523571"</f>
        <v>INV 75523571</v>
      </c>
      <c r="G134" s="5">
        <v>1284.5899999999999</v>
      </c>
      <c r="H134" t="str">
        <f>"INV 75523571"</f>
        <v>INV 75523571</v>
      </c>
    </row>
    <row r="135" spans="1:8" x14ac:dyDescent="0.25">
      <c r="E135" t="str">
        <f>""</f>
        <v/>
      </c>
      <c r="F135" t="str">
        <f>""</f>
        <v/>
      </c>
      <c r="H135" t="str">
        <f>"INV 75531344"</f>
        <v>INV 75531344</v>
      </c>
    </row>
    <row r="136" spans="1:8" x14ac:dyDescent="0.25">
      <c r="A136" t="s">
        <v>46</v>
      </c>
      <c r="B136">
        <v>132171</v>
      </c>
      <c r="C136" s="5">
        <v>1268.9100000000001</v>
      </c>
      <c r="D136" s="1">
        <v>44004</v>
      </c>
      <c r="E136" t="str">
        <f>"75539709 75548054"</f>
        <v>75539709 75548054</v>
      </c>
      <c r="F136" t="str">
        <f>"INV 75539709"</f>
        <v>INV 75539709</v>
      </c>
      <c r="G136" s="5">
        <v>1268.9100000000001</v>
      </c>
      <c r="H136" t="str">
        <f>"INV 75539709"</f>
        <v>INV 75539709</v>
      </c>
    </row>
    <row r="137" spans="1:8" x14ac:dyDescent="0.25">
      <c r="E137" t="str">
        <f>""</f>
        <v/>
      </c>
      <c r="F137" t="str">
        <f>""</f>
        <v/>
      </c>
      <c r="H137" t="str">
        <f>"INV 75548054"</f>
        <v>INV 75548054</v>
      </c>
    </row>
    <row r="138" spans="1:8" x14ac:dyDescent="0.25">
      <c r="A138" t="s">
        <v>47</v>
      </c>
      <c r="B138">
        <v>132172</v>
      </c>
      <c r="C138" s="5">
        <v>99.99</v>
      </c>
      <c r="D138" s="1">
        <v>44004</v>
      </c>
      <c r="E138" t="str">
        <f>"4543641"</f>
        <v>4543641</v>
      </c>
      <c r="F138" t="str">
        <f>"inv#4543641"</f>
        <v>inv#4543641</v>
      </c>
      <c r="G138" s="5">
        <v>99.99</v>
      </c>
      <c r="H138" t="str">
        <f>"inv#4543641"</f>
        <v>inv#4543641</v>
      </c>
    </row>
    <row r="139" spans="1:8" x14ac:dyDescent="0.25">
      <c r="A139" t="s">
        <v>48</v>
      </c>
      <c r="B139">
        <v>2702</v>
      </c>
      <c r="C139" s="5">
        <v>2645.14</v>
      </c>
      <c r="D139" s="1">
        <v>43991</v>
      </c>
      <c r="E139" t="str">
        <f>"24738"</f>
        <v>24738</v>
      </c>
      <c r="F139" t="str">
        <f>"INV 24738"</f>
        <v>INV 24738</v>
      </c>
      <c r="G139" s="5">
        <v>2645.14</v>
      </c>
      <c r="H139" t="str">
        <f>"INV 24738"</f>
        <v>INV 24738</v>
      </c>
    </row>
    <row r="140" spans="1:8" x14ac:dyDescent="0.25">
      <c r="A140" t="s">
        <v>48</v>
      </c>
      <c r="B140">
        <v>2765</v>
      </c>
      <c r="C140" s="5">
        <v>2817.47</v>
      </c>
      <c r="D140" s="1">
        <v>44005</v>
      </c>
      <c r="E140" t="str">
        <f>"24752"</f>
        <v>24752</v>
      </c>
      <c r="F140" t="str">
        <f>"INV 24752"</f>
        <v>INV 24752</v>
      </c>
      <c r="G140" s="5">
        <v>2817.47</v>
      </c>
      <c r="H140" t="str">
        <f>"INV 24752"</f>
        <v>INV 24752</v>
      </c>
    </row>
    <row r="141" spans="1:8" x14ac:dyDescent="0.25">
      <c r="A141" t="s">
        <v>49</v>
      </c>
      <c r="B141">
        <v>2706</v>
      </c>
      <c r="C141" s="5">
        <v>300</v>
      </c>
      <c r="D141" s="1">
        <v>43991</v>
      </c>
      <c r="E141" t="str">
        <f>"202005287025"</f>
        <v>202005287025</v>
      </c>
      <c r="F141" t="str">
        <f>"J2-654-SC  J2-654-SC-CC"</f>
        <v>J2-654-SC  J2-654-SC-CC</v>
      </c>
      <c r="G141" s="5">
        <v>300</v>
      </c>
      <c r="H141" t="str">
        <f>"J2-654-SC  J2-654-SC-CC"</f>
        <v>J2-654-SC  J2-654-SC-CC</v>
      </c>
    </row>
    <row r="142" spans="1:8" x14ac:dyDescent="0.25">
      <c r="A142" t="s">
        <v>50</v>
      </c>
      <c r="B142">
        <v>2738</v>
      </c>
      <c r="C142" s="5">
        <v>435</v>
      </c>
      <c r="D142" s="1">
        <v>44005</v>
      </c>
      <c r="E142" t="str">
        <f>"5217"</f>
        <v>5217</v>
      </c>
      <c r="F142" t="str">
        <f>"LABOR/SHOP SUPPLIES/PCT#4"</f>
        <v>LABOR/SHOP SUPPLIES/PCT#4</v>
      </c>
      <c r="G142" s="5">
        <v>172.5</v>
      </c>
      <c r="H142" t="str">
        <f>"LABOR/SHOP SUPPLIES/PCT#4"</f>
        <v>LABOR/SHOP SUPPLIES/PCT#4</v>
      </c>
    </row>
    <row r="143" spans="1:8" x14ac:dyDescent="0.25">
      <c r="E143" t="str">
        <f>"5229"</f>
        <v>5229</v>
      </c>
      <c r="F143" t="str">
        <f>"LABOR/2003 FORD/PCT#4"</f>
        <v>LABOR/2003 FORD/PCT#4</v>
      </c>
      <c r="G143" s="5">
        <v>262.5</v>
      </c>
      <c r="H143" t="str">
        <f>"LABOR/2003 FORD/PCT#4"</f>
        <v>LABOR/2003 FORD/PCT#4</v>
      </c>
    </row>
    <row r="144" spans="1:8" x14ac:dyDescent="0.25">
      <c r="A144" t="s">
        <v>51</v>
      </c>
      <c r="B144">
        <v>132038</v>
      </c>
      <c r="C144" s="5">
        <v>502.74</v>
      </c>
      <c r="D144" s="1">
        <v>43990</v>
      </c>
      <c r="E144" t="str">
        <f>"84078905199  282"</f>
        <v>84078905199  282</v>
      </c>
      <c r="F144" t="str">
        <f>"INV 84078905199"</f>
        <v>INV 84078905199</v>
      </c>
      <c r="G144" s="5">
        <v>502.74</v>
      </c>
      <c r="H144" t="str">
        <f>"INV 84078905199"</f>
        <v>INV 84078905199</v>
      </c>
    </row>
    <row r="145" spans="1:8" x14ac:dyDescent="0.25">
      <c r="E145" t="str">
        <f>""</f>
        <v/>
      </c>
      <c r="F145" t="str">
        <f>""</f>
        <v/>
      </c>
      <c r="H145" t="str">
        <f>"INV 84078905282"</f>
        <v>INV 84078905282</v>
      </c>
    </row>
    <row r="146" spans="1:8" x14ac:dyDescent="0.25">
      <c r="A146" t="s">
        <v>51</v>
      </c>
      <c r="B146">
        <v>132173</v>
      </c>
      <c r="C146" s="5">
        <v>591.91999999999996</v>
      </c>
      <c r="D146" s="1">
        <v>44004</v>
      </c>
      <c r="E146" t="str">
        <f>"84078905364 5438"</f>
        <v>84078905364 5438</v>
      </c>
      <c r="F146" t="str">
        <f>"INV 84078905364"</f>
        <v>INV 84078905364</v>
      </c>
      <c r="G146" s="5">
        <v>591.91999999999996</v>
      </c>
      <c r="H146" t="str">
        <f>"INV 84078905364"</f>
        <v>INV 84078905364</v>
      </c>
    </row>
    <row r="147" spans="1:8" x14ac:dyDescent="0.25">
      <c r="E147" t="str">
        <f>""</f>
        <v/>
      </c>
      <c r="F147" t="str">
        <f>""</f>
        <v/>
      </c>
      <c r="H147" t="str">
        <f>"INV 84078905438"</f>
        <v>INV 84078905438</v>
      </c>
    </row>
    <row r="148" spans="1:8" x14ac:dyDescent="0.25">
      <c r="A148" t="s">
        <v>52</v>
      </c>
      <c r="B148">
        <v>132039</v>
      </c>
      <c r="C148" s="5">
        <v>58.3</v>
      </c>
      <c r="D148" s="1">
        <v>43990</v>
      </c>
      <c r="E148" t="str">
        <f>"202006027057"</f>
        <v>202006027057</v>
      </c>
      <c r="F148" t="str">
        <f>"CRIME STOPPERS FEES-APRIL 2020"</f>
        <v>CRIME STOPPERS FEES-APRIL 2020</v>
      </c>
      <c r="G148" s="5">
        <v>58.3</v>
      </c>
      <c r="H148" t="str">
        <f>"CRIME STOPPERS FEES-APRIL 2020"</f>
        <v>CRIME STOPPERS FEES-APRIL 2020</v>
      </c>
    </row>
    <row r="149" spans="1:8" x14ac:dyDescent="0.25">
      <c r="A149" t="s">
        <v>52</v>
      </c>
      <c r="B149">
        <v>132174</v>
      </c>
      <c r="C149" s="5">
        <v>141.13999999999999</v>
      </c>
      <c r="D149" s="1">
        <v>44004</v>
      </c>
      <c r="E149" t="str">
        <f>"202006167320"</f>
        <v>202006167320</v>
      </c>
      <c r="F149" t="str">
        <f>"CRIMESTOPPER FEES MAY 2020"</f>
        <v>CRIMESTOPPER FEES MAY 2020</v>
      </c>
      <c r="G149" s="5">
        <v>141.13999999999999</v>
      </c>
      <c r="H149" t="str">
        <f>"CRIMESTOPPER FEES MAY 2020"</f>
        <v>CRIMESTOPPER FEES MAY 2020</v>
      </c>
    </row>
    <row r="150" spans="1:8" x14ac:dyDescent="0.25">
      <c r="A150" t="s">
        <v>53</v>
      </c>
      <c r="B150">
        <v>132150</v>
      </c>
      <c r="C150" s="5">
        <v>3490.88</v>
      </c>
      <c r="D150" s="1">
        <v>44000</v>
      </c>
      <c r="E150" t="str">
        <f>"202006177368"</f>
        <v>202006177368</v>
      </c>
      <c r="F150" t="str">
        <f>"ACCT#5000057374 / 06292020"</f>
        <v>ACCT#5000057374 / 06292020</v>
      </c>
      <c r="G150" s="5">
        <v>3490.88</v>
      </c>
      <c r="H150" t="str">
        <f>"ACCT#5000057374 / 06292020"</f>
        <v>ACCT#5000057374 / 06292020</v>
      </c>
    </row>
    <row r="151" spans="1:8" x14ac:dyDescent="0.25">
      <c r="E151" t="str">
        <f>""</f>
        <v/>
      </c>
      <c r="F151" t="str">
        <f>""</f>
        <v/>
      </c>
      <c r="H151" t="str">
        <f>"ACCT#5000057374 / 06292020"</f>
        <v>ACCT#5000057374 / 06292020</v>
      </c>
    </row>
    <row r="152" spans="1:8" x14ac:dyDescent="0.25">
      <c r="E152" t="str">
        <f>""</f>
        <v/>
      </c>
      <c r="F152" t="str">
        <f>""</f>
        <v/>
      </c>
      <c r="H152" t="str">
        <f>"ACCT#5000057374 / 06292020"</f>
        <v>ACCT#5000057374 / 06292020</v>
      </c>
    </row>
    <row r="153" spans="1:8" x14ac:dyDescent="0.25">
      <c r="E153" t="str">
        <f>""</f>
        <v/>
      </c>
      <c r="F153" t="str">
        <f>""</f>
        <v/>
      </c>
      <c r="H153" t="str">
        <f>"ACCT#5000057374 / 06292020"</f>
        <v>ACCT#5000057374 / 06292020</v>
      </c>
    </row>
    <row r="154" spans="1:8" x14ac:dyDescent="0.25">
      <c r="A154" t="s">
        <v>54</v>
      </c>
      <c r="B154">
        <v>2709</v>
      </c>
      <c r="C154" s="5">
        <v>18098.099999999999</v>
      </c>
      <c r="D154" s="1">
        <v>43991</v>
      </c>
      <c r="E154" t="str">
        <f>"202006027055"</f>
        <v>202006027055</v>
      </c>
      <c r="F154" t="str">
        <f>"GRANT REIMBURSEMENT"</f>
        <v>GRANT REIMBURSEMENT</v>
      </c>
      <c r="G154" s="5">
        <v>18098.099999999999</v>
      </c>
      <c r="H154" t="str">
        <f>"GRANT REIMBURSEMENT"</f>
        <v>GRANT REIMBURSEMENT</v>
      </c>
    </row>
    <row r="155" spans="1:8" x14ac:dyDescent="0.25">
      <c r="A155" t="s">
        <v>55</v>
      </c>
      <c r="B155">
        <v>132175</v>
      </c>
      <c r="C155" s="5">
        <v>230.51</v>
      </c>
      <c r="D155" s="1">
        <v>44004</v>
      </c>
      <c r="E155" t="str">
        <f>"UT1000536363"</f>
        <v>UT1000536363</v>
      </c>
      <c r="F155" t="str">
        <f>"INV UT1000536363"</f>
        <v>INV UT1000536363</v>
      </c>
      <c r="G155" s="5">
        <v>230.51</v>
      </c>
      <c r="H155" t="str">
        <f>"INV UT1000536363"</f>
        <v>INV UT1000536363</v>
      </c>
    </row>
    <row r="156" spans="1:8" x14ac:dyDescent="0.25">
      <c r="A156" t="s">
        <v>56</v>
      </c>
      <c r="B156">
        <v>132040</v>
      </c>
      <c r="C156" s="5">
        <v>1814.4</v>
      </c>
      <c r="D156" s="1">
        <v>43990</v>
      </c>
      <c r="E156" t="str">
        <f>"CT183929"</f>
        <v>CT183929</v>
      </c>
      <c r="F156" t="str">
        <f>"ACCT#B02137/PCT#3"</f>
        <v>ACCT#B02137/PCT#3</v>
      </c>
      <c r="G156" s="5">
        <v>1814.4</v>
      </c>
      <c r="H156" t="str">
        <f>"ACCT#B02137/PCT#3"</f>
        <v>ACCT#B02137/PCT#3</v>
      </c>
    </row>
    <row r="157" spans="1:8" x14ac:dyDescent="0.25">
      <c r="A157" t="s">
        <v>57</v>
      </c>
      <c r="B157">
        <v>132041</v>
      </c>
      <c r="C157" s="5">
        <v>3653.02</v>
      </c>
      <c r="D157" s="1">
        <v>43990</v>
      </c>
      <c r="E157" t="str">
        <f>"110046"</f>
        <v>110046</v>
      </c>
      <c r="F157" t="str">
        <f>"ACCT#1268/PCT#3"</f>
        <v>ACCT#1268/PCT#3</v>
      </c>
      <c r="G157" s="5">
        <v>1536.17</v>
      </c>
      <c r="H157" t="str">
        <f>"ACCT#1268/PCT#3"</f>
        <v>ACCT#1268/PCT#3</v>
      </c>
    </row>
    <row r="158" spans="1:8" x14ac:dyDescent="0.25">
      <c r="E158" t="str">
        <f>"110228"</f>
        <v>110228</v>
      </c>
      <c r="F158" t="str">
        <f>"ACCT#1268/PCT#3"</f>
        <v>ACCT#1268/PCT#3</v>
      </c>
      <c r="G158" s="5">
        <v>2116.85</v>
      </c>
      <c r="H158" t="str">
        <f>"ACCT#1268/PCT#3"</f>
        <v>ACCT#1268/PCT#3</v>
      </c>
    </row>
    <row r="159" spans="1:8" x14ac:dyDescent="0.25">
      <c r="A159" t="s">
        <v>57</v>
      </c>
      <c r="B159">
        <v>132176</v>
      </c>
      <c r="C159" s="5">
        <v>17720.68</v>
      </c>
      <c r="D159" s="1">
        <v>44004</v>
      </c>
      <c r="E159" t="str">
        <f>"110408"</f>
        <v>110408</v>
      </c>
      <c r="F159" t="str">
        <f>"ACCT#1267/WASHED ROCK/PCT#2"</f>
        <v>ACCT#1267/WASHED ROCK/PCT#2</v>
      </c>
      <c r="G159" s="5">
        <v>1400.8</v>
      </c>
      <c r="H159" t="str">
        <f>"ACCT#1267/WASHED ROCK/PCT#2"</f>
        <v>ACCT#1267/WASHED ROCK/PCT#2</v>
      </c>
    </row>
    <row r="160" spans="1:8" x14ac:dyDescent="0.25">
      <c r="E160" t="str">
        <f>"110409"</f>
        <v>110409</v>
      </c>
      <c r="F160" t="str">
        <f>"ACCT#1268/PCT#3"</f>
        <v>ACCT#1268/PCT#3</v>
      </c>
      <c r="G160" s="5">
        <v>3590.8</v>
      </c>
      <c r="H160" t="str">
        <f>"ACCT#1268/PCT#3"</f>
        <v>ACCT#1268/PCT#3</v>
      </c>
    </row>
    <row r="161" spans="1:8" x14ac:dyDescent="0.25">
      <c r="E161" t="str">
        <f>"110618"</f>
        <v>110618</v>
      </c>
      <c r="F161" t="str">
        <f>"ACCT#1267/PCT#2"</f>
        <v>ACCT#1267/PCT#2</v>
      </c>
      <c r="G161" s="5">
        <v>10293.4</v>
      </c>
      <c r="H161" t="str">
        <f>"ACCT#1267/PCT#2"</f>
        <v>ACCT#1267/PCT#2</v>
      </c>
    </row>
    <row r="162" spans="1:8" x14ac:dyDescent="0.25">
      <c r="E162" t="str">
        <f>"110619"</f>
        <v>110619</v>
      </c>
      <c r="F162" t="str">
        <f>"ACCT#1268/COMM BASE/PCT#3"</f>
        <v>ACCT#1268/COMM BASE/PCT#3</v>
      </c>
      <c r="G162" s="5">
        <v>2435.6799999999998</v>
      </c>
      <c r="H162" t="str">
        <f>"ACCT#1268/COMM BASE/PCT#3"</f>
        <v>ACCT#1268/COMM BASE/PCT#3</v>
      </c>
    </row>
    <row r="163" spans="1:8" x14ac:dyDescent="0.25">
      <c r="A163" t="s">
        <v>58</v>
      </c>
      <c r="B163">
        <v>132177</v>
      </c>
      <c r="C163" s="5">
        <v>30</v>
      </c>
      <c r="D163" s="1">
        <v>44004</v>
      </c>
      <c r="E163" t="str">
        <f>"20-20254"</f>
        <v>20-20254</v>
      </c>
      <c r="F163" t="str">
        <f>"CENTRAL ADOPTION REGISTRY FUND"</f>
        <v>CENTRAL ADOPTION REGISTRY FUND</v>
      </c>
      <c r="G163" s="5">
        <v>15</v>
      </c>
      <c r="H163" t="str">
        <f>"CENTRAL ADOPTION REGISTRY FUND"</f>
        <v>CENTRAL ADOPTION REGISTRY FUND</v>
      </c>
    </row>
    <row r="164" spans="1:8" x14ac:dyDescent="0.25">
      <c r="E164" t="str">
        <f>"423-7297"</f>
        <v>423-7297</v>
      </c>
      <c r="F164" t="str">
        <f>"CENTRAL ADOPTION REGISTRY FUND"</f>
        <v>CENTRAL ADOPTION REGISTRY FUND</v>
      </c>
      <c r="G164" s="5">
        <v>15</v>
      </c>
      <c r="H164" t="str">
        <f>"CENTRAL ADOPTION REGISTRY FUND"</f>
        <v>CENTRAL ADOPTION REGISTRY FUND</v>
      </c>
    </row>
    <row r="165" spans="1:8" x14ac:dyDescent="0.25">
      <c r="A165" t="s">
        <v>59</v>
      </c>
      <c r="B165">
        <v>132178</v>
      </c>
      <c r="C165" s="5">
        <v>200</v>
      </c>
      <c r="D165" s="1">
        <v>44004</v>
      </c>
      <c r="E165" t="str">
        <f>"16589"</f>
        <v>16589</v>
      </c>
      <c r="F165" t="str">
        <f>"REG ID 16589 / N. BOYER"</f>
        <v>REG ID 16589 / N. BOYER</v>
      </c>
      <c r="G165" s="5">
        <v>200</v>
      </c>
      <c r="H165" t="str">
        <f>"REG ID 16589 / N. BOYER"</f>
        <v>REG ID 16589 / N. BOYER</v>
      </c>
    </row>
    <row r="166" spans="1:8" x14ac:dyDescent="0.25">
      <c r="A166" t="s">
        <v>60</v>
      </c>
      <c r="B166">
        <v>2693</v>
      </c>
      <c r="C166" s="5">
        <v>211.83</v>
      </c>
      <c r="D166" s="1">
        <v>43991</v>
      </c>
      <c r="E166" t="str">
        <f>"01803695"</f>
        <v>01803695</v>
      </c>
      <c r="F166" t="str">
        <f>"ACCT#000690/ORD#01408066/PCT#2"</f>
        <v>ACCT#000690/ORD#01408066/PCT#2</v>
      </c>
      <c r="G166" s="5">
        <v>211.83</v>
      </c>
      <c r="H166" t="str">
        <f>"ACCT#000690/ORD#01408066/PCT#2"</f>
        <v>ACCT#000690/ORD#01408066/PCT#2</v>
      </c>
    </row>
    <row r="167" spans="1:8" x14ac:dyDescent="0.25">
      <c r="A167" t="s">
        <v>60</v>
      </c>
      <c r="B167">
        <v>2753</v>
      </c>
      <c r="C167" s="5">
        <v>376.19</v>
      </c>
      <c r="D167" s="1">
        <v>44005</v>
      </c>
      <c r="E167" t="str">
        <f>"01803909"</f>
        <v>01803909</v>
      </c>
      <c r="F167" t="str">
        <f>"ACCT#000690/ORD#01408309/PCT#4"</f>
        <v>ACCT#000690/ORD#01408309/PCT#4</v>
      </c>
      <c r="G167" s="5">
        <v>90.05</v>
      </c>
      <c r="H167" t="str">
        <f>"ACCT#000690/ORD#01408309/PCT#4"</f>
        <v>ACCT#000690/ORD#01408309/PCT#4</v>
      </c>
    </row>
    <row r="168" spans="1:8" x14ac:dyDescent="0.25">
      <c r="E168" t="str">
        <f>"01803964"</f>
        <v>01803964</v>
      </c>
      <c r="F168" t="str">
        <f>"ACCT#000690/ORD#01408370/PCT#4"</f>
        <v>ACCT#000690/ORD#01408370/PCT#4</v>
      </c>
      <c r="G168" s="5">
        <v>103.12</v>
      </c>
      <c r="H168" t="str">
        <f>"ACCT#000690/ORD#01408370/PCT#4"</f>
        <v>ACCT#000690/ORD#01408370/PCT#4</v>
      </c>
    </row>
    <row r="169" spans="1:8" x14ac:dyDescent="0.25">
      <c r="E169" t="str">
        <f>"01804199"</f>
        <v>01804199</v>
      </c>
      <c r="F169" t="str">
        <f>"ACCT#000690/ORD#01408628/PCT#2"</f>
        <v>ACCT#000690/ORD#01408628/PCT#2</v>
      </c>
      <c r="G169" s="5">
        <v>183.02</v>
      </c>
      <c r="H169" t="str">
        <f>"ACCT#000690/ORD#01408628/PCT#2"</f>
        <v>ACCT#000690/ORD#01408628/PCT#2</v>
      </c>
    </row>
    <row r="170" spans="1:8" x14ac:dyDescent="0.25">
      <c r="A170" t="s">
        <v>61</v>
      </c>
      <c r="B170">
        <v>541</v>
      </c>
      <c r="C170" s="5">
        <v>518.34</v>
      </c>
      <c r="D170" s="1">
        <v>43990</v>
      </c>
      <c r="E170" t="str">
        <f>"202006037112"</f>
        <v>202006037112</v>
      </c>
      <c r="F170" t="str">
        <f>"acct# 0058"</f>
        <v>acct# 0058</v>
      </c>
      <c r="G170" s="5">
        <v>518.34</v>
      </c>
      <c r="H170" t="str">
        <f>"UT LBJ"</f>
        <v>UT LBJ</v>
      </c>
    </row>
    <row r="171" spans="1:8" x14ac:dyDescent="0.25">
      <c r="E171" t="str">
        <f>""</f>
        <v/>
      </c>
      <c r="F171" t="str">
        <f>""</f>
        <v/>
      </c>
      <c r="H171" t="str">
        <f>"UT LBJ"</f>
        <v>UT LBJ</v>
      </c>
    </row>
    <row r="172" spans="1:8" x14ac:dyDescent="0.25">
      <c r="E172" t="str">
        <f>""</f>
        <v/>
      </c>
      <c r="F172" t="str">
        <f>""</f>
        <v/>
      </c>
      <c r="H172" t="str">
        <f>"WindKnot"</f>
        <v>WindKnot</v>
      </c>
    </row>
    <row r="173" spans="1:8" x14ac:dyDescent="0.25">
      <c r="E173" t="str">
        <f>""</f>
        <v/>
      </c>
      <c r="F173" t="str">
        <f>""</f>
        <v/>
      </c>
      <c r="H173" t="str">
        <f>"WebEx"</f>
        <v>WebEx</v>
      </c>
    </row>
    <row r="174" spans="1:8" x14ac:dyDescent="0.25">
      <c r="E174" t="str">
        <f>""</f>
        <v/>
      </c>
      <c r="F174" t="str">
        <f>""</f>
        <v/>
      </c>
      <c r="H174" t="str">
        <f>"Cisco WebEx"</f>
        <v>Cisco WebEx</v>
      </c>
    </row>
    <row r="175" spans="1:8" x14ac:dyDescent="0.25">
      <c r="E175" t="str">
        <f>""</f>
        <v/>
      </c>
      <c r="F175" t="str">
        <f>""</f>
        <v/>
      </c>
      <c r="H175" t="str">
        <f>"Google"</f>
        <v>Google</v>
      </c>
    </row>
    <row r="176" spans="1:8" x14ac:dyDescent="0.25">
      <c r="E176" t="str">
        <f>""</f>
        <v/>
      </c>
      <c r="F176" t="str">
        <f>""</f>
        <v/>
      </c>
      <c r="H176" t="str">
        <f>"GoDaddy"</f>
        <v>GoDaddy</v>
      </c>
    </row>
    <row r="177" spans="5:8" x14ac:dyDescent="0.25">
      <c r="E177" t="str">
        <f>""</f>
        <v/>
      </c>
      <c r="F177" t="str">
        <f>""</f>
        <v/>
      </c>
      <c r="H177" t="str">
        <f>"Newegg"</f>
        <v>Newegg</v>
      </c>
    </row>
    <row r="178" spans="5:8" x14ac:dyDescent="0.25">
      <c r="E178" t="str">
        <f>""</f>
        <v/>
      </c>
      <c r="F178" t="str">
        <f>""</f>
        <v/>
      </c>
      <c r="H178" t="str">
        <f>"IMazing"</f>
        <v>IMazing</v>
      </c>
    </row>
    <row r="179" spans="5:8" x14ac:dyDescent="0.25">
      <c r="E179" t="str">
        <f>""</f>
        <v/>
      </c>
      <c r="F179" t="str">
        <f>""</f>
        <v/>
      </c>
      <c r="H179" t="str">
        <f>"RMA Toll"</f>
        <v>RMA Toll</v>
      </c>
    </row>
    <row r="180" spans="5:8" x14ac:dyDescent="0.25">
      <c r="E180" t="str">
        <f>""</f>
        <v/>
      </c>
      <c r="F180" t="str">
        <f>""</f>
        <v/>
      </c>
      <c r="H180" t="str">
        <f>"TEEX"</f>
        <v>TEEX</v>
      </c>
    </row>
    <row r="181" spans="5:8" x14ac:dyDescent="0.25">
      <c r="E181" t="str">
        <f>""</f>
        <v/>
      </c>
      <c r="F181" t="str">
        <f>""</f>
        <v/>
      </c>
      <c r="H181" t="str">
        <f>"TCEQ"</f>
        <v>TCEQ</v>
      </c>
    </row>
    <row r="182" spans="5:8" x14ac:dyDescent="0.25">
      <c r="E182" t="str">
        <f>""</f>
        <v/>
      </c>
      <c r="F182" t="str">
        <f>""</f>
        <v/>
      </c>
      <c r="H182" t="str">
        <f>"HSUS"</f>
        <v>HSUS</v>
      </c>
    </row>
    <row r="183" spans="5:8" x14ac:dyDescent="0.25">
      <c r="E183" t="str">
        <f>""</f>
        <v/>
      </c>
      <c r="F183" t="str">
        <f>""</f>
        <v/>
      </c>
      <c r="H183" t="str">
        <f>"HSUS"</f>
        <v>HSUS</v>
      </c>
    </row>
    <row r="184" spans="5:8" x14ac:dyDescent="0.25">
      <c r="E184" t="str">
        <f>""</f>
        <v/>
      </c>
      <c r="F184" t="str">
        <f>""</f>
        <v/>
      </c>
      <c r="H184" t="str">
        <f>"RMA"</f>
        <v>RMA</v>
      </c>
    </row>
    <row r="185" spans="5:8" x14ac:dyDescent="0.25">
      <c r="E185" t="str">
        <f>""</f>
        <v/>
      </c>
      <c r="F185" t="str">
        <f>""</f>
        <v/>
      </c>
      <c r="H185" t="str">
        <f>"Post Oak"</f>
        <v>Post Oak</v>
      </c>
    </row>
    <row r="186" spans="5:8" x14ac:dyDescent="0.25">
      <c r="E186" t="str">
        <f>""</f>
        <v/>
      </c>
      <c r="F186" t="str">
        <f>""</f>
        <v/>
      </c>
      <c r="H186" t="str">
        <f>"RockyRoad"</f>
        <v>RockyRoad</v>
      </c>
    </row>
    <row r="187" spans="5:8" x14ac:dyDescent="0.25">
      <c r="E187" t="str">
        <f>""</f>
        <v/>
      </c>
      <c r="F187" t="str">
        <f>""</f>
        <v/>
      </c>
      <c r="H187" t="str">
        <f>"Academy"</f>
        <v>Academy</v>
      </c>
    </row>
    <row r="188" spans="5:8" x14ac:dyDescent="0.25">
      <c r="E188" t="str">
        <f>""</f>
        <v/>
      </c>
      <c r="F188" t="str">
        <f>""</f>
        <v/>
      </c>
      <c r="H188" t="str">
        <f>"TxTag"</f>
        <v>TxTag</v>
      </c>
    </row>
    <row r="189" spans="5:8" x14ac:dyDescent="0.25">
      <c r="E189" t="str">
        <f>""</f>
        <v/>
      </c>
      <c r="F189" t="str">
        <f>""</f>
        <v/>
      </c>
      <c r="H189" t="str">
        <f>"HE-Gov't"</f>
        <v>HE-Gov't</v>
      </c>
    </row>
    <row r="190" spans="5:8" x14ac:dyDescent="0.25">
      <c r="E190" t="str">
        <f>""</f>
        <v/>
      </c>
      <c r="F190" t="str">
        <f>""</f>
        <v/>
      </c>
      <c r="H190" t="str">
        <f>"HE-GOvt"</f>
        <v>HE-GOvt</v>
      </c>
    </row>
    <row r="191" spans="5:8" x14ac:dyDescent="0.25">
      <c r="E191" t="str">
        <f>""</f>
        <v/>
      </c>
      <c r="F191" t="str">
        <f>""</f>
        <v/>
      </c>
      <c r="H191" t="str">
        <f>"RMA"</f>
        <v>RMA</v>
      </c>
    </row>
    <row r="192" spans="5:8" x14ac:dyDescent="0.25">
      <c r="E192" t="str">
        <f>""</f>
        <v/>
      </c>
      <c r="F192" t="str">
        <f>""</f>
        <v/>
      </c>
      <c r="H192" t="str">
        <f>"Walmart"</f>
        <v>Walmart</v>
      </c>
    </row>
    <row r="193" spans="1:8" x14ac:dyDescent="0.25">
      <c r="E193" t="str">
        <f>""</f>
        <v/>
      </c>
      <c r="F193" t="str">
        <f>""</f>
        <v/>
      </c>
      <c r="H193" t="str">
        <f>"Walmart"</f>
        <v>Walmart</v>
      </c>
    </row>
    <row r="194" spans="1:8" x14ac:dyDescent="0.25">
      <c r="E194" t="str">
        <f>""</f>
        <v/>
      </c>
      <c r="F194" t="str">
        <f>""</f>
        <v/>
      </c>
      <c r="H194" t="str">
        <f>"TxTag"</f>
        <v>TxTag</v>
      </c>
    </row>
    <row r="195" spans="1:8" x14ac:dyDescent="0.25">
      <c r="A195" t="s">
        <v>61</v>
      </c>
      <c r="B195">
        <v>542</v>
      </c>
      <c r="C195" s="5">
        <v>490.34</v>
      </c>
      <c r="D195" s="1">
        <v>43990</v>
      </c>
      <c r="E195" t="str">
        <f>"202006037114"</f>
        <v>202006037114</v>
      </c>
      <c r="F195" t="str">
        <f>"STATEMENT 0574"</f>
        <v>STATEMENT 0574</v>
      </c>
      <c r="G195" s="5">
        <v>490.34</v>
      </c>
      <c r="H195" t="str">
        <f>"HARBOR FREIGHT"</f>
        <v>HARBOR FREIGHT</v>
      </c>
    </row>
    <row r="196" spans="1:8" x14ac:dyDescent="0.25">
      <c r="E196" t="str">
        <f>""</f>
        <v/>
      </c>
      <c r="F196" t="str">
        <f>""</f>
        <v/>
      </c>
      <c r="H196" t="str">
        <f>"STAPLES"</f>
        <v>STAPLES</v>
      </c>
    </row>
    <row r="197" spans="1:8" x14ac:dyDescent="0.25">
      <c r="E197" t="str">
        <f>""</f>
        <v/>
      </c>
      <c r="F197" t="str">
        <f>""</f>
        <v/>
      </c>
      <c r="H197" t="str">
        <f>"LEGAL &amp; LIABILITY RI"</f>
        <v>LEGAL &amp; LIABILITY RI</v>
      </c>
    </row>
    <row r="198" spans="1:8" x14ac:dyDescent="0.25">
      <c r="E198" t="str">
        <f>""</f>
        <v/>
      </c>
      <c r="F198" t="str">
        <f>""</f>
        <v/>
      </c>
      <c r="H198" t="str">
        <f>"TEEX"</f>
        <v>TEEX</v>
      </c>
    </row>
    <row r="199" spans="1:8" x14ac:dyDescent="0.25">
      <c r="A199" t="s">
        <v>62</v>
      </c>
      <c r="B199">
        <v>2775</v>
      </c>
      <c r="C199" s="5">
        <v>48.66</v>
      </c>
      <c r="D199" s="1">
        <v>44005</v>
      </c>
      <c r="E199" t="str">
        <f>"202006167332"</f>
        <v>202006167332</v>
      </c>
      <c r="F199" t="str">
        <f>"Panduit Cables"</f>
        <v>Panduit Cables</v>
      </c>
      <c r="G199" s="5">
        <v>48.66</v>
      </c>
      <c r="H199" t="str">
        <f>"Panduit Cables"</f>
        <v>Panduit Cables</v>
      </c>
    </row>
    <row r="200" spans="1:8" x14ac:dyDescent="0.25">
      <c r="A200" t="s">
        <v>63</v>
      </c>
      <c r="B200">
        <v>132295</v>
      </c>
      <c r="C200" s="5">
        <v>1330.95</v>
      </c>
      <c r="D200" s="1">
        <v>44012</v>
      </c>
      <c r="E200" t="str">
        <f>"202006307456"</f>
        <v>202006307456</v>
      </c>
      <c r="F200" t="str">
        <f>"ACCT#8000081165-5 / 06192020"</f>
        <v>ACCT#8000081165-5 / 06192020</v>
      </c>
      <c r="G200" s="5">
        <v>1330.95</v>
      </c>
      <c r="H200" t="str">
        <f>"ACCT#8000081165-5 / 06192020"</f>
        <v>ACCT#8000081165-5 / 06192020</v>
      </c>
    </row>
    <row r="201" spans="1:8" x14ac:dyDescent="0.25">
      <c r="E201" t="str">
        <f>""</f>
        <v/>
      </c>
      <c r="F201" t="str">
        <f>""</f>
        <v/>
      </c>
      <c r="H201" t="str">
        <f>"ACCT#8000081165-5 / 06192020"</f>
        <v>ACCT#8000081165-5 / 06192020</v>
      </c>
    </row>
    <row r="202" spans="1:8" x14ac:dyDescent="0.25">
      <c r="A202" t="s">
        <v>64</v>
      </c>
      <c r="B202">
        <v>132042</v>
      </c>
      <c r="C202" s="5">
        <v>2035.07</v>
      </c>
      <c r="D202" s="1">
        <v>43990</v>
      </c>
      <c r="E202" t="str">
        <f>"30138241"</f>
        <v>30138241</v>
      </c>
      <c r="F202" t="str">
        <f t="shared" ref="F202:F209" si="5">"CUST#BASPCT1/ORD#23945/PCT#1"</f>
        <v>CUST#BASPCT1/ORD#23945/PCT#1</v>
      </c>
      <c r="G202" s="5">
        <v>1118.0999999999999</v>
      </c>
      <c r="H202" t="str">
        <f t="shared" ref="H202:H209" si="6">"CUST#BASPCT1/ORD#23945/PCT#1"</f>
        <v>CUST#BASPCT1/ORD#23945/PCT#1</v>
      </c>
    </row>
    <row r="203" spans="1:8" x14ac:dyDescent="0.25">
      <c r="E203" t="str">
        <f>"30138261"</f>
        <v>30138261</v>
      </c>
      <c r="F203" t="str">
        <f t="shared" si="5"/>
        <v>CUST#BASPCT1/ORD#23945/PCT#1</v>
      </c>
      <c r="G203" s="5">
        <v>916.97</v>
      </c>
      <c r="H203" t="str">
        <f t="shared" si="6"/>
        <v>CUST#BASPCT1/ORD#23945/PCT#1</v>
      </c>
    </row>
    <row r="204" spans="1:8" x14ac:dyDescent="0.25">
      <c r="A204" t="s">
        <v>64</v>
      </c>
      <c r="B204">
        <v>132179</v>
      </c>
      <c r="C204" s="5">
        <v>5908.64</v>
      </c>
      <c r="D204" s="1">
        <v>44004</v>
      </c>
      <c r="E204" t="str">
        <f>"30138363"</f>
        <v>30138363</v>
      </c>
      <c r="F204" t="str">
        <f t="shared" si="5"/>
        <v>CUST#BASPCT1/ORD#23945/PCT#1</v>
      </c>
      <c r="G204" s="5">
        <v>1521.77</v>
      </c>
      <c r="H204" t="str">
        <f t="shared" si="6"/>
        <v>CUST#BASPCT1/ORD#23945/PCT#1</v>
      </c>
    </row>
    <row r="205" spans="1:8" x14ac:dyDescent="0.25">
      <c r="E205" t="str">
        <f>"30138410"</f>
        <v>30138410</v>
      </c>
      <c r="F205" t="str">
        <f t="shared" si="5"/>
        <v>CUST#BASPCT1/ORD#23945/PCT#1</v>
      </c>
      <c r="G205" s="5">
        <v>794.27</v>
      </c>
      <c r="H205" t="str">
        <f t="shared" si="6"/>
        <v>CUST#BASPCT1/ORD#23945/PCT#1</v>
      </c>
    </row>
    <row r="206" spans="1:8" x14ac:dyDescent="0.25">
      <c r="E206" t="str">
        <f>"30138442"</f>
        <v>30138442</v>
      </c>
      <c r="F206" t="str">
        <f t="shared" si="5"/>
        <v>CUST#BASPCT1/ORD#23945/PCT#1</v>
      </c>
      <c r="G206" s="5">
        <v>630.94000000000005</v>
      </c>
      <c r="H206" t="str">
        <f t="shared" si="6"/>
        <v>CUST#BASPCT1/ORD#23945/PCT#1</v>
      </c>
    </row>
    <row r="207" spans="1:8" x14ac:dyDescent="0.25">
      <c r="E207" t="str">
        <f>"30138532"</f>
        <v>30138532</v>
      </c>
      <c r="F207" t="str">
        <f t="shared" si="5"/>
        <v>CUST#BASPCT1/ORD#23945/PCT#1</v>
      </c>
      <c r="G207" s="5">
        <v>1175.1300000000001</v>
      </c>
      <c r="H207" t="str">
        <f t="shared" si="6"/>
        <v>CUST#BASPCT1/ORD#23945/PCT#1</v>
      </c>
    </row>
    <row r="208" spans="1:8" x14ac:dyDescent="0.25">
      <c r="E208" t="str">
        <f>"30138580"</f>
        <v>30138580</v>
      </c>
      <c r="F208" t="str">
        <f t="shared" si="5"/>
        <v>CUST#BASPCT1/ORD#23945/PCT#1</v>
      </c>
      <c r="G208" s="5">
        <v>1116.3699999999999</v>
      </c>
      <c r="H208" t="str">
        <f t="shared" si="6"/>
        <v>CUST#BASPCT1/ORD#23945/PCT#1</v>
      </c>
    </row>
    <row r="209" spans="1:8" x14ac:dyDescent="0.25">
      <c r="E209" t="str">
        <f>"30138608"</f>
        <v>30138608</v>
      </c>
      <c r="F209" t="str">
        <f t="shared" si="5"/>
        <v>CUST#BASPCT1/ORD#23945/PCT#1</v>
      </c>
      <c r="G209" s="5">
        <v>670.16</v>
      </c>
      <c r="H209" t="str">
        <f t="shared" si="6"/>
        <v>CUST#BASPCT1/ORD#23945/PCT#1</v>
      </c>
    </row>
    <row r="210" spans="1:8" x14ac:dyDescent="0.25">
      <c r="A210" t="s">
        <v>65</v>
      </c>
      <c r="B210">
        <v>132043</v>
      </c>
      <c r="C210" s="5">
        <v>905.64</v>
      </c>
      <c r="D210" s="1">
        <v>43990</v>
      </c>
      <c r="E210" t="str">
        <f>"202005287013"</f>
        <v>202005287013</v>
      </c>
      <c r="F210" t="str">
        <f>"12-15226"</f>
        <v>12-15226</v>
      </c>
      <c r="G210" s="5">
        <v>175</v>
      </c>
      <c r="H210" t="str">
        <f>"12-15226"</f>
        <v>12-15226</v>
      </c>
    </row>
    <row r="211" spans="1:8" x14ac:dyDescent="0.25">
      <c r="E211" t="str">
        <f>"202006027071"</f>
        <v>202006027071</v>
      </c>
      <c r="F211" t="str">
        <f>"19-19940"</f>
        <v>19-19940</v>
      </c>
      <c r="G211" s="5">
        <v>230.64</v>
      </c>
      <c r="H211" t="str">
        <f>"19-19940"</f>
        <v>19-19940</v>
      </c>
    </row>
    <row r="212" spans="1:8" x14ac:dyDescent="0.25">
      <c r="E212" t="str">
        <f>"202006027072"</f>
        <v>202006027072</v>
      </c>
      <c r="F212" t="str">
        <f>"17-18765"</f>
        <v>17-18765</v>
      </c>
      <c r="G212" s="5">
        <v>250</v>
      </c>
      <c r="H212" t="str">
        <f>"17-18765"</f>
        <v>17-18765</v>
      </c>
    </row>
    <row r="213" spans="1:8" x14ac:dyDescent="0.25">
      <c r="E213" t="str">
        <f>"202006027073"</f>
        <v>202006027073</v>
      </c>
      <c r="F213" t="str">
        <f>"17-18765"</f>
        <v>17-18765</v>
      </c>
      <c r="G213" s="5">
        <v>75</v>
      </c>
      <c r="H213" t="str">
        <f>"17-18765"</f>
        <v>17-18765</v>
      </c>
    </row>
    <row r="214" spans="1:8" x14ac:dyDescent="0.25">
      <c r="E214" t="str">
        <f>"202006027074"</f>
        <v>202006027074</v>
      </c>
      <c r="F214" t="str">
        <f>"20-20715"</f>
        <v>20-20715</v>
      </c>
      <c r="G214" s="5">
        <v>175</v>
      </c>
      <c r="H214" t="str">
        <f>"20-20715"</f>
        <v>20-20715</v>
      </c>
    </row>
    <row r="215" spans="1:8" x14ac:dyDescent="0.25">
      <c r="A215" t="s">
        <v>66</v>
      </c>
      <c r="B215">
        <v>2704</v>
      </c>
      <c r="C215" s="5">
        <v>3714.7</v>
      </c>
      <c r="D215" s="1">
        <v>43991</v>
      </c>
      <c r="E215" t="str">
        <f>"0217572-IN 0220524"</f>
        <v>0217572-IN 0220524</v>
      </c>
      <c r="F215" t="str">
        <f>"INV 0217572-IN"</f>
        <v>INV 0217572-IN</v>
      </c>
      <c r="G215" s="5">
        <v>3714.7</v>
      </c>
      <c r="H215" t="str">
        <f>"INV 0217572-IN"</f>
        <v>INV 0217572-IN</v>
      </c>
    </row>
    <row r="216" spans="1:8" x14ac:dyDescent="0.25">
      <c r="E216" t="str">
        <f>""</f>
        <v/>
      </c>
      <c r="F216" t="str">
        <f>""</f>
        <v/>
      </c>
      <c r="H216" t="str">
        <f>"INV 0220524-IN"</f>
        <v>INV 0220524-IN</v>
      </c>
    </row>
    <row r="217" spans="1:8" x14ac:dyDescent="0.25">
      <c r="A217" t="s">
        <v>66</v>
      </c>
      <c r="B217">
        <v>2768</v>
      </c>
      <c r="C217" s="5">
        <v>5167.5</v>
      </c>
      <c r="D217" s="1">
        <v>44005</v>
      </c>
      <c r="E217" t="str">
        <f>"0221760-IN"</f>
        <v>0221760-IN</v>
      </c>
      <c r="F217" t="str">
        <f>"INV 0221760-IN"</f>
        <v>INV 0221760-IN</v>
      </c>
      <c r="G217" s="5">
        <v>5167.5</v>
      </c>
      <c r="H217" t="str">
        <f>"INV 0221760-IN"</f>
        <v>INV 0221760-IN</v>
      </c>
    </row>
    <row r="218" spans="1:8" x14ac:dyDescent="0.25">
      <c r="A218" t="s">
        <v>67</v>
      </c>
      <c r="B218">
        <v>2711</v>
      </c>
      <c r="C218" s="5">
        <v>2675</v>
      </c>
      <c r="D218" s="1">
        <v>43991</v>
      </c>
      <c r="E218" t="str">
        <f>"202005287014"</f>
        <v>202005287014</v>
      </c>
      <c r="F218" t="str">
        <f>"16 520"</f>
        <v>16 520</v>
      </c>
      <c r="G218" s="5">
        <v>1200</v>
      </c>
      <c r="H218" t="str">
        <f>"16 520"</f>
        <v>16 520</v>
      </c>
    </row>
    <row r="219" spans="1:8" x14ac:dyDescent="0.25">
      <c r="E219" t="str">
        <f>"202005287015"</f>
        <v>202005287015</v>
      </c>
      <c r="F219" t="str">
        <f>"1570-21  423-7244"</f>
        <v>1570-21  423-7244</v>
      </c>
      <c r="G219" s="5">
        <v>200</v>
      </c>
      <c r="H219" t="str">
        <f>"1570-21  423-7244"</f>
        <v>1570-21  423-7244</v>
      </c>
    </row>
    <row r="220" spans="1:8" x14ac:dyDescent="0.25">
      <c r="E220" t="str">
        <f>"202006027062"</f>
        <v>202006027062</v>
      </c>
      <c r="F220" t="str">
        <f>"19-19893"</f>
        <v>19-19893</v>
      </c>
      <c r="G220" s="5">
        <v>100</v>
      </c>
      <c r="H220" t="str">
        <f>"19-19893"</f>
        <v>19-19893</v>
      </c>
    </row>
    <row r="221" spans="1:8" x14ac:dyDescent="0.25">
      <c r="E221" t="str">
        <f>"202006027063"</f>
        <v>202006027063</v>
      </c>
      <c r="F221" t="str">
        <f>"19-19994"</f>
        <v>19-19994</v>
      </c>
      <c r="G221" s="5">
        <v>100</v>
      </c>
      <c r="H221" t="str">
        <f>"19-19994"</f>
        <v>19-19994</v>
      </c>
    </row>
    <row r="222" spans="1:8" x14ac:dyDescent="0.25">
      <c r="E222" t="str">
        <f>"202006027064"</f>
        <v>202006027064</v>
      </c>
      <c r="F222" t="str">
        <f>"20-20169"</f>
        <v>20-20169</v>
      </c>
      <c r="G222" s="5">
        <v>525</v>
      </c>
      <c r="H222" t="str">
        <f>"20-20169"</f>
        <v>20-20169</v>
      </c>
    </row>
    <row r="223" spans="1:8" x14ac:dyDescent="0.25">
      <c r="E223" t="str">
        <f>"202006027065"</f>
        <v>202006027065</v>
      </c>
      <c r="F223" t="str">
        <f>"19-19567"</f>
        <v>19-19567</v>
      </c>
      <c r="G223" s="5">
        <v>100</v>
      </c>
      <c r="H223" t="str">
        <f>"19-19567"</f>
        <v>19-19567</v>
      </c>
    </row>
    <row r="224" spans="1:8" x14ac:dyDescent="0.25">
      <c r="E224" t="str">
        <f>"202006027068"</f>
        <v>202006027068</v>
      </c>
      <c r="F224" t="str">
        <f>"19-19741"</f>
        <v>19-19741</v>
      </c>
      <c r="G224" s="5">
        <v>100</v>
      </c>
      <c r="H224" t="str">
        <f>"19-19741"</f>
        <v>19-19741</v>
      </c>
    </row>
    <row r="225" spans="1:8" x14ac:dyDescent="0.25">
      <c r="E225" t="str">
        <f>"202006027077"</f>
        <v>202006027077</v>
      </c>
      <c r="F225" t="str">
        <f>"19-19987"</f>
        <v>19-19987</v>
      </c>
      <c r="G225" s="5">
        <v>100</v>
      </c>
      <c r="H225" t="str">
        <f>"19-19987"</f>
        <v>19-19987</v>
      </c>
    </row>
    <row r="226" spans="1:8" x14ac:dyDescent="0.25">
      <c r="E226" t="str">
        <f>"202006027082"</f>
        <v>202006027082</v>
      </c>
      <c r="F226" t="str">
        <f>"309122019C"</f>
        <v>309122019C</v>
      </c>
      <c r="G226" s="5">
        <v>250</v>
      </c>
      <c r="H226" t="str">
        <f>"309122019C"</f>
        <v>309122019C</v>
      </c>
    </row>
    <row r="227" spans="1:8" x14ac:dyDescent="0.25">
      <c r="A227" t="s">
        <v>67</v>
      </c>
      <c r="B227">
        <v>2779</v>
      </c>
      <c r="C227" s="5">
        <v>5075</v>
      </c>
      <c r="D227" s="1">
        <v>44005</v>
      </c>
      <c r="E227" t="str">
        <f>"202006097210"</f>
        <v>202006097210</v>
      </c>
      <c r="F227" t="str">
        <f>"15 112"</f>
        <v>15 112</v>
      </c>
      <c r="G227" s="5">
        <v>1000</v>
      </c>
      <c r="H227" t="str">
        <f>"15 112"</f>
        <v>15 112</v>
      </c>
    </row>
    <row r="228" spans="1:8" x14ac:dyDescent="0.25">
      <c r="E228" t="str">
        <f>"202006097211"</f>
        <v>202006097211</v>
      </c>
      <c r="F228" t="str">
        <f>"17 012"</f>
        <v>17 012</v>
      </c>
      <c r="G228" s="5">
        <v>400</v>
      </c>
      <c r="H228" t="str">
        <f>"17 012"</f>
        <v>17 012</v>
      </c>
    </row>
    <row r="229" spans="1:8" x14ac:dyDescent="0.25">
      <c r="E229" t="str">
        <f>"202006097212"</f>
        <v>202006097212</v>
      </c>
      <c r="F229" t="str">
        <f>"16 416"</f>
        <v>16 416</v>
      </c>
      <c r="G229" s="5">
        <v>400</v>
      </c>
      <c r="H229" t="str">
        <f>"16 416"</f>
        <v>16 416</v>
      </c>
    </row>
    <row r="230" spans="1:8" x14ac:dyDescent="0.25">
      <c r="E230" t="str">
        <f>"202006097213"</f>
        <v>202006097213</v>
      </c>
      <c r="F230" t="str">
        <f>"16 847"</f>
        <v>16 847</v>
      </c>
      <c r="G230" s="5">
        <v>400</v>
      </c>
      <c r="H230" t="str">
        <f>"16 847"</f>
        <v>16 847</v>
      </c>
    </row>
    <row r="231" spans="1:8" x14ac:dyDescent="0.25">
      <c r="E231" t="str">
        <f>"202006097214"</f>
        <v>202006097214</v>
      </c>
      <c r="F231" t="str">
        <f>"16 750"</f>
        <v>16 750</v>
      </c>
      <c r="G231" s="5">
        <v>400</v>
      </c>
      <c r="H231" t="str">
        <f>"16 750"</f>
        <v>16 750</v>
      </c>
    </row>
    <row r="232" spans="1:8" x14ac:dyDescent="0.25">
      <c r="E232" t="str">
        <f>"202006107250"</f>
        <v>202006107250</v>
      </c>
      <c r="F232" t="str">
        <f>"56 527"</f>
        <v>56 527</v>
      </c>
      <c r="G232" s="5">
        <v>250</v>
      </c>
      <c r="H232" t="str">
        <f>"56 527"</f>
        <v>56 527</v>
      </c>
    </row>
    <row r="233" spans="1:8" x14ac:dyDescent="0.25">
      <c r="E233" t="str">
        <f>"202006107251"</f>
        <v>202006107251</v>
      </c>
      <c r="F233" t="str">
        <f>"56 511  56 512"</f>
        <v>56 511  56 512</v>
      </c>
      <c r="G233" s="5">
        <v>375</v>
      </c>
      <c r="H233" t="str">
        <f>"56 511  56 512"</f>
        <v>56 511  56 512</v>
      </c>
    </row>
    <row r="234" spans="1:8" x14ac:dyDescent="0.25">
      <c r="E234" t="str">
        <f>"202006107252"</f>
        <v>202006107252</v>
      </c>
      <c r="F234" t="str">
        <f>"BC20191029B"</f>
        <v>BC20191029B</v>
      </c>
      <c r="G234" s="5">
        <v>250</v>
      </c>
      <c r="H234" t="str">
        <f>"BC20191029B"</f>
        <v>BC20191029B</v>
      </c>
    </row>
    <row r="235" spans="1:8" x14ac:dyDescent="0.25">
      <c r="E235" t="str">
        <f>"202006107279"</f>
        <v>202006107279</v>
      </c>
      <c r="F235" t="str">
        <f>"15 323"</f>
        <v>15 323</v>
      </c>
      <c r="G235" s="5">
        <v>400</v>
      </c>
      <c r="H235" t="str">
        <f>"15 323"</f>
        <v>15 323</v>
      </c>
    </row>
    <row r="236" spans="1:8" x14ac:dyDescent="0.25">
      <c r="E236" t="str">
        <f>"202006107280"</f>
        <v>202006107280</v>
      </c>
      <c r="F236" t="str">
        <f>"17 109"</f>
        <v>17 109</v>
      </c>
      <c r="G236" s="5">
        <v>400</v>
      </c>
      <c r="H236" t="str">
        <f>"17 109"</f>
        <v>17 109</v>
      </c>
    </row>
    <row r="237" spans="1:8" x14ac:dyDescent="0.25">
      <c r="E237" t="str">
        <f>"202006107281"</f>
        <v>202006107281</v>
      </c>
      <c r="F237" t="str">
        <f>"JP10452019B"</f>
        <v>JP10452019B</v>
      </c>
      <c r="G237" s="5">
        <v>400</v>
      </c>
      <c r="H237" t="str">
        <f>"JP10452019B"</f>
        <v>JP10452019B</v>
      </c>
    </row>
    <row r="238" spans="1:8" x14ac:dyDescent="0.25">
      <c r="E238" t="str">
        <f>"202006117285"</f>
        <v>202006117285</v>
      </c>
      <c r="F238" t="str">
        <f>"17115"</f>
        <v>17115</v>
      </c>
      <c r="G238" s="5">
        <v>400</v>
      </c>
      <c r="H238" t="str">
        <f>"17115"</f>
        <v>17115</v>
      </c>
    </row>
    <row r="239" spans="1:8" x14ac:dyDescent="0.25">
      <c r="A239" t="s">
        <v>68</v>
      </c>
      <c r="B239">
        <v>132044</v>
      </c>
      <c r="C239" s="5">
        <v>150</v>
      </c>
      <c r="D239" s="1">
        <v>43990</v>
      </c>
      <c r="E239" t="str">
        <f>"9090706059"</f>
        <v>9090706059</v>
      </c>
      <c r="F239" t="str">
        <f>"INV 9090706059"</f>
        <v>INV 9090706059</v>
      </c>
      <c r="G239" s="5">
        <v>100</v>
      </c>
      <c r="H239" t="str">
        <f>"INV 9090706059"</f>
        <v>INV 9090706059</v>
      </c>
    </row>
    <row r="240" spans="1:8" x14ac:dyDescent="0.25">
      <c r="E240" t="str">
        <f>"9090706060"</f>
        <v>9090706060</v>
      </c>
      <c r="F240" t="str">
        <f>"INV 9090706060"</f>
        <v>INV 9090706060</v>
      </c>
      <c r="G240" s="5">
        <v>50</v>
      </c>
      <c r="H240" t="str">
        <f>"INV 9090706060"</f>
        <v>INV 9090706060</v>
      </c>
    </row>
    <row r="241" spans="1:8" x14ac:dyDescent="0.25">
      <c r="A241" t="s">
        <v>69</v>
      </c>
      <c r="B241">
        <v>132045</v>
      </c>
      <c r="C241" s="5">
        <v>214.84</v>
      </c>
      <c r="D241" s="1">
        <v>43990</v>
      </c>
      <c r="E241" t="str">
        <f>"8404651953"</f>
        <v>8404651953</v>
      </c>
      <c r="F241" t="str">
        <f>"CUST#10377368/PCT#3"</f>
        <v>CUST#10377368/PCT#3</v>
      </c>
      <c r="G241" s="5">
        <v>214.84</v>
      </c>
      <c r="H241" t="str">
        <f>"CUST#10377368/PCT#3"</f>
        <v>CUST#10377368/PCT#3</v>
      </c>
    </row>
    <row r="242" spans="1:8" x14ac:dyDescent="0.25">
      <c r="A242" t="s">
        <v>70</v>
      </c>
      <c r="B242">
        <v>132046</v>
      </c>
      <c r="C242" s="5">
        <v>275.02</v>
      </c>
      <c r="D242" s="1">
        <v>43990</v>
      </c>
      <c r="E242" t="str">
        <f>"202006037117"</f>
        <v>202006037117</v>
      </c>
      <c r="F242" t="str">
        <f>"PAYER#14108463/ANIMAL SHELTER"</f>
        <v>PAYER#14108463/ANIMAL SHELTER</v>
      </c>
      <c r="G242" s="5">
        <v>275.02</v>
      </c>
      <c r="H242" t="str">
        <f>"PAYER#14108463/ANIMAL SHELTER"</f>
        <v>PAYER#14108463/ANIMAL SHELTER</v>
      </c>
    </row>
    <row r="243" spans="1:8" x14ac:dyDescent="0.25">
      <c r="A243" t="s">
        <v>70</v>
      </c>
      <c r="B243">
        <v>132180</v>
      </c>
      <c r="C243" s="5">
        <v>2435.59</v>
      </c>
      <c r="D243" s="1">
        <v>44004</v>
      </c>
      <c r="E243" t="str">
        <f>"202006097226"</f>
        <v>202006097226</v>
      </c>
      <c r="F243" t="str">
        <f>"PAYER#14108431"</f>
        <v>PAYER#14108431</v>
      </c>
      <c r="G243" s="5">
        <v>44.72</v>
      </c>
      <c r="H243" t="str">
        <f>"PAYER#14108431"</f>
        <v>PAYER#14108431</v>
      </c>
    </row>
    <row r="244" spans="1:8" x14ac:dyDescent="0.25">
      <c r="E244" t="str">
        <f>"202006097230"</f>
        <v>202006097230</v>
      </c>
      <c r="F244" t="str">
        <f>"PAYER#14108431/PCT#1"</f>
        <v>PAYER#14108431/PCT#1</v>
      </c>
      <c r="G244" s="5">
        <v>685.47</v>
      </c>
      <c r="H244" t="str">
        <f>"PAYER#14108431/PCT#1"</f>
        <v>PAYER#14108431/PCT#1</v>
      </c>
    </row>
    <row r="245" spans="1:8" x14ac:dyDescent="0.25">
      <c r="E245" t="str">
        <f>"202006097234"</f>
        <v>202006097234</v>
      </c>
      <c r="F245" t="str">
        <f>"PAYER#14108367/PCT#2"</f>
        <v>PAYER#14108367/PCT#2</v>
      </c>
      <c r="G245" s="5">
        <v>620</v>
      </c>
      <c r="H245" t="str">
        <f>"PAYER#14108367/PCT#2"</f>
        <v>PAYER#14108367/PCT#2</v>
      </c>
    </row>
    <row r="246" spans="1:8" x14ac:dyDescent="0.25">
      <c r="E246" t="str">
        <f>"202006097240"</f>
        <v>202006097240</v>
      </c>
      <c r="F246" t="str">
        <f>"PAYER#14108430/PCT#4"</f>
        <v>PAYER#14108430/PCT#4</v>
      </c>
      <c r="G246" s="5">
        <v>1085.4000000000001</v>
      </c>
      <c r="H246" t="str">
        <f>"PAYER#14108430/PCT#4"</f>
        <v>PAYER#14108430/PCT#4</v>
      </c>
    </row>
    <row r="247" spans="1:8" x14ac:dyDescent="0.25">
      <c r="A247" t="s">
        <v>71</v>
      </c>
      <c r="B247">
        <v>132133</v>
      </c>
      <c r="C247" s="5">
        <v>48221.93</v>
      </c>
      <c r="D247" s="1">
        <v>43990</v>
      </c>
      <c r="E247" t="str">
        <f>"202006087194"</f>
        <v>202006087194</v>
      </c>
      <c r="F247" t="str">
        <f>"ACCT#02-2083-04 / 05292020"</f>
        <v>ACCT#02-2083-04 / 05292020</v>
      </c>
      <c r="G247" s="5">
        <v>6595.67</v>
      </c>
      <c r="H247" t="str">
        <f>"ACCT#02-2083-04 / 05292020"</f>
        <v>ACCT#02-2083-04 / 05292020</v>
      </c>
    </row>
    <row r="248" spans="1:8" x14ac:dyDescent="0.25">
      <c r="E248" t="str">
        <f>"202006087195"</f>
        <v>202006087195</v>
      </c>
      <c r="F248" t="str">
        <f>"COUNTY DEV CTR / 05292020"</f>
        <v>COUNTY DEV CTR / 05292020</v>
      </c>
      <c r="G248" s="5">
        <v>1824.49</v>
      </c>
      <c r="H248" t="str">
        <f>"COUNTY DEV CTR / 05292020"</f>
        <v>COUNTY DEV CTR / 05292020</v>
      </c>
    </row>
    <row r="249" spans="1:8" x14ac:dyDescent="0.25">
      <c r="E249" t="str">
        <f>"202006087196"</f>
        <v>202006087196</v>
      </c>
      <c r="F249" t="str">
        <f>"CONTY LAW ENF CTR / 05292020"</f>
        <v>CONTY LAW ENF CTR / 05292020</v>
      </c>
      <c r="G249" s="5">
        <v>26976.44</v>
      </c>
      <c r="H249" t="str">
        <f>"CONTY LAW ENF CTR / 05292020"</f>
        <v>CONTY LAW ENF CTR / 05292020</v>
      </c>
    </row>
    <row r="250" spans="1:8" x14ac:dyDescent="0.25">
      <c r="E250" t="str">
        <f>"202006087197"</f>
        <v>202006087197</v>
      </c>
      <c r="F250" t="str">
        <f>"BASTROP COURTHOUSE / 05292020"</f>
        <v>BASTROP COURTHOUSE / 05292020</v>
      </c>
      <c r="G250" s="5">
        <v>12825.33</v>
      </c>
      <c r="H250" t="str">
        <f>"BASTROP COURTHOUSE / 05292020"</f>
        <v>BASTROP COURTHOUSE / 05292020</v>
      </c>
    </row>
    <row r="251" spans="1:8" x14ac:dyDescent="0.25">
      <c r="A251" t="s">
        <v>71</v>
      </c>
      <c r="B251">
        <v>132181</v>
      </c>
      <c r="C251" s="5">
        <v>750</v>
      </c>
      <c r="D251" s="1">
        <v>44004</v>
      </c>
      <c r="E251" t="str">
        <f>"202006097220"</f>
        <v>202006097220</v>
      </c>
      <c r="F251" t="str">
        <f>"RENTAL-PARKING LOT"</f>
        <v>RENTAL-PARKING LOT</v>
      </c>
      <c r="G251" s="5">
        <v>750</v>
      </c>
      <c r="H251" t="str">
        <f>"RENTAL-PARKING LOT"</f>
        <v>RENTAL-PARKING LOT</v>
      </c>
    </row>
    <row r="252" spans="1:8" x14ac:dyDescent="0.25">
      <c r="A252" t="s">
        <v>72</v>
      </c>
      <c r="B252">
        <v>132018</v>
      </c>
      <c r="C252" s="5">
        <v>2568.5300000000002</v>
      </c>
      <c r="D252" s="1">
        <v>43985</v>
      </c>
      <c r="E252" t="str">
        <f>"202006037124"</f>
        <v>202006037124</v>
      </c>
      <c r="F252" t="str">
        <f>"ACCT#007-0000388-000/05262020"</f>
        <v>ACCT#007-0000388-000/05262020</v>
      </c>
      <c r="G252" s="5">
        <v>565.1</v>
      </c>
      <c r="H252" t="str">
        <f>"ACCT#007-0000388-000/05262020"</f>
        <v>ACCT#007-0000388-000/05262020</v>
      </c>
    </row>
    <row r="253" spans="1:8" x14ac:dyDescent="0.25">
      <c r="E253" t="str">
        <f>"202006037125"</f>
        <v>202006037125</v>
      </c>
      <c r="F253" t="str">
        <f>"ACCT#007-0000389-000/05262020"</f>
        <v>ACCT#007-0000389-000/05262020</v>
      </c>
      <c r="G253" s="5">
        <v>22.86</v>
      </c>
      <c r="H253" t="str">
        <f>"ACCT#007-0000389-000/05262020"</f>
        <v>ACCT#007-0000389-000/05262020</v>
      </c>
    </row>
    <row r="254" spans="1:8" x14ac:dyDescent="0.25">
      <c r="E254" t="str">
        <f>"202006037126"</f>
        <v>202006037126</v>
      </c>
      <c r="F254" t="str">
        <f>"ACCT#044-0001240-000/05262020"</f>
        <v>ACCT#044-0001240-000/05262020</v>
      </c>
      <c r="G254" s="5">
        <v>342.83</v>
      </c>
      <c r="H254" t="str">
        <f>"ACCT#044-0001240-000/05262020"</f>
        <v>ACCT#044-0001240-000/05262020</v>
      </c>
    </row>
    <row r="255" spans="1:8" x14ac:dyDescent="0.25">
      <c r="E255" t="str">
        <f>"202006037127"</f>
        <v>202006037127</v>
      </c>
      <c r="F255" t="str">
        <f>"ACCT#044-0001250-000/05262020"</f>
        <v>ACCT#044-0001250-000/05262020</v>
      </c>
      <c r="G255" s="5">
        <v>105.25</v>
      </c>
      <c r="H255" t="str">
        <f>"ACCT#044-0001250-000/05262020"</f>
        <v>ACCT#044-0001250-000/05262020</v>
      </c>
    </row>
    <row r="256" spans="1:8" x14ac:dyDescent="0.25">
      <c r="E256" t="str">
        <f>"202006037128"</f>
        <v>202006037128</v>
      </c>
      <c r="F256" t="str">
        <f>"ACCT#044-0001252-000/05262020"</f>
        <v>ACCT#044-0001252-000/05262020</v>
      </c>
      <c r="G256" s="5">
        <v>1288.6400000000001</v>
      </c>
      <c r="H256" t="str">
        <f>"ACCT#044-0001252-000/05262020"</f>
        <v>ACCT#044-0001252-000/05262020</v>
      </c>
    </row>
    <row r="257" spans="1:8" x14ac:dyDescent="0.25">
      <c r="E257" t="str">
        <f>"202006037129"</f>
        <v>202006037129</v>
      </c>
      <c r="F257" t="str">
        <f>"ACCT#044-0001253-000/05262020"</f>
        <v>ACCT#044-0001253-000/05262020</v>
      </c>
      <c r="G257" s="5">
        <v>243.85</v>
      </c>
      <c r="H257" t="str">
        <f>"ACCT#044-0001253-000/05262020"</f>
        <v>ACCT#044-0001253-000/05262020</v>
      </c>
    </row>
    <row r="258" spans="1:8" x14ac:dyDescent="0.25">
      <c r="A258" t="s">
        <v>72</v>
      </c>
      <c r="B258">
        <v>132296</v>
      </c>
      <c r="C258" s="5">
        <v>3123.65</v>
      </c>
      <c r="D258" s="1">
        <v>44012</v>
      </c>
      <c r="E258" t="str">
        <f>"202006307460"</f>
        <v>202006307460</v>
      </c>
      <c r="F258" t="str">
        <f>"ACCT#007-0000388-000/06252020"</f>
        <v>ACCT#007-0000388-000/06252020</v>
      </c>
      <c r="G258" s="5">
        <v>700.36</v>
      </c>
      <c r="H258" t="str">
        <f>"ACCT#007-0000388-000/06252020"</f>
        <v>ACCT#007-0000388-000/06252020</v>
      </c>
    </row>
    <row r="259" spans="1:8" x14ac:dyDescent="0.25">
      <c r="E259" t="str">
        <f>"202006307462"</f>
        <v>202006307462</v>
      </c>
      <c r="F259" t="str">
        <f>"ACCT#007-0000389-000/06252020"</f>
        <v>ACCT#007-0000389-000/06252020</v>
      </c>
      <c r="G259" s="5">
        <v>22.86</v>
      </c>
      <c r="H259" t="str">
        <f>"ACCT#007-0000389-000/06252020"</f>
        <v>ACCT#007-0000389-000/06252020</v>
      </c>
    </row>
    <row r="260" spans="1:8" x14ac:dyDescent="0.25">
      <c r="E260" t="str">
        <f>"202006307464"</f>
        <v>202006307464</v>
      </c>
      <c r="F260" t="str">
        <f>"ACCT#044-0001240-000/06252020"</f>
        <v>ACCT#044-0001240-000/06252020</v>
      </c>
      <c r="G260" s="5">
        <v>425.78</v>
      </c>
      <c r="H260" t="str">
        <f>"ACCT#044-0001240-000/06252020"</f>
        <v>ACCT#044-0001240-000/06252020</v>
      </c>
    </row>
    <row r="261" spans="1:8" x14ac:dyDescent="0.25">
      <c r="E261" t="str">
        <f>"202006307466"</f>
        <v>202006307466</v>
      </c>
      <c r="F261" t="str">
        <f>"ACCT#044-0001250000/06252020"</f>
        <v>ACCT#044-0001250000/06252020</v>
      </c>
      <c r="G261" s="5">
        <v>119.45</v>
      </c>
      <c r="H261" t="str">
        <f>"ACCT#044-0001250000/06252020"</f>
        <v>ACCT#044-0001250000/06252020</v>
      </c>
    </row>
    <row r="262" spans="1:8" x14ac:dyDescent="0.25">
      <c r="E262" t="str">
        <f>"202006307467"</f>
        <v>202006307467</v>
      </c>
      <c r="F262" t="str">
        <f>"ACCT#044-0001252-000/06252020"</f>
        <v>ACCT#044-0001252-000/06252020</v>
      </c>
      <c r="G262" s="5">
        <v>1638.65</v>
      </c>
      <c r="H262" t="str">
        <f>"ACCT#044-0001252-000/06252020"</f>
        <v>ACCT#044-0001252-000/06252020</v>
      </c>
    </row>
    <row r="263" spans="1:8" x14ac:dyDescent="0.25">
      <c r="E263" t="str">
        <f>"202006307469"</f>
        <v>202006307469</v>
      </c>
      <c r="F263" t="str">
        <f>"ACCT#044-0001253-000/06252020"</f>
        <v>ACCT#044-0001253-000/06252020</v>
      </c>
      <c r="G263" s="5">
        <v>216.55</v>
      </c>
      <c r="H263" t="str">
        <f>"ACCT#044-0001253-000/06252020"</f>
        <v>ACCT#044-0001253-000/06252020</v>
      </c>
    </row>
    <row r="264" spans="1:8" x14ac:dyDescent="0.25">
      <c r="A264" t="s">
        <v>73</v>
      </c>
      <c r="B264">
        <v>2671</v>
      </c>
      <c r="C264" s="5">
        <v>728.69</v>
      </c>
      <c r="D264" s="1">
        <v>43991</v>
      </c>
      <c r="E264" t="str">
        <f>"SVC-0101420"</f>
        <v>SVC-0101420</v>
      </c>
      <c r="F264" t="str">
        <f>"CUST#0020272/SVC CALL"</f>
        <v>CUST#0020272/SVC CALL</v>
      </c>
      <c r="G264" s="5">
        <v>728.69</v>
      </c>
      <c r="H264" t="str">
        <f>"CUST#0020272/SVC CALL"</f>
        <v>CUST#0020272/SVC CALL</v>
      </c>
    </row>
    <row r="265" spans="1:8" x14ac:dyDescent="0.25">
      <c r="A265" t="s">
        <v>73</v>
      </c>
      <c r="B265">
        <v>2726</v>
      </c>
      <c r="C265" s="5">
        <v>749</v>
      </c>
      <c r="D265" s="1">
        <v>44005</v>
      </c>
      <c r="E265" t="str">
        <f>"PMA-0064089"</f>
        <v>PMA-0064089</v>
      </c>
      <c r="F265" t="str">
        <f>"INV PMA-0064089"</f>
        <v>INV PMA-0064089</v>
      </c>
      <c r="G265" s="5">
        <v>749</v>
      </c>
      <c r="H265" t="str">
        <f>"INV PMA-0064089"</f>
        <v>INV PMA-0064089</v>
      </c>
    </row>
    <row r="266" spans="1:8" x14ac:dyDescent="0.25">
      <c r="A266" t="s">
        <v>74</v>
      </c>
      <c r="B266">
        <v>2755</v>
      </c>
      <c r="C266" s="5">
        <v>95.2</v>
      </c>
      <c r="D266" s="1">
        <v>44005</v>
      </c>
      <c r="E266" t="str">
        <f>"202005-0"</f>
        <v>202005-0</v>
      </c>
      <c r="F266" t="str">
        <f>"INV 202005-0"</f>
        <v>INV 202005-0</v>
      </c>
      <c r="G266" s="5">
        <v>95.2</v>
      </c>
      <c r="H266" t="str">
        <f>"INV 202005-0"</f>
        <v>INV 202005-0</v>
      </c>
    </row>
    <row r="267" spans="1:8" x14ac:dyDescent="0.25">
      <c r="A267" t="s">
        <v>75</v>
      </c>
      <c r="B267">
        <v>132047</v>
      </c>
      <c r="C267" s="5">
        <v>1320</v>
      </c>
      <c r="D267" s="1">
        <v>43990</v>
      </c>
      <c r="E267" t="str">
        <f>"221345-12-001"</f>
        <v>221345-12-001</v>
      </c>
      <c r="F267" t="str">
        <f>"INV 221345-12-001"</f>
        <v>INV 221345-12-001</v>
      </c>
      <c r="G267" s="5">
        <v>1320</v>
      </c>
      <c r="H267" t="str">
        <f>"INV 221345-12-001"</f>
        <v>INV 221345-12-001</v>
      </c>
    </row>
    <row r="268" spans="1:8" x14ac:dyDescent="0.25">
      <c r="A268" t="s">
        <v>76</v>
      </c>
      <c r="B268">
        <v>132182</v>
      </c>
      <c r="C268" s="5">
        <v>350</v>
      </c>
      <c r="D268" s="1">
        <v>44004</v>
      </c>
      <c r="E268" t="str">
        <f>"202006117289"</f>
        <v>202006117289</v>
      </c>
      <c r="F268" t="str">
        <f>"BOND#13748237/BENTON ESKEW"</f>
        <v>BOND#13748237/BENTON ESKEW</v>
      </c>
      <c r="G268" s="5">
        <v>350</v>
      </c>
      <c r="H268" t="str">
        <f>"BOND#13748237/BENTON ESKEW"</f>
        <v>BOND#13748237/BENTON ESKEW</v>
      </c>
    </row>
    <row r="269" spans="1:8" x14ac:dyDescent="0.25">
      <c r="A269" t="s">
        <v>77</v>
      </c>
      <c r="B269">
        <v>2674</v>
      </c>
      <c r="C269" s="5">
        <v>396</v>
      </c>
      <c r="D269" s="1">
        <v>43991</v>
      </c>
      <c r="E269" t="str">
        <f>"12457014173"</f>
        <v>12457014173</v>
      </c>
      <c r="F269" t="str">
        <f>"INV 12457014173"</f>
        <v>INV 12457014173</v>
      </c>
      <c r="G269" s="5">
        <v>396</v>
      </c>
      <c r="H269" t="str">
        <f>"INV 12457014173"</f>
        <v>INV 12457014173</v>
      </c>
    </row>
    <row r="270" spans="1:8" x14ac:dyDescent="0.25">
      <c r="A270" t="s">
        <v>78</v>
      </c>
      <c r="B270">
        <v>132183</v>
      </c>
      <c r="C270" s="5">
        <v>784</v>
      </c>
      <c r="D270" s="1">
        <v>44004</v>
      </c>
      <c r="E270" t="str">
        <f>"20542"</f>
        <v>20542</v>
      </c>
      <c r="F270" t="str">
        <f>"INV 20542"</f>
        <v>INV 20542</v>
      </c>
      <c r="G270" s="5">
        <v>784</v>
      </c>
      <c r="H270" t="str">
        <f>"INV 20542"</f>
        <v>INV 20542</v>
      </c>
    </row>
    <row r="271" spans="1:8" x14ac:dyDescent="0.25">
      <c r="A271" t="s">
        <v>79</v>
      </c>
      <c r="B271">
        <v>2754</v>
      </c>
      <c r="C271" s="5">
        <v>180.88</v>
      </c>
      <c r="D271" s="1">
        <v>44005</v>
      </c>
      <c r="E271" t="str">
        <f>"IG00387"</f>
        <v>IG00387</v>
      </c>
      <c r="F271" t="str">
        <f>"ACCT#063/GASKET-SPRA/PCT#2"</f>
        <v>ACCT#063/GASKET-SPRA/PCT#2</v>
      </c>
      <c r="G271" s="5">
        <v>180.88</v>
      </c>
      <c r="H271" t="str">
        <f>"ACCT#063/GASKET-SPRA/PCT#2"</f>
        <v>ACCT#063/GASKET-SPRA/PCT#2</v>
      </c>
    </row>
    <row r="272" spans="1:8" x14ac:dyDescent="0.25">
      <c r="A272" t="s">
        <v>80</v>
      </c>
      <c r="B272">
        <v>132048</v>
      </c>
      <c r="C272" s="5">
        <v>558</v>
      </c>
      <c r="D272" s="1">
        <v>43990</v>
      </c>
      <c r="E272" t="str">
        <f>"T998-100019"</f>
        <v>T998-100019</v>
      </c>
      <c r="F272" t="str">
        <f>"HID Cards"</f>
        <v>HID Cards</v>
      </c>
      <c r="G272" s="5">
        <v>558</v>
      </c>
      <c r="H272" t="str">
        <f>"2000PGGMN"</f>
        <v>2000PGGMN</v>
      </c>
    </row>
    <row r="273" spans="1:8" x14ac:dyDescent="0.25">
      <c r="E273" t="str">
        <f>""</f>
        <v/>
      </c>
      <c r="F273" t="str">
        <f>""</f>
        <v/>
      </c>
      <c r="H273" t="str">
        <f>"Shipping"</f>
        <v>Shipping</v>
      </c>
    </row>
    <row r="274" spans="1:8" x14ac:dyDescent="0.25">
      <c r="A274" t="s">
        <v>81</v>
      </c>
      <c r="B274">
        <v>132049</v>
      </c>
      <c r="C274" s="5">
        <v>2009.07</v>
      </c>
      <c r="D274" s="1">
        <v>43990</v>
      </c>
      <c r="E274" t="str">
        <f>"SU27597"</f>
        <v>SU27597</v>
      </c>
      <c r="F274" t="str">
        <f>"ACCT#68930/ANIMAL SERVICES"</f>
        <v>ACCT#68930/ANIMAL SERVICES</v>
      </c>
      <c r="G274" s="5">
        <v>203.54</v>
      </c>
      <c r="H274" t="str">
        <f>"ACCT#68930/ANIMAL SERVICES"</f>
        <v>ACCT#68930/ANIMAL SERVICES</v>
      </c>
    </row>
    <row r="275" spans="1:8" x14ac:dyDescent="0.25">
      <c r="E275" t="str">
        <f>"SV13752"</f>
        <v>SV13752</v>
      </c>
      <c r="F275" t="str">
        <f>"ACCT#68930-000/ANIMAL SVCS"</f>
        <v>ACCT#68930-000/ANIMAL SVCS</v>
      </c>
      <c r="G275" s="5">
        <v>581.25</v>
      </c>
      <c r="H275" t="str">
        <f t="shared" ref="H275:H280" si="7">"ACCT#68930-000/ANIMAL SVCS"</f>
        <v>ACCT#68930-000/ANIMAL SVCS</v>
      </c>
    </row>
    <row r="276" spans="1:8" x14ac:dyDescent="0.25">
      <c r="E276" t="str">
        <f>"SV92355"</f>
        <v>SV92355</v>
      </c>
      <c r="F276" t="str">
        <f>"ACCT#68930-000/ANIMAL SVCS"</f>
        <v>ACCT#68930-000/ANIMAL SVCS</v>
      </c>
      <c r="G276" s="5">
        <v>908</v>
      </c>
      <c r="H276" t="str">
        <f t="shared" si="7"/>
        <v>ACCT#68930-000/ANIMAL SVCS</v>
      </c>
    </row>
    <row r="277" spans="1:8" x14ac:dyDescent="0.25">
      <c r="E277" t="str">
        <f>""</f>
        <v/>
      </c>
      <c r="F277" t="str">
        <f>""</f>
        <v/>
      </c>
      <c r="H277" t="str">
        <f t="shared" si="7"/>
        <v>ACCT#68930-000/ANIMAL SVCS</v>
      </c>
    </row>
    <row r="278" spans="1:8" x14ac:dyDescent="0.25">
      <c r="E278" t="str">
        <f>"SW41184"</f>
        <v>SW41184</v>
      </c>
      <c r="F278" t="str">
        <f>"ACCT#68930-000/ANIMAL SVCS"</f>
        <v>ACCT#68930-000/ANIMAL SVCS</v>
      </c>
      <c r="G278" s="5">
        <v>316.27999999999997</v>
      </c>
      <c r="H278" t="str">
        <f t="shared" si="7"/>
        <v>ACCT#68930-000/ANIMAL SVCS</v>
      </c>
    </row>
    <row r="279" spans="1:8" x14ac:dyDescent="0.25">
      <c r="E279" t="str">
        <f>""</f>
        <v/>
      </c>
      <c r="F279" t="str">
        <f>""</f>
        <v/>
      </c>
      <c r="H279" t="str">
        <f t="shared" si="7"/>
        <v>ACCT#68930-000/ANIMAL SVCS</v>
      </c>
    </row>
    <row r="280" spans="1:8" x14ac:dyDescent="0.25">
      <c r="E280" t="str">
        <f>""</f>
        <v/>
      </c>
      <c r="F280" t="str">
        <f>""</f>
        <v/>
      </c>
      <c r="H280" t="str">
        <f t="shared" si="7"/>
        <v>ACCT#68930-000/ANIMAL SVCS</v>
      </c>
    </row>
    <row r="281" spans="1:8" x14ac:dyDescent="0.25">
      <c r="A281" t="s">
        <v>81</v>
      </c>
      <c r="B281">
        <v>132184</v>
      </c>
      <c r="C281" s="5">
        <v>478</v>
      </c>
      <c r="D281" s="1">
        <v>44004</v>
      </c>
      <c r="E281" t="str">
        <f>"SY00896"</f>
        <v>SY00896</v>
      </c>
      <c r="F281" t="str">
        <f>"ACCT#68930/ANIMAL SERVICES"</f>
        <v>ACCT#68930/ANIMAL SERVICES</v>
      </c>
      <c r="G281" s="5">
        <v>478</v>
      </c>
      <c r="H281" t="str">
        <f>"ACCT#68930/ANIMAL SERVICES"</f>
        <v>ACCT#68930/ANIMAL SERVICES</v>
      </c>
    </row>
    <row r="282" spans="1:8" x14ac:dyDescent="0.25">
      <c r="E282" t="str">
        <f>""</f>
        <v/>
      </c>
      <c r="F282" t="str">
        <f>""</f>
        <v/>
      </c>
      <c r="H282" t="str">
        <f>"ACCT#68930/ANIMAL SERVICES"</f>
        <v>ACCT#68930/ANIMAL SERVICES</v>
      </c>
    </row>
    <row r="283" spans="1:8" x14ac:dyDescent="0.25">
      <c r="A283" t="s">
        <v>82</v>
      </c>
      <c r="B283">
        <v>132050</v>
      </c>
      <c r="C283" s="5">
        <v>4925</v>
      </c>
      <c r="D283" s="1">
        <v>43990</v>
      </c>
      <c r="E283" t="str">
        <f>"1249"</f>
        <v>1249</v>
      </c>
      <c r="F283" t="str">
        <f>"SITE WORK/PCT#1"</f>
        <v>SITE WORK/PCT#1</v>
      </c>
      <c r="G283" s="5">
        <v>4925</v>
      </c>
      <c r="H283" t="str">
        <f>"SITE WORK/PCT#1"</f>
        <v>SITE WORK/PCT#1</v>
      </c>
    </row>
    <row r="284" spans="1:8" x14ac:dyDescent="0.25">
      <c r="A284" t="s">
        <v>83</v>
      </c>
      <c r="B284">
        <v>132051</v>
      </c>
      <c r="C284" s="5">
        <v>5832.19</v>
      </c>
      <c r="D284" s="1">
        <v>43990</v>
      </c>
      <c r="E284" t="str">
        <f>"335340"</f>
        <v>335340</v>
      </c>
      <c r="F284" t="str">
        <f>"Sign Shop Material"</f>
        <v>Sign Shop Material</v>
      </c>
      <c r="G284" s="5">
        <v>528</v>
      </c>
      <c r="H284" t="str">
        <f>"24 x24"</f>
        <v>24 x24</v>
      </c>
    </row>
    <row r="285" spans="1:8" x14ac:dyDescent="0.25">
      <c r="E285" t="str">
        <f>"335393"</f>
        <v>335393</v>
      </c>
      <c r="F285" t="str">
        <f>"Sign Shop Material"</f>
        <v>Sign Shop Material</v>
      </c>
      <c r="G285" s="5">
        <v>348.32</v>
      </c>
      <c r="H285" t="str">
        <f>"RPMM290WW"</f>
        <v>RPMM290WW</v>
      </c>
    </row>
    <row r="286" spans="1:8" x14ac:dyDescent="0.25">
      <c r="E286" t="str">
        <f>""</f>
        <v/>
      </c>
      <c r="F286" t="str">
        <f>""</f>
        <v/>
      </c>
      <c r="H286" t="str">
        <f>"RPMM291YY"</f>
        <v>RPMM291YY</v>
      </c>
    </row>
    <row r="287" spans="1:8" x14ac:dyDescent="0.25">
      <c r="E287" t="str">
        <f>""</f>
        <v/>
      </c>
      <c r="F287" t="str">
        <f>""</f>
        <v/>
      </c>
      <c r="H287" t="str">
        <f>"Freight"</f>
        <v>Freight</v>
      </c>
    </row>
    <row r="288" spans="1:8" x14ac:dyDescent="0.25">
      <c r="E288" t="str">
        <f>"335557"</f>
        <v>335557</v>
      </c>
      <c r="F288" t="str">
        <f>"Sign Shop Material"</f>
        <v>Sign Shop Material</v>
      </c>
      <c r="G288" s="5">
        <v>4955.87</v>
      </c>
      <c r="H288" t="str">
        <f>"9 x18  Ref White"</f>
        <v>9 x18  Ref White</v>
      </c>
    </row>
    <row r="289" spans="1:8" x14ac:dyDescent="0.25">
      <c r="E289" t="str">
        <f>""</f>
        <v/>
      </c>
      <c r="F289" t="str">
        <f>""</f>
        <v/>
      </c>
      <c r="H289" t="str">
        <f>"9 x24  Ref White"</f>
        <v>9 x24  Ref White</v>
      </c>
    </row>
    <row r="290" spans="1:8" x14ac:dyDescent="0.25">
      <c r="E290" t="str">
        <f>""</f>
        <v/>
      </c>
      <c r="F290" t="str">
        <f>""</f>
        <v/>
      </c>
      <c r="H290" t="str">
        <f>"2 3/8  ODx10'-16ga"</f>
        <v>2 3/8  ODx10'-16ga</v>
      </c>
    </row>
    <row r="291" spans="1:8" x14ac:dyDescent="0.25">
      <c r="E291" t="str">
        <f>""</f>
        <v/>
      </c>
      <c r="F291" t="str">
        <f>""</f>
        <v/>
      </c>
      <c r="H291" t="str">
        <f>"6'x1.12# Green"</f>
        <v>6'x1.12# Green</v>
      </c>
    </row>
    <row r="292" spans="1:8" x14ac:dyDescent="0.25">
      <c r="E292" t="str">
        <f>""</f>
        <v/>
      </c>
      <c r="F292" t="str">
        <f>""</f>
        <v/>
      </c>
      <c r="H292" t="str">
        <f>"12'x2# Green"</f>
        <v>12'x2# Green</v>
      </c>
    </row>
    <row r="293" spans="1:8" x14ac:dyDescent="0.25">
      <c r="E293" t="str">
        <f>""</f>
        <v/>
      </c>
      <c r="F293" t="str">
        <f>""</f>
        <v/>
      </c>
      <c r="H293" t="str">
        <f>"24 x24  Ref Red/Whit"</f>
        <v>24 x24  Ref Red/Whit</v>
      </c>
    </row>
    <row r="294" spans="1:8" x14ac:dyDescent="0.25">
      <c r="E294" t="str">
        <f>""</f>
        <v/>
      </c>
      <c r="F294" t="str">
        <f>""</f>
        <v/>
      </c>
      <c r="H294" t="str">
        <f>"24 x24  Ref Yellow"</f>
        <v>24 x24  Ref Yellow</v>
      </c>
    </row>
    <row r="295" spans="1:8" x14ac:dyDescent="0.25">
      <c r="A295" t="s">
        <v>84</v>
      </c>
      <c r="B295">
        <v>132052</v>
      </c>
      <c r="C295" s="5">
        <v>100</v>
      </c>
      <c r="D295" s="1">
        <v>43990</v>
      </c>
      <c r="E295" t="str">
        <f>"202006017043"</f>
        <v>202006017043</v>
      </c>
      <c r="F295" t="str">
        <f>"LEGAL CONSULT SVCS-MAY"</f>
        <v>LEGAL CONSULT SVCS-MAY</v>
      </c>
      <c r="G295" s="5">
        <v>100</v>
      </c>
      <c r="H295" t="str">
        <f>"LEGAL CONSULT SVCS-MAY"</f>
        <v>LEGAL CONSULT SVCS-MAY</v>
      </c>
    </row>
    <row r="296" spans="1:8" x14ac:dyDescent="0.25">
      <c r="A296" t="s">
        <v>85</v>
      </c>
      <c r="B296">
        <v>2676</v>
      </c>
      <c r="C296" s="5">
        <v>955</v>
      </c>
      <c r="D296" s="1">
        <v>43991</v>
      </c>
      <c r="E296" t="str">
        <f>"202006027067"</f>
        <v>202006027067</v>
      </c>
      <c r="F296" t="str">
        <f>"20-20207"</f>
        <v>20-20207</v>
      </c>
      <c r="G296" s="5">
        <v>782.5</v>
      </c>
      <c r="H296" t="str">
        <f>"20-20207"</f>
        <v>20-20207</v>
      </c>
    </row>
    <row r="297" spans="1:8" x14ac:dyDescent="0.25">
      <c r="E297" t="str">
        <f>"202006027070"</f>
        <v>202006027070</v>
      </c>
      <c r="F297" t="str">
        <f>"20-20096"</f>
        <v>20-20096</v>
      </c>
      <c r="G297" s="5">
        <v>172.5</v>
      </c>
      <c r="H297" t="str">
        <f>"20-20096"</f>
        <v>20-20096</v>
      </c>
    </row>
    <row r="298" spans="1:8" x14ac:dyDescent="0.25">
      <c r="A298" t="s">
        <v>85</v>
      </c>
      <c r="B298">
        <v>2731</v>
      </c>
      <c r="C298" s="5">
        <v>627.5</v>
      </c>
      <c r="D298" s="1">
        <v>44005</v>
      </c>
      <c r="E298" t="str">
        <f>"202006107263"</f>
        <v>202006107263</v>
      </c>
      <c r="F298" t="str">
        <f>"20-20207"</f>
        <v>20-20207</v>
      </c>
      <c r="G298" s="5">
        <v>97.5</v>
      </c>
      <c r="H298" t="str">
        <f>"20-20207"</f>
        <v>20-20207</v>
      </c>
    </row>
    <row r="299" spans="1:8" x14ac:dyDescent="0.25">
      <c r="E299" t="str">
        <f>"202006107264"</f>
        <v>202006107264</v>
      </c>
      <c r="F299" t="str">
        <f>"19-19967"</f>
        <v>19-19967</v>
      </c>
      <c r="G299" s="5">
        <v>225</v>
      </c>
      <c r="H299" t="str">
        <f>"19-19967"</f>
        <v>19-19967</v>
      </c>
    </row>
    <row r="300" spans="1:8" x14ac:dyDescent="0.25">
      <c r="E300" t="str">
        <f>"202006107265"</f>
        <v>202006107265</v>
      </c>
      <c r="F300" t="str">
        <f>"20-20096"</f>
        <v>20-20096</v>
      </c>
      <c r="G300" s="5">
        <v>305</v>
      </c>
      <c r="H300" t="str">
        <f>"20-20096"</f>
        <v>20-20096</v>
      </c>
    </row>
    <row r="301" spans="1:8" x14ac:dyDescent="0.25">
      <c r="A301" t="s">
        <v>86</v>
      </c>
      <c r="B301">
        <v>132185</v>
      </c>
      <c r="C301" s="5">
        <v>793</v>
      </c>
      <c r="D301" s="1">
        <v>44004</v>
      </c>
      <c r="E301" t="str">
        <f>"139175"</f>
        <v>139175</v>
      </c>
      <c r="F301" t="str">
        <f>"INV 139175"</f>
        <v>INV 139175</v>
      </c>
      <c r="G301" s="5">
        <v>793</v>
      </c>
      <c r="H301" t="str">
        <f>"INV 139175"</f>
        <v>INV 139175</v>
      </c>
    </row>
    <row r="302" spans="1:8" x14ac:dyDescent="0.25">
      <c r="A302" t="s">
        <v>87</v>
      </c>
      <c r="B302">
        <v>132053</v>
      </c>
      <c r="C302" s="5">
        <v>1010.88</v>
      </c>
      <c r="D302" s="1">
        <v>43990</v>
      </c>
      <c r="E302" t="str">
        <f>"1955171  1960374"</f>
        <v>1955171  1960374</v>
      </c>
      <c r="F302" t="str">
        <f>"INV 1955171"</f>
        <v>INV 1955171</v>
      </c>
      <c r="G302" s="5">
        <v>1010.88</v>
      </c>
      <c r="H302" t="str">
        <f>"INV 1955171"</f>
        <v>INV 1955171</v>
      </c>
    </row>
    <row r="303" spans="1:8" x14ac:dyDescent="0.25">
      <c r="E303" t="str">
        <f>""</f>
        <v/>
      </c>
      <c r="F303" t="str">
        <f>""</f>
        <v/>
      </c>
      <c r="H303" t="str">
        <f>"INV 1960374"</f>
        <v>INV 1960374</v>
      </c>
    </row>
    <row r="304" spans="1:8" x14ac:dyDescent="0.25">
      <c r="A304" t="s">
        <v>87</v>
      </c>
      <c r="B304">
        <v>132186</v>
      </c>
      <c r="C304" s="5">
        <v>894.24</v>
      </c>
      <c r="D304" s="1">
        <v>44004</v>
      </c>
      <c r="E304" t="str">
        <f>"1965483 40190011 1"</f>
        <v>1965483 40190011 1</v>
      </c>
      <c r="F304" t="str">
        <f>"INV 1965483"</f>
        <v>INV 1965483</v>
      </c>
      <c r="G304" s="5">
        <v>894.24</v>
      </c>
      <c r="H304" t="str">
        <f>"INV 1965483"</f>
        <v>INV 1965483</v>
      </c>
    </row>
    <row r="305" spans="1:8" x14ac:dyDescent="0.25">
      <c r="E305" t="str">
        <f>""</f>
        <v/>
      </c>
      <c r="F305" t="str">
        <f>""</f>
        <v/>
      </c>
      <c r="H305" t="str">
        <f>"INV 40190011"</f>
        <v>INV 40190011</v>
      </c>
    </row>
    <row r="306" spans="1:8" x14ac:dyDescent="0.25">
      <c r="E306" t="str">
        <f>""</f>
        <v/>
      </c>
      <c r="F306" t="str">
        <f>""</f>
        <v/>
      </c>
      <c r="H306" t="str">
        <f>"INV 1970726"</f>
        <v>INV 1970726</v>
      </c>
    </row>
    <row r="307" spans="1:8" x14ac:dyDescent="0.25">
      <c r="A307" t="s">
        <v>88</v>
      </c>
      <c r="B307">
        <v>132054</v>
      </c>
      <c r="C307" s="5">
        <v>2534.62</v>
      </c>
      <c r="D307" s="1">
        <v>43990</v>
      </c>
      <c r="E307" t="str">
        <f>"10393539127"</f>
        <v>10393539127</v>
      </c>
      <c r="F307" t="str">
        <f>"XPS 13"</f>
        <v>XPS 13</v>
      </c>
      <c r="G307" s="5">
        <v>1229.98</v>
      </c>
      <c r="H307" t="str">
        <f>"XPS 13"</f>
        <v>XPS 13</v>
      </c>
    </row>
    <row r="308" spans="1:8" x14ac:dyDescent="0.25">
      <c r="E308" t="str">
        <f>"10395017544"</f>
        <v>10395017544</v>
      </c>
      <c r="F308" t="str">
        <f>"Laptop"</f>
        <v>Laptop</v>
      </c>
      <c r="G308" s="5">
        <v>1304.6400000000001</v>
      </c>
      <c r="H308" t="str">
        <f>"Latitude 5500 BTX"</f>
        <v>Latitude 5500 BTX</v>
      </c>
    </row>
    <row r="309" spans="1:8" x14ac:dyDescent="0.25">
      <c r="E309" t="str">
        <f>""</f>
        <v/>
      </c>
      <c r="F309" t="str">
        <f>""</f>
        <v/>
      </c>
      <c r="H309" t="str">
        <f>"Premier Discount"</f>
        <v>Premier Discount</v>
      </c>
    </row>
    <row r="310" spans="1:8" x14ac:dyDescent="0.25">
      <c r="A310" t="s">
        <v>88</v>
      </c>
      <c r="B310">
        <v>132187</v>
      </c>
      <c r="C310" s="5">
        <v>759.96</v>
      </c>
      <c r="D310" s="1">
        <v>44004</v>
      </c>
      <c r="E310" t="str">
        <f>"10398550697"</f>
        <v>10398550697</v>
      </c>
      <c r="F310" t="str">
        <f>"Docking Stations"</f>
        <v>Docking Stations</v>
      </c>
      <c r="G310" s="5">
        <v>633.29999999999995</v>
      </c>
      <c r="H310" t="str">
        <f>"D3100"</f>
        <v>D3100</v>
      </c>
    </row>
    <row r="311" spans="1:8" x14ac:dyDescent="0.25">
      <c r="E311" t="str">
        <f>""</f>
        <v/>
      </c>
      <c r="F311" t="str">
        <f>""</f>
        <v/>
      </c>
      <c r="H311" t="str">
        <f>"Premier Discount"</f>
        <v>Premier Discount</v>
      </c>
    </row>
    <row r="312" spans="1:8" x14ac:dyDescent="0.25">
      <c r="E312" t="str">
        <f>"10398619532"</f>
        <v>10398619532</v>
      </c>
      <c r="F312" t="str">
        <f>"Docking Station"</f>
        <v>Docking Station</v>
      </c>
      <c r="G312" s="5">
        <v>126.66</v>
      </c>
      <c r="H312" t="str">
        <f>"D3100"</f>
        <v>D3100</v>
      </c>
    </row>
    <row r="313" spans="1:8" x14ac:dyDescent="0.25">
      <c r="E313" t="str">
        <f>""</f>
        <v/>
      </c>
      <c r="F313" t="str">
        <f>""</f>
        <v/>
      </c>
      <c r="H313" t="str">
        <f>"Premier Discount"</f>
        <v>Premier Discount</v>
      </c>
    </row>
    <row r="314" spans="1:8" x14ac:dyDescent="0.25">
      <c r="A314" t="s">
        <v>89</v>
      </c>
      <c r="B314">
        <v>2756</v>
      </c>
      <c r="C314" s="5">
        <v>1435</v>
      </c>
      <c r="D314" s="1">
        <v>44005</v>
      </c>
      <c r="E314" t="str">
        <f>"BATX016800"</f>
        <v>BATX016800</v>
      </c>
      <c r="F314" t="str">
        <f>"INV BATX016800"</f>
        <v>INV BATX016800</v>
      </c>
      <c r="G314" s="5">
        <v>1435</v>
      </c>
      <c r="H314" t="str">
        <f>"INV BATX016800"</f>
        <v>INV BATX016800</v>
      </c>
    </row>
    <row r="315" spans="1:8" x14ac:dyDescent="0.25">
      <c r="A315" t="s">
        <v>90</v>
      </c>
      <c r="B315">
        <v>132055</v>
      </c>
      <c r="C315" s="5">
        <v>18514.03</v>
      </c>
      <c r="D315" s="1">
        <v>43990</v>
      </c>
      <c r="E315" t="str">
        <f>"20041123N"</f>
        <v>20041123N</v>
      </c>
      <c r="F315" t="str">
        <f>"CUST CODE#PKE5000/ID#331331331"</f>
        <v>CUST CODE#PKE5000/ID#331331331</v>
      </c>
      <c r="G315" s="5">
        <v>18514.03</v>
      </c>
      <c r="H315" t="str">
        <f>"CUST CODE#PKE5000/ID#331331331"</f>
        <v>CUST CODE#PKE5000/ID#331331331</v>
      </c>
    </row>
    <row r="316" spans="1:8" x14ac:dyDescent="0.25">
      <c r="E316" t="str">
        <f>""</f>
        <v/>
      </c>
      <c r="F316" t="str">
        <f>""</f>
        <v/>
      </c>
      <c r="H316" t="str">
        <f>"CUST CODE#PKE5000/ID#331331331"</f>
        <v>CUST CODE#PKE5000/ID#331331331</v>
      </c>
    </row>
    <row r="317" spans="1:8" x14ac:dyDescent="0.25">
      <c r="A317" t="s">
        <v>91</v>
      </c>
      <c r="B317">
        <v>132056</v>
      </c>
      <c r="C317" s="5">
        <v>79.260000000000005</v>
      </c>
      <c r="D317" s="1">
        <v>43990</v>
      </c>
      <c r="E317" t="str">
        <f>"17202"</f>
        <v>17202</v>
      </c>
      <c r="F317" t="str">
        <f>"15052/FLAT BAR/PCT#3"</f>
        <v>15052/FLAT BAR/PCT#3</v>
      </c>
      <c r="G317" s="5">
        <v>79.260000000000005</v>
      </c>
      <c r="H317" t="str">
        <f>"15052/FLAT BAR/PCT#3"</f>
        <v>15052/FLAT BAR/PCT#3</v>
      </c>
    </row>
    <row r="318" spans="1:8" x14ac:dyDescent="0.25">
      <c r="A318" t="s">
        <v>92</v>
      </c>
      <c r="B318">
        <v>132297</v>
      </c>
      <c r="C318" s="5">
        <v>749.4</v>
      </c>
      <c r="D318" s="1">
        <v>44012</v>
      </c>
      <c r="E318" t="str">
        <f>"202006307471"</f>
        <v>202006307471</v>
      </c>
      <c r="F318" t="str">
        <f>"ACCT#405900029213 / 07012020"</f>
        <v>ACCT#405900029213 / 07012020</v>
      </c>
      <c r="G318" s="5">
        <v>374.7</v>
      </c>
      <c r="H318" t="str">
        <f>"ACCT#405900029213 / 07012020"</f>
        <v>ACCT#405900029213 / 07012020</v>
      </c>
    </row>
    <row r="319" spans="1:8" x14ac:dyDescent="0.25">
      <c r="E319" t="str">
        <f>"202006307472"</f>
        <v>202006307472</v>
      </c>
      <c r="F319" t="str">
        <f>"ACCT#405900029225 / 07012020"</f>
        <v>ACCT#405900029225 / 07012020</v>
      </c>
      <c r="G319" s="5">
        <v>187.35</v>
      </c>
      <c r="H319" t="str">
        <f>"ACCT#405900029225 / 07012020"</f>
        <v>ACCT#405900029225 / 07012020</v>
      </c>
    </row>
    <row r="320" spans="1:8" x14ac:dyDescent="0.25">
      <c r="E320" t="str">
        <f>"202006307473"</f>
        <v>202006307473</v>
      </c>
      <c r="F320" t="str">
        <f>"ACCT#405900028789 / 07012020"</f>
        <v>ACCT#405900028789 / 07012020</v>
      </c>
      <c r="G320" s="5">
        <v>187.35</v>
      </c>
      <c r="H320" t="str">
        <f>"ACCT#405900028789 / 07012020"</f>
        <v>ACCT#405900028789 / 07012020</v>
      </c>
    </row>
    <row r="321" spans="1:8" x14ac:dyDescent="0.25">
      <c r="A321" t="s">
        <v>93</v>
      </c>
      <c r="B321">
        <v>132188</v>
      </c>
      <c r="C321" s="5">
        <v>190.5</v>
      </c>
      <c r="D321" s="1">
        <v>44004</v>
      </c>
      <c r="E321" t="str">
        <f>"SMINV245158"</f>
        <v>SMINV245158</v>
      </c>
      <c r="F321" t="str">
        <f>"ORD#SMO279515"</f>
        <v>ORD#SMO279515</v>
      </c>
      <c r="G321" s="5">
        <v>190.5</v>
      </c>
      <c r="H321" t="str">
        <f>"ORD#SMO279515"</f>
        <v>ORD#SMO279515</v>
      </c>
    </row>
    <row r="322" spans="1:8" x14ac:dyDescent="0.25">
      <c r="A322" t="s">
        <v>94</v>
      </c>
      <c r="B322">
        <v>2684</v>
      </c>
      <c r="C322" s="5">
        <v>1943.99</v>
      </c>
      <c r="D322" s="1">
        <v>43991</v>
      </c>
      <c r="E322" t="str">
        <f>"29557B"</f>
        <v>29557B</v>
      </c>
      <c r="F322" t="str">
        <f>"INV 29557B"</f>
        <v>INV 29557B</v>
      </c>
      <c r="G322" s="5">
        <v>1943.99</v>
      </c>
      <c r="H322" t="str">
        <f>"INV 29557B"</f>
        <v>INV 29557B</v>
      </c>
    </row>
    <row r="323" spans="1:8" x14ac:dyDescent="0.25">
      <c r="A323" t="s">
        <v>94</v>
      </c>
      <c r="B323">
        <v>2745</v>
      </c>
      <c r="C323" s="5">
        <v>2290.5500000000002</v>
      </c>
      <c r="D323" s="1">
        <v>44005</v>
      </c>
      <c r="E323" t="str">
        <f>"29575B"</f>
        <v>29575B</v>
      </c>
      <c r="F323" t="str">
        <f>"INV 29575 B"</f>
        <v>INV 29575 B</v>
      </c>
      <c r="G323" s="5">
        <v>2290.5500000000002</v>
      </c>
      <c r="H323" t="str">
        <f>"INV 29575 B"</f>
        <v>INV 29575 B</v>
      </c>
    </row>
    <row r="324" spans="1:8" x14ac:dyDescent="0.25">
      <c r="A324" t="s">
        <v>95</v>
      </c>
      <c r="B324">
        <v>2712</v>
      </c>
      <c r="C324" s="5">
        <v>800</v>
      </c>
      <c r="D324" s="1">
        <v>43991</v>
      </c>
      <c r="E324" t="str">
        <f>"202005297030"</f>
        <v>202005297030</v>
      </c>
      <c r="F324" t="str">
        <f>"20-20236  1528-335"</f>
        <v>20-20236  1528-335</v>
      </c>
      <c r="G324" s="5">
        <v>200</v>
      </c>
      <c r="H324" t="str">
        <f>"20-20236  1528-335"</f>
        <v>20-20236  1528-335</v>
      </c>
    </row>
    <row r="325" spans="1:8" x14ac:dyDescent="0.25">
      <c r="E325" t="str">
        <f>"202006027066"</f>
        <v>202006027066</v>
      </c>
      <c r="F325" t="str">
        <f>"20-20236"</f>
        <v>20-20236</v>
      </c>
      <c r="G325" s="5">
        <v>100</v>
      </c>
      <c r="H325" t="str">
        <f>"20-20236"</f>
        <v>20-20236</v>
      </c>
    </row>
    <row r="326" spans="1:8" x14ac:dyDescent="0.25">
      <c r="E326" t="str">
        <f>"202006027069"</f>
        <v>202006027069</v>
      </c>
      <c r="F326" t="str">
        <f>"20-20208"</f>
        <v>20-20208</v>
      </c>
      <c r="G326" s="5">
        <v>250</v>
      </c>
      <c r="H326" t="str">
        <f>"20-20208"</f>
        <v>20-20208</v>
      </c>
    </row>
    <row r="327" spans="1:8" x14ac:dyDescent="0.25">
      <c r="E327" t="str">
        <f>"202006027078"</f>
        <v>202006027078</v>
      </c>
      <c r="F327" t="str">
        <f>"57293"</f>
        <v>57293</v>
      </c>
      <c r="G327" s="5">
        <v>250</v>
      </c>
      <c r="H327" t="str">
        <f>"57293"</f>
        <v>57293</v>
      </c>
    </row>
    <row r="328" spans="1:8" x14ac:dyDescent="0.25">
      <c r="A328" t="s">
        <v>95</v>
      </c>
      <c r="B328">
        <v>2780</v>
      </c>
      <c r="C328" s="5">
        <v>6100</v>
      </c>
      <c r="D328" s="1">
        <v>44005</v>
      </c>
      <c r="E328" t="str">
        <f>"202006097206"</f>
        <v>202006097206</v>
      </c>
      <c r="F328" t="str">
        <f>"JP106032019A"</f>
        <v>JP106032019A</v>
      </c>
      <c r="G328" s="5">
        <v>400</v>
      </c>
      <c r="H328" t="str">
        <f>"JP106032019A"</f>
        <v>JP106032019A</v>
      </c>
    </row>
    <row r="329" spans="1:8" x14ac:dyDescent="0.25">
      <c r="E329" t="str">
        <f>"202006097207"</f>
        <v>202006097207</v>
      </c>
      <c r="F329" t="str">
        <f>"16357  JP1103032020R"</f>
        <v>16357  JP1103032020R</v>
      </c>
      <c r="G329" s="5">
        <v>600</v>
      </c>
      <c r="H329" t="str">
        <f>"16357  JP1103032020R"</f>
        <v>16357  JP1103032020R</v>
      </c>
    </row>
    <row r="330" spans="1:8" x14ac:dyDescent="0.25">
      <c r="E330" t="str">
        <f>"202006097208"</f>
        <v>202006097208</v>
      </c>
      <c r="F330" t="str">
        <f>"16689"</f>
        <v>16689</v>
      </c>
      <c r="G330" s="5">
        <v>400</v>
      </c>
      <c r="H330" t="str">
        <f>"16689"</f>
        <v>16689</v>
      </c>
    </row>
    <row r="331" spans="1:8" x14ac:dyDescent="0.25">
      <c r="E331" t="str">
        <f>"202006097209"</f>
        <v>202006097209</v>
      </c>
      <c r="F331" t="str">
        <f>"16697  JP102032020H"</f>
        <v>16697  JP102032020H</v>
      </c>
      <c r="G331" s="5">
        <v>600</v>
      </c>
      <c r="H331" t="str">
        <f>"16697  JP102032020H"</f>
        <v>16697  JP102032020H</v>
      </c>
    </row>
    <row r="332" spans="1:8" x14ac:dyDescent="0.25">
      <c r="E332" t="str">
        <f>"202006097218"</f>
        <v>202006097218</v>
      </c>
      <c r="F332" t="str">
        <f>"17123"</f>
        <v>17123</v>
      </c>
      <c r="G332" s="5">
        <v>1000</v>
      </c>
      <c r="H332" t="str">
        <f>"17123"</f>
        <v>17123</v>
      </c>
    </row>
    <row r="333" spans="1:8" x14ac:dyDescent="0.25">
      <c r="E333" t="str">
        <f>"202006107246"</f>
        <v>202006107246</v>
      </c>
      <c r="F333" t="str">
        <f>"JP103032020"</f>
        <v>JP103032020</v>
      </c>
      <c r="G333" s="5">
        <v>250</v>
      </c>
      <c r="H333" t="str">
        <f>"JP103032020"</f>
        <v>JP103032020</v>
      </c>
    </row>
    <row r="334" spans="1:8" x14ac:dyDescent="0.25">
      <c r="E334" t="str">
        <f>"202006107247"</f>
        <v>202006107247</v>
      </c>
      <c r="F334" t="str">
        <f>"02-0221-1"</f>
        <v>02-0221-1</v>
      </c>
      <c r="G334" s="5">
        <v>250</v>
      </c>
      <c r="H334" t="str">
        <f>"02-0221-1"</f>
        <v>02-0221-1</v>
      </c>
    </row>
    <row r="335" spans="1:8" x14ac:dyDescent="0.25">
      <c r="E335" t="str">
        <f>"202006107248"</f>
        <v>202006107248</v>
      </c>
      <c r="F335" t="str">
        <f>"407088-1  407088-2"</f>
        <v>407088-1  407088-2</v>
      </c>
      <c r="G335" s="5">
        <v>375</v>
      </c>
      <c r="H335" t="str">
        <f>"407088-1  407088-2"</f>
        <v>407088-1  407088-2</v>
      </c>
    </row>
    <row r="336" spans="1:8" x14ac:dyDescent="0.25">
      <c r="E336" t="str">
        <f>"202006107282"</f>
        <v>202006107282</v>
      </c>
      <c r="F336" t="str">
        <f>"15433"</f>
        <v>15433</v>
      </c>
      <c r="G336" s="5">
        <v>800</v>
      </c>
      <c r="H336" t="str">
        <f>"15433"</f>
        <v>15433</v>
      </c>
    </row>
    <row r="337" spans="1:8" x14ac:dyDescent="0.25">
      <c r="E337" t="str">
        <f>"202006107283"</f>
        <v>202006107283</v>
      </c>
      <c r="F337" t="str">
        <f>"17002"</f>
        <v>17002</v>
      </c>
      <c r="G337" s="5">
        <v>400</v>
      </c>
      <c r="H337" t="str">
        <f>"17002"</f>
        <v>17002</v>
      </c>
    </row>
    <row r="338" spans="1:8" x14ac:dyDescent="0.25">
      <c r="E338" t="str">
        <f>"202006107284"</f>
        <v>202006107284</v>
      </c>
      <c r="F338" t="str">
        <f>"17053"</f>
        <v>17053</v>
      </c>
      <c r="G338" s="5">
        <v>400</v>
      </c>
      <c r="H338" t="str">
        <f>"17053"</f>
        <v>17053</v>
      </c>
    </row>
    <row r="339" spans="1:8" x14ac:dyDescent="0.25">
      <c r="E339" t="str">
        <f>"202006117290"</f>
        <v>202006117290</v>
      </c>
      <c r="F339" t="str">
        <f>"57354  DCPC19145"</f>
        <v>57354  DCPC19145</v>
      </c>
      <c r="G339" s="5">
        <v>375</v>
      </c>
      <c r="H339" t="str">
        <f>"57354  DCPC19145"</f>
        <v>57354  DCPC19145</v>
      </c>
    </row>
    <row r="340" spans="1:8" x14ac:dyDescent="0.25">
      <c r="E340" t="str">
        <f>"202006117291"</f>
        <v>202006117291</v>
      </c>
      <c r="F340" t="str">
        <f>"BC-2020013A"</f>
        <v>BC-2020013A</v>
      </c>
      <c r="G340" s="5">
        <v>250</v>
      </c>
      <c r="H340" t="str">
        <f>"BC-2020013A"</f>
        <v>BC-2020013A</v>
      </c>
    </row>
    <row r="341" spans="1:8" x14ac:dyDescent="0.25">
      <c r="A341" t="s">
        <v>96</v>
      </c>
      <c r="B341">
        <v>132189</v>
      </c>
      <c r="C341" s="5">
        <v>2420</v>
      </c>
      <c r="D341" s="1">
        <v>44004</v>
      </c>
      <c r="E341" t="str">
        <f>"011"</f>
        <v>011</v>
      </c>
      <c r="F341" t="str">
        <f>"11 LDS COMMERCIAL BASE/PCT#3"</f>
        <v>11 LDS COMMERCIAL BASE/PCT#3</v>
      </c>
      <c r="G341" s="5">
        <v>2420</v>
      </c>
      <c r="H341" t="str">
        <f>"11 LDS COMMERCIAL BASE/PCT#3"</f>
        <v>11 LDS COMMERCIAL BASE/PCT#3</v>
      </c>
    </row>
    <row r="342" spans="1:8" x14ac:dyDescent="0.25">
      <c r="A342" t="s">
        <v>97</v>
      </c>
      <c r="B342">
        <v>132190</v>
      </c>
      <c r="C342" s="5">
        <v>472.5</v>
      </c>
      <c r="D342" s="1">
        <v>44004</v>
      </c>
      <c r="E342" t="str">
        <f>"2789"</f>
        <v>2789</v>
      </c>
      <c r="F342" t="str">
        <f>"BALL FLOAT/LABOR/PCT#4"</f>
        <v>BALL FLOAT/LABOR/PCT#4</v>
      </c>
      <c r="G342" s="5">
        <v>472.5</v>
      </c>
      <c r="H342" t="str">
        <f>"BALL FLOAT/LABOR/PCT#4"</f>
        <v>BALL FLOAT/LABOR/PCT#4</v>
      </c>
    </row>
    <row r="343" spans="1:8" x14ac:dyDescent="0.25">
      <c r="A343" t="s">
        <v>98</v>
      </c>
      <c r="B343">
        <v>2695</v>
      </c>
      <c r="C343" s="5">
        <v>1091.1199999999999</v>
      </c>
      <c r="D343" s="1">
        <v>43991</v>
      </c>
      <c r="E343" t="str">
        <f>"6255658123  625569"</f>
        <v>6255658123  625569</v>
      </c>
      <c r="F343" t="str">
        <f>"INV 6255658123"</f>
        <v>INV 6255658123</v>
      </c>
      <c r="G343" s="5">
        <v>1091.1199999999999</v>
      </c>
      <c r="H343" t="str">
        <f>"INV 6255658123"</f>
        <v>INV 6255658123</v>
      </c>
    </row>
    <row r="344" spans="1:8" x14ac:dyDescent="0.25">
      <c r="E344" t="str">
        <f>""</f>
        <v/>
      </c>
      <c r="F344" t="str">
        <f>""</f>
        <v/>
      </c>
      <c r="H344" t="str">
        <f>"INV 6255693511"</f>
        <v>INV 6255693511</v>
      </c>
    </row>
    <row r="345" spans="1:8" x14ac:dyDescent="0.25">
      <c r="A345" t="s">
        <v>98</v>
      </c>
      <c r="B345">
        <v>2757</v>
      </c>
      <c r="C345" s="5">
        <v>891.62</v>
      </c>
      <c r="D345" s="1">
        <v>44005</v>
      </c>
      <c r="E345" t="str">
        <f>"6255771951"</f>
        <v>6255771951</v>
      </c>
      <c r="F345" t="str">
        <f>"INV 6255771951"</f>
        <v>INV 6255771951</v>
      </c>
      <c r="G345" s="5">
        <v>891.62</v>
      </c>
      <c r="H345" t="str">
        <f>"INV 6255771951"</f>
        <v>INV 6255771951</v>
      </c>
    </row>
    <row r="346" spans="1:8" x14ac:dyDescent="0.25">
      <c r="A346" t="s">
        <v>99</v>
      </c>
      <c r="B346">
        <v>2694</v>
      </c>
      <c r="C346" s="5">
        <v>291</v>
      </c>
      <c r="D346" s="1">
        <v>43991</v>
      </c>
      <c r="E346" t="str">
        <f>"52421-23206 23205"</f>
        <v>52421-23206 23205</v>
      </c>
      <c r="F346" t="str">
        <f>"BLACKLANDS PUBLICATIONS INC"</f>
        <v>BLACKLANDS PUBLICATIONS INC</v>
      </c>
      <c r="G346" s="5">
        <v>250</v>
      </c>
      <c r="H346" t="str">
        <f>"Public Notice"</f>
        <v>Public Notice</v>
      </c>
    </row>
    <row r="347" spans="1:8" x14ac:dyDescent="0.25">
      <c r="E347" t="str">
        <f>"52421-23485"</f>
        <v>52421-23485</v>
      </c>
      <c r="F347" t="str">
        <f>"INV# 52421-23485"</f>
        <v>INV# 52421-23485</v>
      </c>
      <c r="G347" s="5">
        <v>41</v>
      </c>
      <c r="H347" t="str">
        <f>"INV# 52421-23485"</f>
        <v>INV# 52421-23485</v>
      </c>
    </row>
    <row r="348" spans="1:8" x14ac:dyDescent="0.25">
      <c r="A348" t="s">
        <v>100</v>
      </c>
      <c r="B348">
        <v>132019</v>
      </c>
      <c r="C348" s="5">
        <v>1104.22</v>
      </c>
      <c r="D348" s="1">
        <v>43985</v>
      </c>
      <c r="E348" t="str">
        <f>"202006037130"</f>
        <v>202006037130</v>
      </c>
      <c r="F348" t="str">
        <f>"ACCT#007-0008410-002/05312020"</f>
        <v>ACCT#007-0008410-002/05312020</v>
      </c>
      <c r="G348" s="5">
        <v>227.32</v>
      </c>
      <c r="H348" t="str">
        <f>"ACCT#007-0008410-002/05312020"</f>
        <v>ACCT#007-0008410-002/05312020</v>
      </c>
    </row>
    <row r="349" spans="1:8" x14ac:dyDescent="0.25">
      <c r="E349" t="str">
        <f>"202006037131"</f>
        <v>202006037131</v>
      </c>
      <c r="F349" t="str">
        <f>"ACCT#007-0011501-000/05312020"</f>
        <v>ACCT#007-0011501-000/05312020</v>
      </c>
      <c r="G349" s="5">
        <v>124.84</v>
      </c>
      <c r="H349" t="str">
        <f>"ACCT#007-0011501-000/05312020"</f>
        <v>ACCT#007-0011501-000/05312020</v>
      </c>
    </row>
    <row r="350" spans="1:8" x14ac:dyDescent="0.25">
      <c r="E350" t="str">
        <f>"202006037132"</f>
        <v>202006037132</v>
      </c>
      <c r="F350" t="str">
        <f>"ACCT#007-0011510-000/05312020"</f>
        <v>ACCT#007-0011510-000/05312020</v>
      </c>
      <c r="G350" s="5">
        <v>240.58</v>
      </c>
      <c r="H350" t="str">
        <f>"ACCT#007-0011510-000/05312020"</f>
        <v>ACCT#007-0011510-000/05312020</v>
      </c>
    </row>
    <row r="351" spans="1:8" x14ac:dyDescent="0.25">
      <c r="E351" t="str">
        <f>"202006037133"</f>
        <v>202006037133</v>
      </c>
      <c r="F351" t="str">
        <f>"ACCT#007-0011530-000/05312020"</f>
        <v>ACCT#007-0011530-000/05312020</v>
      </c>
      <c r="G351" s="5">
        <v>98.12</v>
      </c>
      <c r="H351" t="str">
        <f>"ACCT#007-0011530-000/05312020"</f>
        <v>ACCT#007-0011530-000/05312020</v>
      </c>
    </row>
    <row r="352" spans="1:8" x14ac:dyDescent="0.25">
      <c r="E352" t="str">
        <f>"202006037134"</f>
        <v>202006037134</v>
      </c>
      <c r="F352" t="str">
        <f>"ACCT#007-0011534-001/05312020"</f>
        <v>ACCT#007-0011534-001/05312020</v>
      </c>
      <c r="G352" s="5">
        <v>169.3</v>
      </c>
      <c r="H352" t="str">
        <f>"ACCT#007-0011534-001/05312020"</f>
        <v>ACCT#007-0011534-001/05312020</v>
      </c>
    </row>
    <row r="353" spans="1:8" x14ac:dyDescent="0.25">
      <c r="E353" t="str">
        <f>"202006037135"</f>
        <v>202006037135</v>
      </c>
      <c r="F353" t="str">
        <f>"ACCT#007-0011535-000/05312020"</f>
        <v>ACCT#007-0011535-000/05312020</v>
      </c>
      <c r="G353" s="5">
        <v>112.62</v>
      </c>
      <c r="H353" t="str">
        <f>"ACCT#007-0011535-000/05312020"</f>
        <v>ACCT#007-0011535-000/05312020</v>
      </c>
    </row>
    <row r="354" spans="1:8" x14ac:dyDescent="0.25">
      <c r="E354" t="str">
        <f>"202006037136"</f>
        <v>202006037136</v>
      </c>
      <c r="F354" t="str">
        <f>"ACCT#007-0011544-001/05312020"</f>
        <v>ACCT#007-0011544-001/05312020</v>
      </c>
      <c r="G354" s="5">
        <v>131.44</v>
      </c>
      <c r="H354" t="str">
        <f>"ACCT#007-0011544-001/05312020"</f>
        <v>ACCT#007-0011544-001/05312020</v>
      </c>
    </row>
    <row r="355" spans="1:8" x14ac:dyDescent="0.25">
      <c r="A355" t="s">
        <v>101</v>
      </c>
      <c r="B355">
        <v>132057</v>
      </c>
      <c r="C355" s="5">
        <v>311.04000000000002</v>
      </c>
      <c r="D355" s="1">
        <v>43990</v>
      </c>
      <c r="E355" t="str">
        <f>"145-38450-01"</f>
        <v>145-38450-01</v>
      </c>
      <c r="F355" t="str">
        <f>"INV 145-38450-01"</f>
        <v>INV 145-38450-01</v>
      </c>
      <c r="G355" s="5">
        <v>311.04000000000002</v>
      </c>
      <c r="H355" t="str">
        <f>"INV 145-38450-01"</f>
        <v>INV 145-38450-01</v>
      </c>
    </row>
    <row r="356" spans="1:8" x14ac:dyDescent="0.25">
      <c r="A356" t="s">
        <v>101</v>
      </c>
      <c r="B356">
        <v>132191</v>
      </c>
      <c r="C356" s="5">
        <v>819.88</v>
      </c>
      <c r="D356" s="1">
        <v>44004</v>
      </c>
      <c r="E356" t="str">
        <f>"145-37273-01"</f>
        <v>145-37273-01</v>
      </c>
      <c r="F356" t="str">
        <f>"INV 145-37273-01"</f>
        <v>INV 145-37273-01</v>
      </c>
      <c r="G356" s="5">
        <v>700</v>
      </c>
      <c r="H356" t="str">
        <f>"INV 145-37273-01"</f>
        <v>INV 145-37273-01</v>
      </c>
    </row>
    <row r="357" spans="1:8" x14ac:dyDescent="0.25">
      <c r="E357" t="str">
        <f>"145-39016-01"</f>
        <v>145-39016-01</v>
      </c>
      <c r="F357" t="str">
        <f>"CUST#0888336/MFB LIGHTS"</f>
        <v>CUST#0888336/MFB LIGHTS</v>
      </c>
      <c r="G357" s="5">
        <v>119.88</v>
      </c>
      <c r="H357" t="str">
        <f>"CUST#0888336/MFB LIGHTS"</f>
        <v>CUST#0888336/MFB LIGHTS</v>
      </c>
    </row>
    <row r="358" spans="1:8" x14ac:dyDescent="0.25">
      <c r="A358" t="s">
        <v>102</v>
      </c>
      <c r="B358">
        <v>132192</v>
      </c>
      <c r="C358" s="5">
        <v>48541.4</v>
      </c>
      <c r="D358" s="1">
        <v>44004</v>
      </c>
      <c r="E358" t="str">
        <f>"9402261535"</f>
        <v>9402261535</v>
      </c>
      <c r="F358" t="str">
        <f>"ACCT#912923/BOL#26715/PCT#4"</f>
        <v>ACCT#912923/BOL#26715/PCT#4</v>
      </c>
      <c r="G358" s="5">
        <v>5679.36</v>
      </c>
      <c r="H358" t="str">
        <f>"ACCT#912923/BOL#26715/PCT#4"</f>
        <v>ACCT#912923/BOL#26715/PCT#4</v>
      </c>
    </row>
    <row r="359" spans="1:8" x14ac:dyDescent="0.25">
      <c r="E359" t="str">
        <f>"9402264488"</f>
        <v>9402264488</v>
      </c>
      <c r="F359" t="str">
        <f>"ACCT#912922/BOL#26731/PCT#1"</f>
        <v>ACCT#912922/BOL#26731/PCT#1</v>
      </c>
      <c r="G359" s="5">
        <v>12180</v>
      </c>
      <c r="H359" t="str">
        <f>"ACCT#912922/BOL#26731/PCT#1"</f>
        <v>ACCT#912922/BOL#26731/PCT#1</v>
      </c>
    </row>
    <row r="360" spans="1:8" x14ac:dyDescent="0.25">
      <c r="E360" t="str">
        <f>"9402264647"</f>
        <v>9402264647</v>
      </c>
      <c r="F360" t="str">
        <f>"ACCT#912922/BOL#26738/PCT#1"</f>
        <v>ACCT#912922/BOL#26738/PCT#1</v>
      </c>
      <c r="G360" s="5">
        <v>3950</v>
      </c>
      <c r="H360" t="str">
        <f>"ACCT#912922/BOL#26738/PCT#1"</f>
        <v>ACCT#912922/BOL#26738/PCT#1</v>
      </c>
    </row>
    <row r="361" spans="1:8" x14ac:dyDescent="0.25">
      <c r="E361" t="str">
        <f>"9402265508"</f>
        <v>9402265508</v>
      </c>
      <c r="F361" t="str">
        <f>"ACCT#912922/BOL#26742/PCT#1"</f>
        <v>ACCT#912922/BOL#26742/PCT#1</v>
      </c>
      <c r="G361" s="5">
        <v>13942.74</v>
      </c>
      <c r="H361" t="str">
        <f>"ACCT#912922/BOL#26742/PCT#1"</f>
        <v>ACCT#912922/BOL#26742/PCT#1</v>
      </c>
    </row>
    <row r="362" spans="1:8" x14ac:dyDescent="0.25">
      <c r="E362" t="str">
        <f>"9402269290"</f>
        <v>9402269290</v>
      </c>
      <c r="F362" t="str">
        <f>"ACCT#912923/BOL#26779/P4"</f>
        <v>ACCT#912923/BOL#26779/P4</v>
      </c>
      <c r="G362" s="5">
        <v>12789.3</v>
      </c>
      <c r="H362" t="str">
        <f>"ACCT#912923/BOL#26779/P4"</f>
        <v>ACCT#912923/BOL#26779/P4</v>
      </c>
    </row>
    <row r="363" spans="1:8" x14ac:dyDescent="0.25">
      <c r="A363" t="s">
        <v>103</v>
      </c>
      <c r="B363">
        <v>2773</v>
      </c>
      <c r="C363" s="5">
        <v>173.53</v>
      </c>
      <c r="D363" s="1">
        <v>44005</v>
      </c>
      <c r="E363" t="str">
        <f>"3427573"</f>
        <v>3427573</v>
      </c>
      <c r="F363" t="str">
        <f>"ACCT#00405/PARTS COUNTER/P2"</f>
        <v>ACCT#00405/PARTS COUNTER/P2</v>
      </c>
      <c r="G363" s="5">
        <v>173.53</v>
      </c>
      <c r="H363" t="str">
        <f>"ACCT#00405/PARTS COUNTER/P2"</f>
        <v>ACCT#00405/PARTS COUNTER/P2</v>
      </c>
    </row>
    <row r="364" spans="1:8" x14ac:dyDescent="0.25">
      <c r="A364" t="s">
        <v>104</v>
      </c>
      <c r="B364">
        <v>132193</v>
      </c>
      <c r="C364" s="5">
        <v>33.270000000000003</v>
      </c>
      <c r="D364" s="1">
        <v>44004</v>
      </c>
      <c r="E364" t="str">
        <f>"202006167344"</f>
        <v>202006167344</v>
      </c>
      <c r="F364" t="str">
        <f>"INDIGENT HEALTH"</f>
        <v>INDIGENT HEALTH</v>
      </c>
      <c r="G364" s="5">
        <v>33.270000000000003</v>
      </c>
      <c r="H364" t="str">
        <f>"INDIGENT HEALTH"</f>
        <v>INDIGENT HEALTH</v>
      </c>
    </row>
    <row r="365" spans="1:8" x14ac:dyDescent="0.25">
      <c r="A365" t="s">
        <v>105</v>
      </c>
      <c r="B365">
        <v>132194</v>
      </c>
      <c r="C365" s="5">
        <v>75</v>
      </c>
      <c r="D365" s="1">
        <v>44004</v>
      </c>
      <c r="E365" t="str">
        <f>"1172"</f>
        <v>1172</v>
      </c>
      <c r="F365" t="str">
        <f>"NON-PROFIT PARTNER-1 YR MEMBER"</f>
        <v>NON-PROFIT PARTNER-1 YR MEMBER</v>
      </c>
      <c r="G365" s="5">
        <v>75</v>
      </c>
      <c r="H365" t="str">
        <f>"NON-PROFIT PARTNER-1 YR MEMBER"</f>
        <v>NON-PROFIT PARTNER-1 YR MEMBER</v>
      </c>
    </row>
    <row r="366" spans="1:8" x14ac:dyDescent="0.25">
      <c r="A366" t="s">
        <v>106</v>
      </c>
      <c r="B366">
        <v>132058</v>
      </c>
      <c r="C366" s="5">
        <v>236.37</v>
      </c>
      <c r="D366" s="1">
        <v>43990</v>
      </c>
      <c r="E366" t="str">
        <f>"202006027099"</f>
        <v>202006027099</v>
      </c>
      <c r="F366" t="str">
        <f>"INV 7-017-67392"</f>
        <v>INV 7-017-67392</v>
      </c>
      <c r="G366" s="5">
        <v>236.37</v>
      </c>
      <c r="H366" t="str">
        <f>"ID 770241710549"</f>
        <v>ID 770241710549</v>
      </c>
    </row>
    <row r="367" spans="1:8" x14ac:dyDescent="0.25">
      <c r="E367" t="str">
        <f>""</f>
        <v/>
      </c>
      <c r="F367" t="str">
        <f>""</f>
        <v/>
      </c>
      <c r="H367" t="str">
        <f>"ID 770328447885"</f>
        <v>ID 770328447885</v>
      </c>
    </row>
    <row r="368" spans="1:8" x14ac:dyDescent="0.25">
      <c r="E368" t="str">
        <f>""</f>
        <v/>
      </c>
      <c r="F368" t="str">
        <f>""</f>
        <v/>
      </c>
      <c r="H368" t="str">
        <f>"ID 770369587219"</f>
        <v>ID 770369587219</v>
      </c>
    </row>
    <row r="369" spans="1:8" x14ac:dyDescent="0.25">
      <c r="E369" t="str">
        <f>""</f>
        <v/>
      </c>
      <c r="F369" t="str">
        <f>""</f>
        <v/>
      </c>
      <c r="H369" t="str">
        <f>"ID 770399840667"</f>
        <v>ID 770399840667</v>
      </c>
    </row>
    <row r="370" spans="1:8" x14ac:dyDescent="0.25">
      <c r="E370" t="str">
        <f>""</f>
        <v/>
      </c>
      <c r="F370" t="str">
        <f>""</f>
        <v/>
      </c>
      <c r="H370" t="str">
        <f>"ID 770443408755"</f>
        <v>ID 770443408755</v>
      </c>
    </row>
    <row r="371" spans="1:8" x14ac:dyDescent="0.25">
      <c r="A371" t="s">
        <v>106</v>
      </c>
      <c r="B371">
        <v>132195</v>
      </c>
      <c r="C371" s="5">
        <v>65.94</v>
      </c>
      <c r="D371" s="1">
        <v>44004</v>
      </c>
      <c r="E371" t="str">
        <f>"7-029-29272"</f>
        <v>7-029-29272</v>
      </c>
      <c r="F371" t="str">
        <f>"ACCT#4702-9210-5/AUDITOR"</f>
        <v>ACCT#4702-9210-5/AUDITOR</v>
      </c>
      <c r="G371" s="5">
        <v>65.94</v>
      </c>
      <c r="H371" t="str">
        <f>"ACCT#4702-9210-5/AUDITOR"</f>
        <v>ACCT#4702-9210-5/AUDITOR</v>
      </c>
    </row>
    <row r="372" spans="1:8" x14ac:dyDescent="0.25">
      <c r="A372" t="s">
        <v>107</v>
      </c>
      <c r="B372">
        <v>132196</v>
      </c>
      <c r="C372" s="5">
        <v>50</v>
      </c>
      <c r="D372" s="1">
        <v>44004</v>
      </c>
      <c r="E372" t="s">
        <v>108</v>
      </c>
      <c r="F372" t="str">
        <f>"RESTITUTION - D. CORKILL"</f>
        <v>RESTITUTION - D. CORKILL</v>
      </c>
      <c r="G372" s="5">
        <v>50</v>
      </c>
      <c r="H372" t="str">
        <f>"RESTITUTION - D. CORKILL"</f>
        <v>RESTITUTION - D. CORKILL</v>
      </c>
    </row>
    <row r="373" spans="1:8" x14ac:dyDescent="0.25">
      <c r="A373" t="s">
        <v>109</v>
      </c>
      <c r="B373">
        <v>2758</v>
      </c>
      <c r="C373" s="5">
        <v>500</v>
      </c>
      <c r="D373" s="1">
        <v>44005</v>
      </c>
      <c r="E373" t="str">
        <f>"202006117292"</f>
        <v>202006117292</v>
      </c>
      <c r="F373" t="str">
        <f>"57 345"</f>
        <v>57 345</v>
      </c>
      <c r="G373" s="5">
        <v>250</v>
      </c>
      <c r="H373" t="str">
        <f>"57 345"</f>
        <v>57 345</v>
      </c>
    </row>
    <row r="374" spans="1:8" x14ac:dyDescent="0.25">
      <c r="E374" t="str">
        <f>"202006117293"</f>
        <v>202006117293</v>
      </c>
      <c r="F374" t="str">
        <f>"57 298"</f>
        <v>57 298</v>
      </c>
      <c r="G374" s="5">
        <v>250</v>
      </c>
      <c r="H374" t="str">
        <f>"57 298"</f>
        <v>57 298</v>
      </c>
    </row>
    <row r="375" spans="1:8" x14ac:dyDescent="0.25">
      <c r="A375" t="s">
        <v>110</v>
      </c>
      <c r="B375">
        <v>2691</v>
      </c>
      <c r="C375" s="5">
        <v>96228.04</v>
      </c>
      <c r="D375" s="1">
        <v>43991</v>
      </c>
      <c r="E375" t="str">
        <f>"202006027104"</f>
        <v>202006027104</v>
      </c>
      <c r="F375" t="str">
        <f>"AUSTIN TRUCK AND EQUIPMENT  LT"</f>
        <v>AUSTIN TRUCK AND EQUIPMENT  LT</v>
      </c>
      <c r="G375" s="5">
        <v>96089</v>
      </c>
      <c r="H375" t="str">
        <f>"Freightliner"</f>
        <v>Freightliner</v>
      </c>
    </row>
    <row r="376" spans="1:8" x14ac:dyDescent="0.25">
      <c r="E376" t="str">
        <f>""</f>
        <v/>
      </c>
      <c r="F376" t="str">
        <f>""</f>
        <v/>
      </c>
      <c r="H376" t="str">
        <f>"Buyboard Fee"</f>
        <v>Buyboard Fee</v>
      </c>
    </row>
    <row r="377" spans="1:8" x14ac:dyDescent="0.25">
      <c r="E377" t="str">
        <f>"41687AP"</f>
        <v>41687AP</v>
      </c>
      <c r="F377" t="str">
        <f>"ACCT#3324/PCT#3"</f>
        <v>ACCT#3324/PCT#3</v>
      </c>
      <c r="G377" s="5">
        <v>139.04</v>
      </c>
      <c r="H377" t="str">
        <f>"ACCT#3324/PCT#3"</f>
        <v>ACCT#3324/PCT#3</v>
      </c>
    </row>
    <row r="378" spans="1:8" x14ac:dyDescent="0.25">
      <c r="A378" t="s">
        <v>110</v>
      </c>
      <c r="B378">
        <v>2752</v>
      </c>
      <c r="C378" s="5">
        <v>839.04</v>
      </c>
      <c r="D378" s="1">
        <v>44005</v>
      </c>
      <c r="E378" t="str">
        <f>"42173AP"</f>
        <v>42173AP</v>
      </c>
      <c r="F378" t="str">
        <f>"ACCT#3326/PCT#4"</f>
        <v>ACCT#3326/PCT#4</v>
      </c>
      <c r="G378" s="5">
        <v>511.8</v>
      </c>
      <c r="H378" t="str">
        <f>"ACCT#3326/PCT#4"</f>
        <v>ACCT#3326/PCT#4</v>
      </c>
    </row>
    <row r="379" spans="1:8" x14ac:dyDescent="0.25">
      <c r="E379" t="str">
        <f>"42205AP"</f>
        <v>42205AP</v>
      </c>
      <c r="F379" t="str">
        <f>"ACCT#3326/PCT#4"</f>
        <v>ACCT#3326/PCT#4</v>
      </c>
      <c r="G379" s="5">
        <v>292.89999999999998</v>
      </c>
      <c r="H379" t="str">
        <f>"ACCT#3326/PCT#4"</f>
        <v>ACCT#3326/PCT#4</v>
      </c>
    </row>
    <row r="380" spans="1:8" x14ac:dyDescent="0.25">
      <c r="E380" t="str">
        <f>"42208AP"</f>
        <v>42208AP</v>
      </c>
      <c r="F380" t="str">
        <f>"ACCT#3326/PCT#4"</f>
        <v>ACCT#3326/PCT#4</v>
      </c>
      <c r="G380" s="5">
        <v>34.340000000000003</v>
      </c>
      <c r="H380" t="str">
        <f>"ACCT#3326/PCT#4"</f>
        <v>ACCT#3326/PCT#4</v>
      </c>
    </row>
    <row r="381" spans="1:8" x14ac:dyDescent="0.25">
      <c r="A381" t="s">
        <v>111</v>
      </c>
      <c r="B381">
        <v>2696</v>
      </c>
      <c r="C381" s="5">
        <v>30.72</v>
      </c>
      <c r="D381" s="1">
        <v>43991</v>
      </c>
      <c r="E381" t="str">
        <f>"111747"</f>
        <v>111747</v>
      </c>
      <c r="F381" t="str">
        <f>"BUSINESS CARDS-DORA SANCHEZ"</f>
        <v>BUSINESS CARDS-DORA SANCHEZ</v>
      </c>
      <c r="G381" s="5">
        <v>30.72</v>
      </c>
      <c r="H381" t="str">
        <f>"BUSINESS CARDS-DORA SANCHEZ"</f>
        <v>BUSINESS CARDS-DORA SANCHEZ</v>
      </c>
    </row>
    <row r="382" spans="1:8" x14ac:dyDescent="0.25">
      <c r="A382" t="s">
        <v>112</v>
      </c>
      <c r="B382">
        <v>132059</v>
      </c>
      <c r="C382" s="5">
        <v>192.7</v>
      </c>
      <c r="D382" s="1">
        <v>43990</v>
      </c>
      <c r="E382" t="str">
        <f>"015709188"</f>
        <v>015709188</v>
      </c>
      <c r="F382" t="str">
        <f>"INV 015709188"</f>
        <v>INV 015709188</v>
      </c>
      <c r="G382" s="5">
        <v>12</v>
      </c>
      <c r="H382" t="str">
        <f>"INV 015709188"</f>
        <v>INV 015709188</v>
      </c>
    </row>
    <row r="383" spans="1:8" x14ac:dyDescent="0.25">
      <c r="E383" t="str">
        <f>"015731046"</f>
        <v>015731046</v>
      </c>
      <c r="F383" t="str">
        <f>"INV 015731046"</f>
        <v>INV 015731046</v>
      </c>
      <c r="G383" s="5">
        <v>180.7</v>
      </c>
      <c r="H383" t="str">
        <f>"INV 015731046"</f>
        <v>INV 015731046</v>
      </c>
    </row>
    <row r="384" spans="1:8" x14ac:dyDescent="0.25">
      <c r="A384" t="s">
        <v>112</v>
      </c>
      <c r="B384">
        <v>132197</v>
      </c>
      <c r="C384" s="5">
        <v>340</v>
      </c>
      <c r="D384" s="1">
        <v>44004</v>
      </c>
      <c r="E384" t="str">
        <f>"015837740"</f>
        <v>015837740</v>
      </c>
      <c r="F384" t="str">
        <f>"INV 015837740"</f>
        <v>INV 015837740</v>
      </c>
      <c r="G384" s="5">
        <v>340</v>
      </c>
      <c r="H384" t="str">
        <f>"INV 015837740"</f>
        <v>INV 015837740</v>
      </c>
    </row>
    <row r="385" spans="1:8" x14ac:dyDescent="0.25">
      <c r="A385" t="s">
        <v>113</v>
      </c>
      <c r="B385">
        <v>132060</v>
      </c>
      <c r="C385" s="5">
        <v>250</v>
      </c>
      <c r="D385" s="1">
        <v>43990</v>
      </c>
      <c r="E385" t="str">
        <f>"202006017052"</f>
        <v>202006017052</v>
      </c>
      <c r="F385" t="str">
        <f>"REFUND DRIVEWAY &amp; DEV PERMIT"</f>
        <v>REFUND DRIVEWAY &amp; DEV PERMIT</v>
      </c>
      <c r="G385" s="5">
        <v>250</v>
      </c>
      <c r="H385" t="str">
        <f>"REFUND DRIVEWAY &amp; DEV PERMIT"</f>
        <v>REFUND DRIVEWAY &amp; DEV PERMIT</v>
      </c>
    </row>
    <row r="386" spans="1:8" x14ac:dyDescent="0.25">
      <c r="E386" t="str">
        <f>""</f>
        <v/>
      </c>
      <c r="F386" t="str">
        <f>""</f>
        <v/>
      </c>
      <c r="H386" t="str">
        <f>"REFUND DRIVEWAY &amp; DEV PERMIT"</f>
        <v>REFUND DRIVEWAY &amp; DEV PERMIT</v>
      </c>
    </row>
    <row r="387" spans="1:8" x14ac:dyDescent="0.25">
      <c r="A387" t="s">
        <v>114</v>
      </c>
      <c r="B387">
        <v>2759</v>
      </c>
      <c r="C387" s="5">
        <v>15516.72</v>
      </c>
      <c r="D387" s="1">
        <v>44005</v>
      </c>
      <c r="E387" t="str">
        <f>"0755154 0756831 07"</f>
        <v>0755154 0756831 07</v>
      </c>
      <c r="F387" t="str">
        <f>"INV 0755154/0756831/0..."</f>
        <v>INV 0755154/0756831/0...</v>
      </c>
      <c r="G387" s="5">
        <v>623.14</v>
      </c>
      <c r="H387" t="str">
        <f>"INV 0755154"</f>
        <v>INV 0755154</v>
      </c>
    </row>
    <row r="388" spans="1:8" x14ac:dyDescent="0.25">
      <c r="E388" t="str">
        <f>""</f>
        <v/>
      </c>
      <c r="F388" t="str">
        <f>""</f>
        <v/>
      </c>
      <c r="H388" t="str">
        <f>"INV 0756831"</f>
        <v>INV 0756831</v>
      </c>
    </row>
    <row r="389" spans="1:8" x14ac:dyDescent="0.25">
      <c r="E389" t="str">
        <f>""</f>
        <v/>
      </c>
      <c r="F389" t="str">
        <f>""</f>
        <v/>
      </c>
      <c r="H389" t="str">
        <f>"INV 0755450"</f>
        <v>INV 0755450</v>
      </c>
    </row>
    <row r="390" spans="1:8" x14ac:dyDescent="0.25">
      <c r="E390" t="str">
        <f>""</f>
        <v/>
      </c>
      <c r="F390" t="str">
        <f>""</f>
        <v/>
      </c>
      <c r="H390" t="str">
        <f>"RRTN0051324"</f>
        <v>RRTN0051324</v>
      </c>
    </row>
    <row r="391" spans="1:8" x14ac:dyDescent="0.25">
      <c r="E391" t="str">
        <f>"0757486 759936 762"</f>
        <v>0757486 759936 762</v>
      </c>
      <c r="F391" t="str">
        <f>"INV 0757486/0759936/0..."</f>
        <v>INV 0757486/0759936/0...</v>
      </c>
      <c r="G391" s="5">
        <v>8586.8799999999992</v>
      </c>
      <c r="H391" t="str">
        <f>"INV 0757486"</f>
        <v>INV 0757486</v>
      </c>
    </row>
    <row r="392" spans="1:8" x14ac:dyDescent="0.25">
      <c r="E392" t="str">
        <f>""</f>
        <v/>
      </c>
      <c r="F392" t="str">
        <f>""</f>
        <v/>
      </c>
      <c r="H392" t="str">
        <f>"INV 0759936"</f>
        <v>INV 0759936</v>
      </c>
    </row>
    <row r="393" spans="1:8" x14ac:dyDescent="0.25">
      <c r="E393" t="str">
        <f>""</f>
        <v/>
      </c>
      <c r="F393" t="str">
        <f>""</f>
        <v/>
      </c>
      <c r="H393" t="str">
        <f>"INV 0762066"</f>
        <v>INV 0762066</v>
      </c>
    </row>
    <row r="394" spans="1:8" x14ac:dyDescent="0.25">
      <c r="E394" t="str">
        <f>""</f>
        <v/>
      </c>
      <c r="F394" t="str">
        <f>""</f>
        <v/>
      </c>
      <c r="H394" t="str">
        <f>"INV 0772329"</f>
        <v>INV 0772329</v>
      </c>
    </row>
    <row r="395" spans="1:8" x14ac:dyDescent="0.25">
      <c r="E395" t="str">
        <f>"0766120 0766893 07"</f>
        <v>0766120 0766893 07</v>
      </c>
      <c r="F395" t="str">
        <f>"INV 0766120/0766893/0..."</f>
        <v>INV 0766120/0766893/0...</v>
      </c>
      <c r="G395" s="5">
        <v>6143.4</v>
      </c>
      <c r="H395" t="str">
        <f>"INV 0766893"</f>
        <v>INV 0766893</v>
      </c>
    </row>
    <row r="396" spans="1:8" x14ac:dyDescent="0.25">
      <c r="E396" t="str">
        <f>""</f>
        <v/>
      </c>
      <c r="F396" t="str">
        <f>""</f>
        <v/>
      </c>
      <c r="H396" t="str">
        <f>"INV 0768995"</f>
        <v>INV 0768995</v>
      </c>
    </row>
    <row r="397" spans="1:8" x14ac:dyDescent="0.25">
      <c r="E397" t="str">
        <f>""</f>
        <v/>
      </c>
      <c r="F397" t="str">
        <f>""</f>
        <v/>
      </c>
      <c r="H397" t="str">
        <f>"INV 0766120"</f>
        <v>INV 0766120</v>
      </c>
    </row>
    <row r="398" spans="1:8" x14ac:dyDescent="0.25">
      <c r="E398" t="str">
        <f>"DPT000262879"</f>
        <v>DPT000262879</v>
      </c>
      <c r="F398" t="str">
        <f>"DPT000262879"</f>
        <v>DPT000262879</v>
      </c>
      <c r="G398" s="5">
        <v>119.5</v>
      </c>
      <c r="H398" t="str">
        <f>"DPT000262879"</f>
        <v>DPT000262879</v>
      </c>
    </row>
    <row r="399" spans="1:8" x14ac:dyDescent="0.25">
      <c r="E399" t="str">
        <f>"INV0770723"</f>
        <v>INV0770723</v>
      </c>
      <c r="F399" t="str">
        <f>"INV0770723"</f>
        <v>INV0770723</v>
      </c>
      <c r="G399" s="5">
        <v>43.8</v>
      </c>
      <c r="H399" t="str">
        <f>"INV0770723"</f>
        <v>INV0770723</v>
      </c>
    </row>
    <row r="400" spans="1:8" x14ac:dyDescent="0.25">
      <c r="A400" t="s">
        <v>115</v>
      </c>
      <c r="B400">
        <v>2708</v>
      </c>
      <c r="C400" s="5">
        <v>809.2</v>
      </c>
      <c r="D400" s="1">
        <v>43991</v>
      </c>
      <c r="E400" t="str">
        <f>"1871691"</f>
        <v>1871691</v>
      </c>
      <c r="F400" t="str">
        <f>"INV 1871691"</f>
        <v>INV 1871691</v>
      </c>
      <c r="G400" s="5">
        <v>809.2</v>
      </c>
      <c r="H400" t="str">
        <f>"INV 1871691"</f>
        <v>INV 1871691</v>
      </c>
    </row>
    <row r="401" spans="1:8" x14ac:dyDescent="0.25">
      <c r="A401" t="s">
        <v>115</v>
      </c>
      <c r="B401">
        <v>2774</v>
      </c>
      <c r="C401" s="5">
        <v>765.89</v>
      </c>
      <c r="D401" s="1">
        <v>44005</v>
      </c>
      <c r="E401" t="str">
        <f>"1840033 1876474 18"</f>
        <v>1840033 1876474 18</v>
      </c>
      <c r="F401" t="str">
        <f>"Order# Q39U2"</f>
        <v>Order# Q39U2</v>
      </c>
      <c r="G401" s="5">
        <v>60</v>
      </c>
      <c r="H401" t="str">
        <f>"Item# 52060"</f>
        <v>Item# 52060</v>
      </c>
    </row>
    <row r="402" spans="1:8" x14ac:dyDescent="0.25">
      <c r="E402" t="str">
        <f>"1854310"</f>
        <v>1854310</v>
      </c>
      <c r="F402" t="str">
        <f>"INV 1854310"</f>
        <v>INV 1854310</v>
      </c>
      <c r="G402" s="5">
        <v>522.59</v>
      </c>
      <c r="H402" t="str">
        <f>"INV 1854310"</f>
        <v>INV 1854310</v>
      </c>
    </row>
    <row r="403" spans="1:8" x14ac:dyDescent="0.25">
      <c r="E403" t="str">
        <f>"1854311"</f>
        <v>1854311</v>
      </c>
      <c r="F403" t="str">
        <f>"INV 1854311"</f>
        <v>INV 1854311</v>
      </c>
      <c r="G403" s="5">
        <v>183.3</v>
      </c>
      <c r="H403" t="str">
        <f>"INV 1854311"</f>
        <v>INV 1854311</v>
      </c>
    </row>
    <row r="404" spans="1:8" x14ac:dyDescent="0.25">
      <c r="A404" t="s">
        <v>116</v>
      </c>
      <c r="B404">
        <v>2771</v>
      </c>
      <c r="C404" s="5">
        <v>515</v>
      </c>
      <c r="D404" s="1">
        <v>44005</v>
      </c>
      <c r="E404" t="str">
        <f>"989418"</f>
        <v>989418</v>
      </c>
      <c r="F404" t="str">
        <f>"ACCT#55026/ORD#779832/PCT#4"</f>
        <v>ACCT#55026/ORD#779832/PCT#4</v>
      </c>
      <c r="G404" s="5">
        <v>515</v>
      </c>
      <c r="H404" t="str">
        <f>"ACCT#55026/ORD#779832/PCT#4"</f>
        <v>ACCT#55026/ORD#779832/PCT#4</v>
      </c>
    </row>
    <row r="405" spans="1:8" x14ac:dyDescent="0.25">
      <c r="A405" t="s">
        <v>117</v>
      </c>
      <c r="B405">
        <v>2770</v>
      </c>
      <c r="C405" s="5">
        <v>53463.75</v>
      </c>
      <c r="D405" s="1">
        <v>44005</v>
      </c>
      <c r="E405" t="str">
        <f>"10038631"</f>
        <v>10038631</v>
      </c>
      <c r="F405" t="str">
        <f>"PROJ#032285.010/PCT#2"</f>
        <v>PROJ#032285.010/PCT#2</v>
      </c>
      <c r="G405" s="5">
        <v>10000</v>
      </c>
      <c r="H405" t="str">
        <f>"PROJ#032285.010/PCT#2"</f>
        <v>PROJ#032285.010/PCT#2</v>
      </c>
    </row>
    <row r="406" spans="1:8" x14ac:dyDescent="0.25">
      <c r="E406" t="str">
        <f>"10038641"</f>
        <v>10038641</v>
      </c>
      <c r="F406" t="str">
        <f>"PROJ#033387.008/PCT#4"</f>
        <v>PROJ#033387.008/PCT#4</v>
      </c>
      <c r="G406" s="5">
        <v>2225</v>
      </c>
      <c r="H406" t="str">
        <f>"PROJ#033387.008/PCT#4"</f>
        <v>PROJ#033387.008/PCT#4</v>
      </c>
    </row>
    <row r="407" spans="1:8" x14ac:dyDescent="0.25">
      <c r="E407" t="str">
        <f>"202006157303"</f>
        <v>202006157303</v>
      </c>
      <c r="F407" t="str">
        <f>"TWDB FLOOD PROTECTION"</f>
        <v>TWDB FLOOD PROTECTION</v>
      </c>
      <c r="G407" s="5">
        <v>41238.75</v>
      </c>
      <c r="H407" t="str">
        <f>"TWDB FLOOD PROTECTION"</f>
        <v>TWDB FLOOD PROTECTION</v>
      </c>
    </row>
    <row r="408" spans="1:8" x14ac:dyDescent="0.25">
      <c r="A408" t="s">
        <v>118</v>
      </c>
      <c r="B408">
        <v>132198</v>
      </c>
      <c r="C408" s="5">
        <v>161.5</v>
      </c>
      <c r="D408" s="1">
        <v>44004</v>
      </c>
      <c r="E408" t="str">
        <f>"279691"</f>
        <v>279691</v>
      </c>
      <c r="F408" t="str">
        <f>"FACING/PCT#3"</f>
        <v>FACING/PCT#3</v>
      </c>
      <c r="G408" s="5">
        <v>161.5</v>
      </c>
      <c r="H408" t="str">
        <f>"FACING/PCT#3"</f>
        <v>FACING/PCT#3</v>
      </c>
    </row>
    <row r="409" spans="1:8" x14ac:dyDescent="0.25">
      <c r="A409" t="s">
        <v>119</v>
      </c>
      <c r="B409">
        <v>132135</v>
      </c>
      <c r="C409" s="5">
        <v>75</v>
      </c>
      <c r="D409" s="1">
        <v>43992</v>
      </c>
      <c r="E409" t="str">
        <f>"202006107276"</f>
        <v>202006107276</v>
      </c>
      <c r="F409" t="str">
        <f>"SERVICE #11 772"</f>
        <v>SERVICE #11 772</v>
      </c>
      <c r="G409" s="5">
        <v>75</v>
      </c>
      <c r="H409" t="str">
        <f>"SERVICE #11 772"</f>
        <v>SERVICE #11 772</v>
      </c>
    </row>
    <row r="410" spans="1:8" x14ac:dyDescent="0.25">
      <c r="A410" t="s">
        <v>120</v>
      </c>
      <c r="B410">
        <v>132136</v>
      </c>
      <c r="C410" s="5">
        <v>75</v>
      </c>
      <c r="D410" s="1">
        <v>43992</v>
      </c>
      <c r="E410" t="str">
        <f>"202006107277"</f>
        <v>202006107277</v>
      </c>
      <c r="F410" t="str">
        <f>"SERVICE #11 722"</f>
        <v>SERVICE #11 722</v>
      </c>
      <c r="G410" s="5">
        <v>75</v>
      </c>
      <c r="H410" t="str">
        <f>"SERVICE #11 722"</f>
        <v>SERVICE #11 722</v>
      </c>
    </row>
    <row r="411" spans="1:8" x14ac:dyDescent="0.25">
      <c r="A411" t="s">
        <v>121</v>
      </c>
      <c r="B411">
        <v>132199</v>
      </c>
      <c r="C411" s="5">
        <v>1103</v>
      </c>
      <c r="D411" s="1">
        <v>44004</v>
      </c>
      <c r="E411" t="str">
        <f>"202006167357"</f>
        <v>202006167357</v>
      </c>
      <c r="F411" t="str">
        <f>"SANE EXAM - CASE #19-S-03946"</f>
        <v>SANE EXAM - CASE #19-S-03946</v>
      </c>
      <c r="G411" s="5">
        <v>1103</v>
      </c>
      <c r="H411" t="str">
        <f>"SANE EXAM - CASE #19-S-03946"</f>
        <v>SANE EXAM - CASE #19-S-03946</v>
      </c>
    </row>
    <row r="412" spans="1:8" x14ac:dyDescent="0.25">
      <c r="A412" t="s">
        <v>122</v>
      </c>
      <c r="B412">
        <v>132061</v>
      </c>
      <c r="C412" s="5">
        <v>995.6</v>
      </c>
      <c r="D412" s="1">
        <v>43990</v>
      </c>
      <c r="E412" t="str">
        <f>"19213"</f>
        <v>19213</v>
      </c>
      <c r="F412" t="str">
        <f>"INV 19213"</f>
        <v>INV 19213</v>
      </c>
      <c r="G412" s="5">
        <v>995.6</v>
      </c>
      <c r="H412" t="str">
        <f>"INV 19213"</f>
        <v>INV 19213</v>
      </c>
    </row>
    <row r="413" spans="1:8" x14ac:dyDescent="0.25">
      <c r="A413" t="s">
        <v>123</v>
      </c>
      <c r="B413">
        <v>132062</v>
      </c>
      <c r="C413" s="5">
        <v>360.4</v>
      </c>
      <c r="D413" s="1">
        <v>43990</v>
      </c>
      <c r="E413" t="str">
        <f>"28168"</f>
        <v>28168</v>
      </c>
      <c r="F413" t="str">
        <f>"ACCT#937/PCT#3"</f>
        <v>ACCT#937/PCT#3</v>
      </c>
      <c r="G413" s="5">
        <v>360.4</v>
      </c>
      <c r="H413" t="str">
        <f>"ACCT#937/PCT#3"</f>
        <v>ACCT#937/PCT#3</v>
      </c>
    </row>
    <row r="414" spans="1:8" x14ac:dyDescent="0.25">
      <c r="A414" t="s">
        <v>124</v>
      </c>
      <c r="B414">
        <v>132200</v>
      </c>
      <c r="C414" s="5">
        <v>150</v>
      </c>
      <c r="D414" s="1">
        <v>44004</v>
      </c>
      <c r="E414" t="s">
        <v>125</v>
      </c>
      <c r="F414" t="str">
        <f>"RESTITUTION - M. FELTS"</f>
        <v>RESTITUTION - M. FELTS</v>
      </c>
      <c r="G414" s="5">
        <v>150</v>
      </c>
      <c r="H414" t="str">
        <f>"RESTITUTION - M. FELTS"</f>
        <v>RESTITUTION - M. FELTS</v>
      </c>
    </row>
    <row r="415" spans="1:8" x14ac:dyDescent="0.25">
      <c r="A415" t="s">
        <v>126</v>
      </c>
      <c r="B415">
        <v>2761</v>
      </c>
      <c r="C415" s="5">
        <v>650</v>
      </c>
      <c r="D415" s="1">
        <v>44005</v>
      </c>
      <c r="E415" t="str">
        <f>"202006167337"</f>
        <v>202006167337</v>
      </c>
      <c r="F415" t="str">
        <f>"BASCOM L HODGES JR"</f>
        <v>BASCOM L HODGES JR</v>
      </c>
      <c r="G415" s="5">
        <v>650</v>
      </c>
      <c r="H415" t="str">
        <f>""</f>
        <v/>
      </c>
    </row>
    <row r="416" spans="1:8" x14ac:dyDescent="0.25">
      <c r="A416" t="s">
        <v>127</v>
      </c>
      <c r="B416">
        <v>132063</v>
      </c>
      <c r="C416" s="5">
        <v>150</v>
      </c>
      <c r="D416" s="1">
        <v>43990</v>
      </c>
      <c r="E416" t="str">
        <f>"202006027075"</f>
        <v>202006027075</v>
      </c>
      <c r="F416" t="str">
        <f>"19-19456"</f>
        <v>19-19456</v>
      </c>
      <c r="G416" s="5">
        <v>75</v>
      </c>
      <c r="H416" t="str">
        <f>"19-19456"</f>
        <v>19-19456</v>
      </c>
    </row>
    <row r="417" spans="1:8" x14ac:dyDescent="0.25">
      <c r="E417" t="str">
        <f>"202006027076"</f>
        <v>202006027076</v>
      </c>
      <c r="F417" t="str">
        <f>"20-20054"</f>
        <v>20-20054</v>
      </c>
      <c r="G417" s="5">
        <v>75</v>
      </c>
      <c r="H417" t="str">
        <f>"20-20054"</f>
        <v>20-20054</v>
      </c>
    </row>
    <row r="418" spans="1:8" x14ac:dyDescent="0.25">
      <c r="A418" t="s">
        <v>127</v>
      </c>
      <c r="B418">
        <v>132201</v>
      </c>
      <c r="C418" s="5">
        <v>262.5</v>
      </c>
      <c r="D418" s="1">
        <v>44004</v>
      </c>
      <c r="E418" t="str">
        <f>"202006117297"</f>
        <v>202006117297</v>
      </c>
      <c r="F418" t="str">
        <f>"20-20054"</f>
        <v>20-20054</v>
      </c>
      <c r="G418" s="5">
        <v>112.5</v>
      </c>
      <c r="H418" t="str">
        <f>"20-20054"</f>
        <v>20-20054</v>
      </c>
    </row>
    <row r="419" spans="1:8" x14ac:dyDescent="0.25">
      <c r="E419" t="str">
        <f>"202006117298"</f>
        <v>202006117298</v>
      </c>
      <c r="F419" t="str">
        <f>"19-19456"</f>
        <v>19-19456</v>
      </c>
      <c r="G419" s="5">
        <v>75</v>
      </c>
      <c r="H419" t="str">
        <f>"19-19456"</f>
        <v>19-19456</v>
      </c>
    </row>
    <row r="420" spans="1:8" x14ac:dyDescent="0.25">
      <c r="E420" t="str">
        <f>"202006117299"</f>
        <v>202006117299</v>
      </c>
      <c r="F420" t="str">
        <f>"19-19703"</f>
        <v>19-19703</v>
      </c>
      <c r="G420" s="5">
        <v>75</v>
      </c>
      <c r="H420" t="str">
        <f>"19-19703"</f>
        <v>19-19703</v>
      </c>
    </row>
    <row r="421" spans="1:8" x14ac:dyDescent="0.25">
      <c r="A421" t="s">
        <v>128</v>
      </c>
      <c r="B421">
        <v>2697</v>
      </c>
      <c r="C421" s="5">
        <v>172.28</v>
      </c>
      <c r="D421" s="1">
        <v>43991</v>
      </c>
      <c r="E421" t="str">
        <f>"PIMA0331625"</f>
        <v>PIMA0331625</v>
      </c>
      <c r="F421" t="str">
        <f>"CUST#0129150/PCT#3"</f>
        <v>CUST#0129150/PCT#3</v>
      </c>
      <c r="G421" s="5">
        <v>172.28</v>
      </c>
      <c r="H421" t="str">
        <f>"CUST#0129150/PCT#3"</f>
        <v>CUST#0129150/PCT#3</v>
      </c>
    </row>
    <row r="422" spans="1:8" x14ac:dyDescent="0.25">
      <c r="A422" t="s">
        <v>128</v>
      </c>
      <c r="B422">
        <v>2760</v>
      </c>
      <c r="C422" s="5">
        <v>76.900000000000006</v>
      </c>
      <c r="D422" s="1">
        <v>44005</v>
      </c>
      <c r="E422" t="str">
        <f>"PIM60027545"</f>
        <v>PIM60027545</v>
      </c>
      <c r="F422" t="str">
        <f>"CUST#0129050/PCT#1"</f>
        <v>CUST#0129050/PCT#1</v>
      </c>
      <c r="G422" s="5">
        <v>76.900000000000006</v>
      </c>
      <c r="H422" t="str">
        <f>"CUST#0129050/PCT#1"</f>
        <v>CUST#0129050/PCT#1</v>
      </c>
    </row>
    <row r="423" spans="1:8" x14ac:dyDescent="0.25">
      <c r="A423" t="s">
        <v>129</v>
      </c>
      <c r="B423">
        <v>132064</v>
      </c>
      <c r="C423" s="5">
        <v>254.89</v>
      </c>
      <c r="D423" s="1">
        <v>43990</v>
      </c>
      <c r="E423" t="str">
        <f>"202006027106"</f>
        <v>202006027106</v>
      </c>
      <c r="F423" t="str">
        <f>"acct# 0130"</f>
        <v>acct# 0130</v>
      </c>
      <c r="G423" s="5">
        <v>254.89</v>
      </c>
      <c r="H423" t="str">
        <f>"Inv# 6140328"</f>
        <v>Inv# 6140328</v>
      </c>
    </row>
    <row r="424" spans="1:8" x14ac:dyDescent="0.25">
      <c r="E424" t="str">
        <f>""</f>
        <v/>
      </c>
      <c r="F424" t="str">
        <f>""</f>
        <v/>
      </c>
      <c r="H424" t="str">
        <f>"Inv# 6531169"</f>
        <v>Inv# 6531169</v>
      </c>
    </row>
    <row r="425" spans="1:8" x14ac:dyDescent="0.25">
      <c r="E425" t="str">
        <f>""</f>
        <v/>
      </c>
      <c r="F425" t="str">
        <f>""</f>
        <v/>
      </c>
      <c r="H425" t="str">
        <f>"inv# 1051073"</f>
        <v>inv# 1051073</v>
      </c>
    </row>
    <row r="426" spans="1:8" x14ac:dyDescent="0.25">
      <c r="E426" t="str">
        <f>""</f>
        <v/>
      </c>
      <c r="F426" t="str">
        <f>""</f>
        <v/>
      </c>
      <c r="H426" t="str">
        <f>"inv# 51114"</f>
        <v>inv# 51114</v>
      </c>
    </row>
    <row r="427" spans="1:8" x14ac:dyDescent="0.25">
      <c r="E427" t="str">
        <f>""</f>
        <v/>
      </c>
      <c r="F427" t="str">
        <f>""</f>
        <v/>
      </c>
      <c r="H427" t="str">
        <f>"Inv# 4062992"</f>
        <v>Inv# 4062992</v>
      </c>
    </row>
    <row r="428" spans="1:8" x14ac:dyDescent="0.25">
      <c r="E428" t="str">
        <f>""</f>
        <v/>
      </c>
      <c r="F428" t="str">
        <f>""</f>
        <v/>
      </c>
      <c r="H428" t="str">
        <f>"Inv# 7531108"</f>
        <v>Inv# 7531108</v>
      </c>
    </row>
    <row r="429" spans="1:8" x14ac:dyDescent="0.25">
      <c r="A429" t="s">
        <v>130</v>
      </c>
      <c r="B429">
        <v>132065</v>
      </c>
      <c r="C429" s="5">
        <v>366.42</v>
      </c>
      <c r="D429" s="1">
        <v>43990</v>
      </c>
      <c r="E429" t="str">
        <f>"0551550285"</f>
        <v>0551550285</v>
      </c>
      <c r="F429" t="str">
        <f>"ORD#212645-0002/CUST#212645"</f>
        <v>ORD#212645-0002/CUST#212645</v>
      </c>
      <c r="G429" s="5">
        <v>61.42</v>
      </c>
      <c r="H429" t="str">
        <f>"ORD#212645-0002/CUST#212645"</f>
        <v>ORD#212645-0002/CUST#212645</v>
      </c>
    </row>
    <row r="430" spans="1:8" x14ac:dyDescent="0.25">
      <c r="E430" t="str">
        <f>"0551563795"</f>
        <v>0551563795</v>
      </c>
      <c r="F430" t="str">
        <f>"ORD#212645-0001/CUST#212645"</f>
        <v>ORD#212645-0001/CUST#212645</v>
      </c>
      <c r="G430" s="5">
        <v>90</v>
      </c>
      <c r="H430" t="str">
        <f>"ORD#212645-0001/CUST#212645"</f>
        <v>ORD#212645-0001/CUST#212645</v>
      </c>
    </row>
    <row r="431" spans="1:8" x14ac:dyDescent="0.25">
      <c r="E431" t="str">
        <f>"0551565499"</f>
        <v>0551565499</v>
      </c>
      <c r="F431" t="str">
        <f>"ORD#212645-0002/CUST#212645"</f>
        <v>ORD#212645-0002/CUST#212645</v>
      </c>
      <c r="G431" s="5">
        <v>215</v>
      </c>
      <c r="H431" t="str">
        <f>"ORD#212645-0002/CUST#212645"</f>
        <v>ORD#212645-0002/CUST#212645</v>
      </c>
    </row>
    <row r="432" spans="1:8" x14ac:dyDescent="0.25">
      <c r="A432" t="s">
        <v>131</v>
      </c>
      <c r="B432">
        <v>132066</v>
      </c>
      <c r="C432" s="5">
        <v>2100</v>
      </c>
      <c r="D432" s="1">
        <v>43990</v>
      </c>
      <c r="E432" t="str">
        <f>"2359"</f>
        <v>2359</v>
      </c>
      <c r="F432" t="str">
        <f>"MINI MICROCHIPS/ANIMAL SVCS"</f>
        <v>MINI MICROCHIPS/ANIMAL SVCS</v>
      </c>
      <c r="G432" s="5">
        <v>2100</v>
      </c>
      <c r="H432" t="str">
        <f>"MINI MICROCHIPS/ANIMAL SVCS"</f>
        <v>MINI MICROCHIPS/ANIMAL SVCS</v>
      </c>
    </row>
    <row r="433" spans="1:8" x14ac:dyDescent="0.25">
      <c r="A433" t="s">
        <v>132</v>
      </c>
      <c r="B433">
        <v>132067</v>
      </c>
      <c r="C433" s="5">
        <v>342.5</v>
      </c>
      <c r="D433" s="1">
        <v>43990</v>
      </c>
      <c r="E433" t="str">
        <f>"SL2020-05_00399"</f>
        <v>SL2020-05_00399</v>
      </c>
      <c r="F433" t="str">
        <f>"SHELTERLUV SOFTWARE/ANIMAL SVC"</f>
        <v>SHELTERLUV SOFTWARE/ANIMAL SVC</v>
      </c>
      <c r="G433" s="5">
        <v>342.5</v>
      </c>
      <c r="H433" t="str">
        <f>"SHELTERLUV SOFTWARE/ANIMAL SVC"</f>
        <v>SHELTERLUV SOFTWARE/ANIMAL SVC</v>
      </c>
    </row>
    <row r="434" spans="1:8" x14ac:dyDescent="0.25">
      <c r="A434" t="s">
        <v>133</v>
      </c>
      <c r="B434">
        <v>2732</v>
      </c>
      <c r="C434" s="5">
        <v>138.91</v>
      </c>
      <c r="D434" s="1">
        <v>44005</v>
      </c>
      <c r="E434" t="str">
        <f>"203803"</f>
        <v>203803</v>
      </c>
      <c r="F434" t="str">
        <f>"WILDFIRE MITIGATION/WIRE HOSE"</f>
        <v>WILDFIRE MITIGATION/WIRE HOSE</v>
      </c>
      <c r="G434" s="5">
        <v>138.91</v>
      </c>
      <c r="H434" t="str">
        <f>"WILDFIRE MITIGATION/WIRE HOSE"</f>
        <v>WILDFIRE MITIGATION/WIRE HOSE</v>
      </c>
    </row>
    <row r="435" spans="1:8" x14ac:dyDescent="0.25">
      <c r="A435" t="s">
        <v>134</v>
      </c>
      <c r="B435">
        <v>132068</v>
      </c>
      <c r="C435" s="5">
        <v>7348</v>
      </c>
      <c r="D435" s="1">
        <v>43990</v>
      </c>
      <c r="E435" t="str">
        <f>"14810"</f>
        <v>14810</v>
      </c>
      <c r="F435" t="str">
        <f>"INCLUSION SOLUTIONS  LLC"</f>
        <v>INCLUSION SOLUTIONS  LLC</v>
      </c>
      <c r="G435" s="5">
        <v>7348</v>
      </c>
      <c r="H435" t="str">
        <f>"Virus Kits"</f>
        <v>Virus Kits</v>
      </c>
    </row>
    <row r="436" spans="1:8" x14ac:dyDescent="0.25">
      <c r="E436" t="str">
        <f>""</f>
        <v/>
      </c>
      <c r="F436" t="str">
        <f>""</f>
        <v/>
      </c>
      <c r="H436" t="str">
        <f>"Shipping"</f>
        <v>Shipping</v>
      </c>
    </row>
    <row r="437" spans="1:8" x14ac:dyDescent="0.25">
      <c r="A437" t="s">
        <v>135</v>
      </c>
      <c r="B437">
        <v>2767</v>
      </c>
      <c r="C437" s="5">
        <v>2437.5</v>
      </c>
      <c r="D437" s="1">
        <v>44005</v>
      </c>
      <c r="E437" t="str">
        <f>"69900"</f>
        <v>69900</v>
      </c>
      <c r="F437" t="str">
        <f>"PROF SVCS JULY 2020"</f>
        <v>PROF SVCS JULY 2020</v>
      </c>
      <c r="G437" s="5">
        <v>2430</v>
      </c>
      <c r="H437" t="str">
        <f>"PROF SVCS JULY 2020"</f>
        <v>PROF SVCS JULY 2020</v>
      </c>
    </row>
    <row r="438" spans="1:8" x14ac:dyDescent="0.25">
      <c r="E438" t="str">
        <f>""</f>
        <v/>
      </c>
      <c r="F438" t="str">
        <f>""</f>
        <v/>
      </c>
      <c r="H438" t="str">
        <f>"PROF SVCS JULY 2020"</f>
        <v>PROF SVCS JULY 2020</v>
      </c>
    </row>
    <row r="439" spans="1:8" x14ac:dyDescent="0.25">
      <c r="E439" t="str">
        <f>"70031"</f>
        <v>70031</v>
      </c>
      <c r="F439" t="str">
        <f>"NOV2019-FEB2020 POWER SEARCH S"</f>
        <v>NOV2019-FEB2020 POWER SEARCH S</v>
      </c>
      <c r="G439" s="5">
        <v>7.5</v>
      </c>
      <c r="H439" t="str">
        <f>"NOV2019-FEB2020 POWER SEARCH S"</f>
        <v>NOV2019-FEB2020 POWER SEARCH S</v>
      </c>
    </row>
    <row r="440" spans="1:8" x14ac:dyDescent="0.25">
      <c r="A440" t="s">
        <v>136</v>
      </c>
      <c r="B440">
        <v>132202</v>
      </c>
      <c r="C440" s="5">
        <v>56.66</v>
      </c>
      <c r="D440" s="1">
        <v>44004</v>
      </c>
      <c r="E440" t="str">
        <f>"S0130157261"</f>
        <v>S0130157261</v>
      </c>
      <c r="F440" t="str">
        <f>"ACCT#336320/PCT#3"</f>
        <v>ACCT#336320/PCT#3</v>
      </c>
      <c r="G440" s="5">
        <v>56.66</v>
      </c>
      <c r="H440" t="str">
        <f>"ACCT#336320/PCT#3"</f>
        <v>ACCT#336320/PCT#3</v>
      </c>
    </row>
    <row r="441" spans="1:8" x14ac:dyDescent="0.25">
      <c r="A441" t="s">
        <v>137</v>
      </c>
      <c r="B441">
        <v>132203</v>
      </c>
      <c r="C441" s="5">
        <v>200</v>
      </c>
      <c r="D441" s="1">
        <v>44004</v>
      </c>
      <c r="E441" t="str">
        <f>"242086281"</f>
        <v>242086281</v>
      </c>
      <c r="F441" t="str">
        <f>"ORD#1108053890/ANIMAL SERVICES"</f>
        <v>ORD#1108053890/ANIMAL SERVICES</v>
      </c>
      <c r="G441" s="5">
        <v>200</v>
      </c>
      <c r="H441" t="str">
        <f>"ORD#1108053890/ANIMAL SERVICES"</f>
        <v>ORD#1108053890/ANIMAL SERVICES</v>
      </c>
    </row>
    <row r="442" spans="1:8" x14ac:dyDescent="0.25">
      <c r="E442" t="str">
        <f>""</f>
        <v/>
      </c>
      <c r="F442" t="str">
        <f>""</f>
        <v/>
      </c>
      <c r="H442" t="str">
        <f>"ORD#1108053890/ANIMAL SERVICES"</f>
        <v>ORD#1108053890/ANIMAL SERVICES</v>
      </c>
    </row>
    <row r="443" spans="1:8" x14ac:dyDescent="0.25">
      <c r="A443" t="s">
        <v>138</v>
      </c>
      <c r="B443">
        <v>132069</v>
      </c>
      <c r="C443" s="5">
        <v>79.03</v>
      </c>
      <c r="D443" s="1">
        <v>43990</v>
      </c>
      <c r="E443" t="str">
        <f>"CRNL621"</f>
        <v>CRNL621</v>
      </c>
      <c r="F443" t="str">
        <f>"CUST ID:AX773/BASTROP CNTY CLK"</f>
        <v>CUST ID:AX773/BASTROP CNTY CLK</v>
      </c>
      <c r="G443" s="5">
        <v>79.03</v>
      </c>
      <c r="H443" t="str">
        <f>"CUST ID:AX773/BASTROP CNTY CLK"</f>
        <v>CUST ID:AX773/BASTROP CNTY CLK</v>
      </c>
    </row>
    <row r="444" spans="1:8" x14ac:dyDescent="0.25">
      <c r="A444" t="s">
        <v>139</v>
      </c>
      <c r="B444">
        <v>2777</v>
      </c>
      <c r="C444" s="5">
        <v>505</v>
      </c>
      <c r="D444" s="1">
        <v>44005</v>
      </c>
      <c r="E444" t="str">
        <f>"202006107249"</f>
        <v>202006107249</v>
      </c>
      <c r="F444" t="str">
        <f>"57 054"</f>
        <v>57 054</v>
      </c>
      <c r="G444" s="5">
        <v>250</v>
      </c>
      <c r="H444" t="str">
        <f>"57 054"</f>
        <v>57 054</v>
      </c>
    </row>
    <row r="445" spans="1:8" x14ac:dyDescent="0.25">
      <c r="E445" t="str">
        <f>"202006117296"</f>
        <v>202006117296</v>
      </c>
      <c r="F445" t="str">
        <f>"19-19572"</f>
        <v>19-19572</v>
      </c>
      <c r="G445" s="5">
        <v>255</v>
      </c>
      <c r="H445" t="str">
        <f>"19-19572"</f>
        <v>19-19572</v>
      </c>
    </row>
    <row r="446" spans="1:8" x14ac:dyDescent="0.25">
      <c r="A446" t="s">
        <v>140</v>
      </c>
      <c r="B446">
        <v>132070</v>
      </c>
      <c r="C446" s="5">
        <v>11247.72</v>
      </c>
      <c r="D446" s="1">
        <v>43990</v>
      </c>
      <c r="E446" t="str">
        <f>"202006027060"</f>
        <v>202006027060</v>
      </c>
      <c r="F446" t="str">
        <f>"ACCT#8850283308/PCT#1"</f>
        <v>ACCT#8850283308/PCT#1</v>
      </c>
      <c r="G446" s="5">
        <v>2904.1</v>
      </c>
      <c r="H446" t="str">
        <f>"ACCT#8850283308/PCT#1"</f>
        <v>ACCT#8850283308/PCT#1</v>
      </c>
    </row>
    <row r="447" spans="1:8" x14ac:dyDescent="0.25">
      <c r="E447" t="str">
        <f>"202006027061"</f>
        <v>202006027061</v>
      </c>
      <c r="F447" t="str">
        <f>"ACCT#8850283308/PCT#2"</f>
        <v>ACCT#8850283308/PCT#2</v>
      </c>
      <c r="G447" s="5">
        <v>78.180000000000007</v>
      </c>
      <c r="H447" t="str">
        <f>"ACCT#8850283308/PCT#2"</f>
        <v>ACCT#8850283308/PCT#2</v>
      </c>
    </row>
    <row r="448" spans="1:8" x14ac:dyDescent="0.25">
      <c r="E448" t="str">
        <f>"P06061"</f>
        <v>P06061</v>
      </c>
      <c r="F448" t="str">
        <f>"ACCT#8850283308"</f>
        <v>ACCT#8850283308</v>
      </c>
      <c r="G448" s="5">
        <v>8265.44</v>
      </c>
      <c r="H448" t="str">
        <f>"ACCT#8850283308"</f>
        <v>ACCT#8850283308</v>
      </c>
    </row>
    <row r="449" spans="1:8" x14ac:dyDescent="0.25">
      <c r="A449" t="s">
        <v>141</v>
      </c>
      <c r="B449">
        <v>132204</v>
      </c>
      <c r="C449" s="5">
        <v>25</v>
      </c>
      <c r="D449" s="1">
        <v>44004</v>
      </c>
      <c r="E449" t="str">
        <f>"202006097228"</f>
        <v>202006097228</v>
      </c>
      <c r="F449" t="str">
        <f>"REFUND DRIVEWAY PERMIT FEE"</f>
        <v>REFUND DRIVEWAY PERMIT FEE</v>
      </c>
      <c r="G449" s="5">
        <v>25</v>
      </c>
      <c r="H449" t="str">
        <f>"REFUND DRIVEWAY PERMIT FEE"</f>
        <v>REFUND DRIVEWAY PERMIT FEE</v>
      </c>
    </row>
    <row r="450" spans="1:8" x14ac:dyDescent="0.25">
      <c r="A450" t="s">
        <v>142</v>
      </c>
      <c r="B450">
        <v>2670</v>
      </c>
      <c r="C450" s="5">
        <v>650</v>
      </c>
      <c r="D450" s="1">
        <v>43991</v>
      </c>
      <c r="E450" t="str">
        <f>"202006027110"</f>
        <v>202006027110</v>
      </c>
      <c r="F450" t="str">
        <f>"TOWER MOWING MAINTENANCE"</f>
        <v>TOWER MOWING MAINTENANCE</v>
      </c>
      <c r="G450" s="5">
        <v>650</v>
      </c>
      <c r="H450" t="str">
        <f>"TOWER MOWING MAINTENANCE"</f>
        <v>TOWER MOWING MAINTENANCE</v>
      </c>
    </row>
    <row r="451" spans="1:8" x14ac:dyDescent="0.25">
      <c r="A451" t="s">
        <v>143</v>
      </c>
      <c r="B451">
        <v>2772</v>
      </c>
      <c r="C451" s="5">
        <v>2100</v>
      </c>
      <c r="D451" s="1">
        <v>44005</v>
      </c>
      <c r="E451" t="str">
        <f>"202006097200"</f>
        <v>202006097200</v>
      </c>
      <c r="F451" t="str">
        <f>"423-7275"</f>
        <v>423-7275</v>
      </c>
      <c r="G451" s="5">
        <v>100</v>
      </c>
      <c r="H451" t="str">
        <f>"423-7275"</f>
        <v>423-7275</v>
      </c>
    </row>
    <row r="452" spans="1:8" x14ac:dyDescent="0.25">
      <c r="E452" t="str">
        <f>"202006097201"</f>
        <v>202006097201</v>
      </c>
      <c r="F452" t="str">
        <f>"16327"</f>
        <v>16327</v>
      </c>
      <c r="G452" s="5">
        <v>400</v>
      </c>
      <c r="H452" t="str">
        <f>"16327"</f>
        <v>16327</v>
      </c>
    </row>
    <row r="453" spans="1:8" x14ac:dyDescent="0.25">
      <c r="E453" t="str">
        <f>"202006097202"</f>
        <v>202006097202</v>
      </c>
      <c r="F453" t="str">
        <f>"16051"</f>
        <v>16051</v>
      </c>
      <c r="G453" s="5">
        <v>400</v>
      </c>
      <c r="H453" t="str">
        <f>"16051"</f>
        <v>16051</v>
      </c>
    </row>
    <row r="454" spans="1:8" x14ac:dyDescent="0.25">
      <c r="E454" t="str">
        <f>"202006097203"</f>
        <v>202006097203</v>
      </c>
      <c r="F454" t="str">
        <f>"16220"</f>
        <v>16220</v>
      </c>
      <c r="G454" s="5">
        <v>400</v>
      </c>
      <c r="H454" t="str">
        <f>"16220"</f>
        <v>16220</v>
      </c>
    </row>
    <row r="455" spans="1:8" x14ac:dyDescent="0.25">
      <c r="E455" t="str">
        <f>"202006097204"</f>
        <v>202006097204</v>
      </c>
      <c r="F455" t="str">
        <f>"17065"</f>
        <v>17065</v>
      </c>
      <c r="G455" s="5">
        <v>400</v>
      </c>
      <c r="H455" t="str">
        <f>"17065"</f>
        <v>17065</v>
      </c>
    </row>
    <row r="456" spans="1:8" x14ac:dyDescent="0.25">
      <c r="E456" t="str">
        <f>"202006097205"</f>
        <v>202006097205</v>
      </c>
      <c r="F456" t="str">
        <f>"02-1203-5"</f>
        <v>02-1203-5</v>
      </c>
      <c r="G456" s="5">
        <v>400</v>
      </c>
      <c r="H456" t="str">
        <f>"02-1203-5"</f>
        <v>02-1203-5</v>
      </c>
    </row>
    <row r="457" spans="1:8" x14ac:dyDescent="0.25">
      <c r="A457" t="s">
        <v>144</v>
      </c>
      <c r="B457">
        <v>132205</v>
      </c>
      <c r="C457" s="5">
        <v>25</v>
      </c>
      <c r="D457" s="1">
        <v>44004</v>
      </c>
      <c r="E457" t="s">
        <v>145</v>
      </c>
      <c r="F457" t="str">
        <f>"RESTITUTION - J. HOFFMAN"</f>
        <v>RESTITUTION - J. HOFFMAN</v>
      </c>
      <c r="G457" s="5">
        <v>25</v>
      </c>
      <c r="H457" t="str">
        <f>"RESTITUTION - J. HOFFMAN"</f>
        <v>RESTITUTION - J. HOFFMAN</v>
      </c>
    </row>
    <row r="458" spans="1:8" x14ac:dyDescent="0.25">
      <c r="A458" t="s">
        <v>146</v>
      </c>
      <c r="B458">
        <v>132071</v>
      </c>
      <c r="C458" s="5">
        <v>660.55</v>
      </c>
      <c r="D458" s="1">
        <v>43990</v>
      </c>
      <c r="E458" t="str">
        <f>"202005287012"</f>
        <v>202005287012</v>
      </c>
      <c r="F458" t="str">
        <f>"423-2327"</f>
        <v>423-2327</v>
      </c>
      <c r="G458" s="5">
        <v>660.55</v>
      </c>
      <c r="H458" t="str">
        <f>"423-2327"</f>
        <v>423-2327</v>
      </c>
    </row>
    <row r="459" spans="1:8" x14ac:dyDescent="0.25">
      <c r="A459" t="s">
        <v>146</v>
      </c>
      <c r="B459">
        <v>132206</v>
      </c>
      <c r="C459" s="5">
        <v>712.25</v>
      </c>
      <c r="D459" s="1">
        <v>44004</v>
      </c>
      <c r="E459" t="str">
        <f>"202006107266"</f>
        <v>202006107266</v>
      </c>
      <c r="F459" t="str">
        <f>"19-S-06246"</f>
        <v>19-S-06246</v>
      </c>
      <c r="G459" s="5">
        <v>175</v>
      </c>
      <c r="H459" t="str">
        <f>"19-S-06246"</f>
        <v>19-S-06246</v>
      </c>
    </row>
    <row r="460" spans="1:8" x14ac:dyDescent="0.25">
      <c r="E460" t="str">
        <f>"202006107267"</f>
        <v>202006107267</v>
      </c>
      <c r="F460" t="str">
        <f>"20-20060"</f>
        <v>20-20060</v>
      </c>
      <c r="G460" s="5">
        <v>282.25</v>
      </c>
      <c r="H460" t="str">
        <f>"20-20060"</f>
        <v>20-20060</v>
      </c>
    </row>
    <row r="461" spans="1:8" x14ac:dyDescent="0.25">
      <c r="E461" t="str">
        <f>"202006107269"</f>
        <v>202006107269</v>
      </c>
      <c r="F461" t="str">
        <f>"19-19739"</f>
        <v>19-19739</v>
      </c>
      <c r="G461" s="5">
        <v>41.25</v>
      </c>
      <c r="H461" t="str">
        <f>"19-19739"</f>
        <v>19-19739</v>
      </c>
    </row>
    <row r="462" spans="1:8" x14ac:dyDescent="0.25">
      <c r="E462" t="str">
        <f>"202006107270"</f>
        <v>202006107270</v>
      </c>
      <c r="F462" t="str">
        <f>"19-20022"</f>
        <v>19-20022</v>
      </c>
      <c r="G462" s="5">
        <v>213.75</v>
      </c>
      <c r="H462" t="str">
        <f>"19-20022"</f>
        <v>19-20022</v>
      </c>
    </row>
    <row r="463" spans="1:8" x14ac:dyDescent="0.25">
      <c r="A463" t="s">
        <v>147</v>
      </c>
      <c r="B463">
        <v>132207</v>
      </c>
      <c r="C463" s="5">
        <v>350</v>
      </c>
      <c r="D463" s="1">
        <v>44004</v>
      </c>
      <c r="E463" t="str">
        <f>"924849"</f>
        <v>924849</v>
      </c>
      <c r="F463" t="str">
        <f>"TRASH PICK UP/PCT#1"</f>
        <v>TRASH PICK UP/PCT#1</v>
      </c>
      <c r="G463" s="5">
        <v>350</v>
      </c>
      <c r="H463" t="str">
        <f>"TRASH PICK UP/PCT#1"</f>
        <v>TRASH PICK UP/PCT#1</v>
      </c>
    </row>
    <row r="464" spans="1:8" x14ac:dyDescent="0.25">
      <c r="A464" t="s">
        <v>148</v>
      </c>
      <c r="B464">
        <v>2698</v>
      </c>
      <c r="C464" s="5">
        <v>2717</v>
      </c>
      <c r="D464" s="1">
        <v>43991</v>
      </c>
      <c r="E464" t="str">
        <f>"322"</f>
        <v>322</v>
      </c>
      <c r="F464" t="str">
        <f>"TOWER RENT"</f>
        <v>TOWER RENT</v>
      </c>
      <c r="G464" s="5">
        <v>2717</v>
      </c>
      <c r="H464" t="str">
        <f>"TOWER RENT"</f>
        <v>TOWER RENT</v>
      </c>
    </row>
    <row r="465" spans="1:8" x14ac:dyDescent="0.25">
      <c r="A465" t="s">
        <v>149</v>
      </c>
      <c r="B465">
        <v>132208</v>
      </c>
      <c r="C465" s="5">
        <v>1501.15</v>
      </c>
      <c r="D465" s="1">
        <v>44004</v>
      </c>
      <c r="E465" t="str">
        <f>"2020-052"</f>
        <v>2020-052</v>
      </c>
      <c r="F465" t="str">
        <f>"1342-21"</f>
        <v>1342-21</v>
      </c>
      <c r="G465" s="5">
        <v>1501.15</v>
      </c>
      <c r="H465" t="str">
        <f>"1342-21"</f>
        <v>1342-21</v>
      </c>
    </row>
    <row r="466" spans="1:8" x14ac:dyDescent="0.25">
      <c r="A466" t="s">
        <v>150</v>
      </c>
      <c r="B466">
        <v>132072</v>
      </c>
      <c r="C466" s="5">
        <v>210</v>
      </c>
      <c r="D466" s="1">
        <v>43990</v>
      </c>
      <c r="E466" t="str">
        <f>"3084"</f>
        <v>3084</v>
      </c>
      <c r="F466" t="str">
        <f>"PORTABLE TOILET/CONSTRUCTION"</f>
        <v>PORTABLE TOILET/CONSTRUCTION</v>
      </c>
      <c r="G466" s="5">
        <v>210</v>
      </c>
      <c r="H466" t="str">
        <f>"PORTABLE TOILET/CONSTRUCTION"</f>
        <v>PORTABLE TOILET/CONSTRUCTION</v>
      </c>
    </row>
    <row r="467" spans="1:8" x14ac:dyDescent="0.25">
      <c r="A467" t="s">
        <v>151</v>
      </c>
      <c r="B467">
        <v>2734</v>
      </c>
      <c r="C467" s="5">
        <v>240</v>
      </c>
      <c r="D467" s="1">
        <v>44005</v>
      </c>
      <c r="E467" t="str">
        <f>"276106"</f>
        <v>276106</v>
      </c>
      <c r="F467" t="str">
        <f>"ORD#19026965"</f>
        <v>ORD#19026965</v>
      </c>
      <c r="G467" s="5">
        <v>240</v>
      </c>
      <c r="H467" t="str">
        <f>"ORD#19026965"</f>
        <v>ORD#19026965</v>
      </c>
    </row>
    <row r="468" spans="1:8" x14ac:dyDescent="0.25">
      <c r="A468" t="s">
        <v>152</v>
      </c>
      <c r="B468">
        <v>132073</v>
      </c>
      <c r="C468" s="5">
        <v>25.41</v>
      </c>
      <c r="D468" s="1">
        <v>43990</v>
      </c>
      <c r="E468" t="str">
        <f>"X301079322:01"</f>
        <v>X301079322:01</v>
      </c>
      <c r="F468" t="str">
        <f>"FLEET#XJL499071/PCT#1"</f>
        <v>FLEET#XJL499071/PCT#1</v>
      </c>
      <c r="G468" s="5">
        <v>25.41</v>
      </c>
      <c r="H468" t="str">
        <f>"FLEET#XJL499071/PCT#1"</f>
        <v>FLEET#XJL499071/PCT#1</v>
      </c>
    </row>
    <row r="469" spans="1:8" x14ac:dyDescent="0.25">
      <c r="A469" t="s">
        <v>152</v>
      </c>
      <c r="B469">
        <v>132209</v>
      </c>
      <c r="C469" s="5">
        <v>485.29</v>
      </c>
      <c r="D469" s="1">
        <v>44004</v>
      </c>
      <c r="E469" t="str">
        <f>"R301011839:01"</f>
        <v>R301011839:01</v>
      </c>
      <c r="F469" t="str">
        <f>"2017 INTL/PCT#1"</f>
        <v>2017 INTL/PCT#1</v>
      </c>
      <c r="G469" s="5">
        <v>485.29</v>
      </c>
      <c r="H469" t="str">
        <f>"2017 INTL/PCT#1"</f>
        <v>2017 INTL/PCT#1</v>
      </c>
    </row>
    <row r="470" spans="1:8" x14ac:dyDescent="0.25">
      <c r="A470" t="s">
        <v>153</v>
      </c>
      <c r="B470">
        <v>132074</v>
      </c>
      <c r="C470" s="5">
        <v>1594.44</v>
      </c>
      <c r="D470" s="1">
        <v>43990</v>
      </c>
      <c r="E470" t="str">
        <f>"202006037115"</f>
        <v>202006037115</v>
      </c>
      <c r="F470" t="str">
        <f>"ACCT#1750/PCT#3"</f>
        <v>ACCT#1750/PCT#3</v>
      </c>
      <c r="G470" s="5">
        <v>598.69000000000005</v>
      </c>
      <c r="H470" t="str">
        <f>"ACCT#1750/PCT#3"</f>
        <v>ACCT#1750/PCT#3</v>
      </c>
    </row>
    <row r="471" spans="1:8" x14ac:dyDescent="0.25">
      <c r="E471" t="str">
        <f>"202006037118"</f>
        <v>202006037118</v>
      </c>
      <c r="F471" t="str">
        <f>"ACCT#1645/WILDFIRE MITIGATION"</f>
        <v>ACCT#1645/WILDFIRE MITIGATION</v>
      </c>
      <c r="G471" s="5">
        <v>35.28</v>
      </c>
      <c r="H471" t="str">
        <f>"ACCT#1645/WILDFIRE MITIGATION"</f>
        <v>ACCT#1645/WILDFIRE MITIGATION</v>
      </c>
    </row>
    <row r="472" spans="1:8" x14ac:dyDescent="0.25">
      <c r="E472" t="str">
        <f>"202006037120"</f>
        <v>202006037120</v>
      </c>
      <c r="F472" t="str">
        <f>"ACCT#1650/GEN SVCS"</f>
        <v>ACCT#1650/GEN SVCS</v>
      </c>
      <c r="G472" s="5">
        <v>210.08</v>
      </c>
      <c r="H472" t="str">
        <f>"ACCT#1650/GEN SVCS"</f>
        <v>ACCT#1650/GEN SVCS</v>
      </c>
    </row>
    <row r="473" spans="1:8" x14ac:dyDescent="0.25">
      <c r="E473" t="str">
        <f>"202006037121"</f>
        <v>202006037121</v>
      </c>
      <c r="F473" t="str">
        <f>"ACCT#1700/PCT#2"</f>
        <v>ACCT#1700/PCT#2</v>
      </c>
      <c r="G473" s="5">
        <v>291.95</v>
      </c>
      <c r="H473" t="str">
        <f>"ACCT#1700/PCT#2"</f>
        <v>ACCT#1700/PCT#2</v>
      </c>
    </row>
    <row r="474" spans="1:8" x14ac:dyDescent="0.25">
      <c r="E474" t="str">
        <f>"202006037123"</f>
        <v>202006037123</v>
      </c>
      <c r="F474" t="str">
        <f>"ACCT#1800/PCT#4"</f>
        <v>ACCT#1800/PCT#4</v>
      </c>
      <c r="G474" s="5">
        <v>401.99</v>
      </c>
      <c r="H474" t="str">
        <f>"ACCT#1800/PCT#4"</f>
        <v>ACCT#1800/PCT#4</v>
      </c>
    </row>
    <row r="475" spans="1:8" x14ac:dyDescent="0.25">
      <c r="E475" t="str">
        <f>"379-111570"</f>
        <v>379-111570</v>
      </c>
      <c r="F475" t="str">
        <f>"ACCT#1650/PCT#1"</f>
        <v>ACCT#1650/PCT#1</v>
      </c>
      <c r="G475" s="5">
        <v>56.45</v>
      </c>
      <c r="H475" t="str">
        <f>"ACCT#1650/PCT#1"</f>
        <v>ACCT#1650/PCT#1</v>
      </c>
    </row>
    <row r="476" spans="1:8" x14ac:dyDescent="0.25">
      <c r="A476" t="s">
        <v>154</v>
      </c>
      <c r="B476">
        <v>2668</v>
      </c>
      <c r="C476" s="5">
        <v>1651.18</v>
      </c>
      <c r="D476" s="1">
        <v>43991</v>
      </c>
      <c r="E476" t="str">
        <f>"05210922  05279635"</f>
        <v>05210922  05279635</v>
      </c>
      <c r="F476" t="str">
        <f>"INV 05210922"</f>
        <v>INV 05210922</v>
      </c>
      <c r="G476" s="5">
        <v>1651.18</v>
      </c>
      <c r="H476" t="str">
        <f>"INV 05210922"</f>
        <v>INV 05210922</v>
      </c>
    </row>
    <row r="477" spans="1:8" x14ac:dyDescent="0.25">
      <c r="E477" t="str">
        <f>""</f>
        <v/>
      </c>
      <c r="F477" t="str">
        <f>""</f>
        <v/>
      </c>
      <c r="H477" t="str">
        <f>"INV 05279635"</f>
        <v>INV 05279635</v>
      </c>
    </row>
    <row r="478" spans="1:8" x14ac:dyDescent="0.25">
      <c r="A478" t="s">
        <v>154</v>
      </c>
      <c r="B478">
        <v>2723</v>
      </c>
      <c r="C478" s="5">
        <v>2054.0700000000002</v>
      </c>
      <c r="D478" s="1">
        <v>44005</v>
      </c>
      <c r="E478" t="str">
        <f>"06032943  06105320"</f>
        <v>06032943  06105320</v>
      </c>
      <c r="F478" t="str">
        <f>"INV 06032943"</f>
        <v>INV 06032943</v>
      </c>
      <c r="G478" s="5">
        <v>2054.0700000000002</v>
      </c>
      <c r="H478" t="str">
        <f>"INV 06032943"</f>
        <v>INV 06032943</v>
      </c>
    </row>
    <row r="479" spans="1:8" x14ac:dyDescent="0.25">
      <c r="E479" t="str">
        <f>""</f>
        <v/>
      </c>
      <c r="F479" t="str">
        <f>""</f>
        <v/>
      </c>
      <c r="H479" t="str">
        <f>"INV 06105320"</f>
        <v>INV 06105320</v>
      </c>
    </row>
    <row r="480" spans="1:8" x14ac:dyDescent="0.25">
      <c r="A480" t="s">
        <v>155</v>
      </c>
      <c r="B480">
        <v>2689</v>
      </c>
      <c r="C480" s="5">
        <v>150</v>
      </c>
      <c r="D480" s="1">
        <v>43991</v>
      </c>
      <c r="E480" t="str">
        <f>"202006017040"</f>
        <v>202006017040</v>
      </c>
      <c r="F480" t="str">
        <f>"CLEANING SERVICE"</f>
        <v>CLEANING SERVICE</v>
      </c>
      <c r="G480" s="5">
        <v>150</v>
      </c>
      <c r="H480" t="str">
        <f>"CLEANING SERVICE"</f>
        <v>CLEANING SERVICE</v>
      </c>
    </row>
    <row r="481" spans="1:8" x14ac:dyDescent="0.25">
      <c r="A481" t="s">
        <v>155</v>
      </c>
      <c r="B481">
        <v>2751</v>
      </c>
      <c r="C481" s="5">
        <v>150</v>
      </c>
      <c r="D481" s="1">
        <v>44005</v>
      </c>
      <c r="E481" t="str">
        <f>"202006157305"</f>
        <v>202006157305</v>
      </c>
      <c r="F481" t="str">
        <f>"CLEANING SERVICE/PCT#2"</f>
        <v>CLEANING SERVICE/PCT#2</v>
      </c>
      <c r="G481" s="5">
        <v>150</v>
      </c>
      <c r="H481" t="str">
        <f>"CLEANING SERVICE/PCT#2"</f>
        <v>CLEANING SERVICE/PCT#2</v>
      </c>
    </row>
    <row r="482" spans="1:8" x14ac:dyDescent="0.25">
      <c r="A482" t="s">
        <v>156</v>
      </c>
      <c r="B482">
        <v>132210</v>
      </c>
      <c r="C482" s="5">
        <v>453</v>
      </c>
      <c r="D482" s="1">
        <v>44004</v>
      </c>
      <c r="E482" t="str">
        <f>"202006107275"</f>
        <v>202006107275</v>
      </c>
      <c r="F482" t="str">
        <f>"TIRE SVCS/PCT#4"</f>
        <v>TIRE SVCS/PCT#4</v>
      </c>
      <c r="G482" s="5">
        <v>453</v>
      </c>
      <c r="H482" t="str">
        <f>"TIRE SVCS/PCT#4"</f>
        <v>TIRE SVCS/PCT#4</v>
      </c>
    </row>
    <row r="483" spans="1:8" x14ac:dyDescent="0.25">
      <c r="A483" t="s">
        <v>157</v>
      </c>
      <c r="B483">
        <v>132020</v>
      </c>
      <c r="C483" s="5">
        <v>50.25</v>
      </c>
      <c r="D483" s="1">
        <v>43985</v>
      </c>
      <c r="E483" t="str">
        <f>"202006037137"</f>
        <v>202006037137</v>
      </c>
      <c r="F483" t="str">
        <f>"ACCT#1-09-00072-02/05222020"</f>
        <v>ACCT#1-09-00072-02/05222020</v>
      </c>
      <c r="G483" s="5">
        <v>50.25</v>
      </c>
      <c r="H483" t="str">
        <f>"ACCT#1-09-00072-02/05222020"</f>
        <v>ACCT#1-09-00072-02/05222020</v>
      </c>
    </row>
    <row r="484" spans="1:8" x14ac:dyDescent="0.25">
      <c r="A484" t="s">
        <v>157</v>
      </c>
      <c r="B484">
        <v>132298</v>
      </c>
      <c r="C484" s="5">
        <v>50.25</v>
      </c>
      <c r="D484" s="1">
        <v>44012</v>
      </c>
      <c r="E484" t="str">
        <f>"202006307475"</f>
        <v>202006307475</v>
      </c>
      <c r="F484" t="str">
        <f>"ACCT#1-09-00072-02 / 06252020"</f>
        <v>ACCT#1-09-00072-02 / 06252020</v>
      </c>
      <c r="G484" s="5">
        <v>50.25</v>
      </c>
      <c r="H484" t="str">
        <f>"ACCT#1-09-00072-02 / 06252020"</f>
        <v>ACCT#1-09-00072-02 / 06252020</v>
      </c>
    </row>
    <row r="485" spans="1:8" x14ac:dyDescent="0.25">
      <c r="A485" t="s">
        <v>158</v>
      </c>
      <c r="B485">
        <v>132075</v>
      </c>
      <c r="C485" s="5">
        <v>191</v>
      </c>
      <c r="D485" s="1">
        <v>43990</v>
      </c>
      <c r="E485" t="str">
        <f>"202005287021"</f>
        <v>202005287021</v>
      </c>
      <c r="F485" t="str">
        <f>"SITE EVALUATOR LIC/CONT ED"</f>
        <v>SITE EVALUATOR LIC/CONT ED</v>
      </c>
      <c r="G485" s="5">
        <v>191</v>
      </c>
      <c r="H485" t="str">
        <f>"SITE EVALUATOR LIC/CONT ED"</f>
        <v>SITE EVALUATOR LIC/CONT ED</v>
      </c>
    </row>
    <row r="486" spans="1:8" x14ac:dyDescent="0.25">
      <c r="A486" t="s">
        <v>159</v>
      </c>
      <c r="B486">
        <v>132076</v>
      </c>
      <c r="C486" s="5">
        <v>50</v>
      </c>
      <c r="D486" s="1">
        <v>43990</v>
      </c>
      <c r="E486" t="str">
        <f>"1489870-20200531"</f>
        <v>1489870-20200531</v>
      </c>
      <c r="F486" t="str">
        <f>"BILL ID:1489870/DISTRICT CLERK"</f>
        <v>BILL ID:1489870/DISTRICT CLERK</v>
      </c>
      <c r="G486" s="5">
        <v>50</v>
      </c>
      <c r="H486" t="str">
        <f>"BILL ID:1489870/DISTRICT CLERK"</f>
        <v>BILL ID:1489870/DISTRICT CLERK</v>
      </c>
    </row>
    <row r="487" spans="1:8" x14ac:dyDescent="0.25">
      <c r="A487" t="s">
        <v>159</v>
      </c>
      <c r="B487">
        <v>132211</v>
      </c>
      <c r="C487" s="5">
        <v>954.65</v>
      </c>
      <c r="D487" s="1">
        <v>44004</v>
      </c>
      <c r="E487" t="str">
        <f>"1211621-20200531"</f>
        <v>1211621-20200531</v>
      </c>
      <c r="F487" t="str">
        <f>"BILL ID:1211621/COUNTY HEALTH"</f>
        <v>BILL ID:1211621/COUNTY HEALTH</v>
      </c>
      <c r="G487" s="5">
        <v>411.75</v>
      </c>
      <c r="H487" t="str">
        <f>"BILL ID:1211621/COUNTY HEALTH"</f>
        <v>BILL ID:1211621/COUNTY HEALTH</v>
      </c>
    </row>
    <row r="488" spans="1:8" x14ac:dyDescent="0.25">
      <c r="E488" t="str">
        <f>"1361725-20200531"</f>
        <v>1361725-20200531</v>
      </c>
      <c r="F488" t="str">
        <f>"BILL ID:1361725/INDIGENT HEALT"</f>
        <v>BILL ID:1361725/INDIGENT HEALT</v>
      </c>
      <c r="G488" s="5">
        <v>150</v>
      </c>
      <c r="H488" t="str">
        <f>"BILL ID:1361725/INDIGENT HEALT"</f>
        <v>BILL ID:1361725/INDIGENT HEALT</v>
      </c>
    </row>
    <row r="489" spans="1:8" x14ac:dyDescent="0.25">
      <c r="E489" t="str">
        <f>"1394645-20200430-R"</f>
        <v>1394645-20200430-R</v>
      </c>
      <c r="F489" t="str">
        <f>"BILL ID:1394645/COUNTY CLERK"</f>
        <v>BILL ID:1394645/COUNTY CLERK</v>
      </c>
      <c r="G489" s="5">
        <v>50</v>
      </c>
      <c r="H489" t="str">
        <f>"BILL ID:1394645/COUNTY CLERK"</f>
        <v>BILL ID:1394645/COUNTY CLERK</v>
      </c>
    </row>
    <row r="490" spans="1:8" x14ac:dyDescent="0.25">
      <c r="E490" t="str">
        <f>"1394645-20200531"</f>
        <v>1394645-20200531</v>
      </c>
      <c r="F490" t="str">
        <f>"BILL ID:1394645/COUNTY CLERK"</f>
        <v>BILL ID:1394645/COUNTY CLERK</v>
      </c>
      <c r="G490" s="5">
        <v>28.5</v>
      </c>
      <c r="H490" t="str">
        <f>"BILL ID:1394645/COUNTY CLERK"</f>
        <v>BILL ID:1394645/COUNTY CLERK</v>
      </c>
    </row>
    <row r="491" spans="1:8" x14ac:dyDescent="0.25">
      <c r="E491" t="str">
        <f>"1420944-20200531"</f>
        <v>1420944-20200531</v>
      </c>
      <c r="F491" t="str">
        <f>"BILL ID:1420944/SHERIFF'S OFF"</f>
        <v>BILL ID:1420944/SHERIFF'S OFF</v>
      </c>
      <c r="G491" s="5">
        <v>314.39999999999998</v>
      </c>
      <c r="H491" t="str">
        <f>"BILL ID:1420944/SHERIFF'S OFF"</f>
        <v>BILL ID:1420944/SHERIFF'S OFF</v>
      </c>
    </row>
    <row r="492" spans="1:8" x14ac:dyDescent="0.25">
      <c r="A492" t="s">
        <v>160</v>
      </c>
      <c r="B492">
        <v>2701</v>
      </c>
      <c r="C492" s="5">
        <v>111.25</v>
      </c>
      <c r="D492" s="1">
        <v>43991</v>
      </c>
      <c r="E492" t="str">
        <f>"202005287024"</f>
        <v>202005287024</v>
      </c>
      <c r="F492" t="str">
        <f>"2008 FRHT REGISTRATION/PCT#4"</f>
        <v>2008 FRHT REGISTRATION/PCT#4</v>
      </c>
      <c r="G492" s="5">
        <v>22</v>
      </c>
      <c r="H492" t="str">
        <f>"2008 FRHT REGISTRATION/PCT#4"</f>
        <v>2008 FRHT REGISTRATION/PCT#4</v>
      </c>
    </row>
    <row r="493" spans="1:8" x14ac:dyDescent="0.25">
      <c r="E493" t="str">
        <f>"202006017039"</f>
        <v>202006017039</v>
      </c>
      <c r="F493" t="str">
        <f>"TRAILER REGISTRATION/SHERIFF"</f>
        <v>TRAILER REGISTRATION/SHERIFF</v>
      </c>
      <c r="G493" s="5">
        <v>37.25</v>
      </c>
      <c r="H493" t="str">
        <f>"TRAILER REGISTRATION/SHERIFF"</f>
        <v>TRAILER REGISTRATION/SHERIFF</v>
      </c>
    </row>
    <row r="494" spans="1:8" x14ac:dyDescent="0.25">
      <c r="E494" t="str">
        <f>"202006027083"</f>
        <v>202006027083</v>
      </c>
      <c r="F494" t="str">
        <f>"VEHICLE REGISTRATION-AGRI LIFE"</f>
        <v>VEHICLE REGISTRATION-AGRI LIFE</v>
      </c>
      <c r="G494" s="5">
        <v>7.5</v>
      </c>
      <c r="H494" t="str">
        <f>"VEHICLE REGISTRATION-AGRI LIFE"</f>
        <v>VEHICLE REGISTRATION-AGRI LIFE</v>
      </c>
    </row>
    <row r="495" spans="1:8" x14ac:dyDescent="0.25">
      <c r="E495" t="str">
        <f>"202006027094"</f>
        <v>202006027094</v>
      </c>
      <c r="F495" t="str">
        <f>"VEHICLE REGISTRATIONS-SHERIFF"</f>
        <v>VEHICLE REGISTRATIONS-SHERIFF</v>
      </c>
      <c r="G495" s="5">
        <v>22.5</v>
      </c>
      <c r="H495" t="str">
        <f>"VEHICLE REGISTRATIONS-SHERIFF"</f>
        <v>VEHICLE REGISTRATIONS-SHERIFF</v>
      </c>
    </row>
    <row r="496" spans="1:8" x14ac:dyDescent="0.25">
      <c r="E496" t="str">
        <f>"202006037111"</f>
        <v>202006037111</v>
      </c>
      <c r="F496" t="str">
        <f>"TITLE TRANSFER/2021 FRHT/PCT#4"</f>
        <v>TITLE TRANSFER/2021 FRHT/PCT#4</v>
      </c>
      <c r="G496" s="5">
        <v>22</v>
      </c>
      <c r="H496" t="str">
        <f>"TITLE TRANSFER/2021 FRHT/PCT#4"</f>
        <v>TITLE TRANSFER/2021 FRHT/PCT#4</v>
      </c>
    </row>
    <row r="497" spans="1:8" x14ac:dyDescent="0.25">
      <c r="A497" t="s">
        <v>160</v>
      </c>
      <c r="B497">
        <v>2764</v>
      </c>
      <c r="C497" s="5">
        <v>67.5</v>
      </c>
      <c r="D497" s="1">
        <v>44005</v>
      </c>
      <c r="E497" t="str">
        <f>"202006127300"</f>
        <v>202006127300</v>
      </c>
      <c r="F497" t="str">
        <f>"VEHICLE REGISTRATIONS-HABITAT"</f>
        <v>VEHICLE REGISTRATIONS-HABITAT</v>
      </c>
      <c r="G497" s="5">
        <v>67.5</v>
      </c>
      <c r="H497" t="str">
        <f>"VEHICLE REGISTRATIONS-HABITAT"</f>
        <v>VEHICLE REGISTRATIONS-HABITAT</v>
      </c>
    </row>
    <row r="498" spans="1:8" x14ac:dyDescent="0.25">
      <c r="A498" t="s">
        <v>161</v>
      </c>
      <c r="B498">
        <v>2742</v>
      </c>
      <c r="C498" s="5">
        <v>280.38</v>
      </c>
      <c r="D498" s="1">
        <v>44005</v>
      </c>
      <c r="E498" t="str">
        <f>"202006167346"</f>
        <v>202006167346</v>
      </c>
      <c r="F498" t="str">
        <f>"INDIGENT HEALTH"</f>
        <v>INDIGENT HEALTH</v>
      </c>
      <c r="G498" s="5">
        <v>280.38</v>
      </c>
      <c r="H498" t="str">
        <f>"INDIGENT HEALTH"</f>
        <v>INDIGENT HEALTH</v>
      </c>
    </row>
    <row r="499" spans="1:8" x14ac:dyDescent="0.25">
      <c r="E499" t="str">
        <f>""</f>
        <v/>
      </c>
      <c r="F499" t="str">
        <f>""</f>
        <v/>
      </c>
      <c r="H499" t="str">
        <f>"INDIGENT HEALTH"</f>
        <v>INDIGENT HEALTH</v>
      </c>
    </row>
    <row r="500" spans="1:8" x14ac:dyDescent="0.25">
      <c r="E500" t="str">
        <f>""</f>
        <v/>
      </c>
      <c r="F500" t="str">
        <f>""</f>
        <v/>
      </c>
      <c r="H500" t="str">
        <f>"INDIGENT HEALTH"</f>
        <v>INDIGENT HEALTH</v>
      </c>
    </row>
    <row r="501" spans="1:8" x14ac:dyDescent="0.25">
      <c r="A501" t="s">
        <v>162</v>
      </c>
      <c r="B501">
        <v>2680</v>
      </c>
      <c r="C501" s="5">
        <v>1206.5</v>
      </c>
      <c r="D501" s="1">
        <v>43991</v>
      </c>
      <c r="E501" t="str">
        <f>"202006027100"</f>
        <v>202006027100</v>
      </c>
      <c r="F501" t="str">
        <f>"INV LS-UNIT0126-RW"</f>
        <v>INV LS-UNIT0126-RW</v>
      </c>
      <c r="G501" s="5">
        <v>450</v>
      </c>
      <c r="H501" t="str">
        <f>"INV LS-UNIT0126-RW"</f>
        <v>INV LS-UNIT0126-RW</v>
      </c>
    </row>
    <row r="502" spans="1:8" x14ac:dyDescent="0.25">
      <c r="E502" t="str">
        <f>"LS-2014"</f>
        <v>LS-2014</v>
      </c>
      <c r="F502" t="str">
        <f>"INV LS-2014 EXPLORER-BG"</f>
        <v>INV LS-2014 EXPLORER-BG</v>
      </c>
      <c r="G502" s="5">
        <v>756.5</v>
      </c>
      <c r="H502" t="str">
        <f>"INV LS-2014 EXPLORER-BG"</f>
        <v>INV LS-2014 EXPLORER-BG</v>
      </c>
    </row>
    <row r="503" spans="1:8" x14ac:dyDescent="0.25">
      <c r="A503" t="s">
        <v>162</v>
      </c>
      <c r="B503">
        <v>2741</v>
      </c>
      <c r="C503" s="5">
        <v>350</v>
      </c>
      <c r="D503" s="1">
        <v>44005</v>
      </c>
      <c r="E503" t="str">
        <f>"GS-2015EXPLORER KC"</f>
        <v>GS-2015EXPLORER KC</v>
      </c>
      <c r="F503" t="str">
        <f>"INV GS-2015EXPLRER-KC"</f>
        <v>INV GS-2015EXPLRER-KC</v>
      </c>
      <c r="G503" s="5">
        <v>350</v>
      </c>
      <c r="H503" t="str">
        <f>"INV GS-2015EXPLRER-KC"</f>
        <v>INV GS-2015EXPLRER-KC</v>
      </c>
    </row>
    <row r="504" spans="1:8" x14ac:dyDescent="0.25">
      <c r="A504" t="s">
        <v>163</v>
      </c>
      <c r="B504">
        <v>2686</v>
      </c>
      <c r="C504" s="5">
        <v>682.5</v>
      </c>
      <c r="D504" s="1">
        <v>43991</v>
      </c>
      <c r="E504" t="str">
        <f>"202006027085"</f>
        <v>202006027085</v>
      </c>
      <c r="F504" t="str">
        <f>"TRASH REMOVAL/PCT#4"</f>
        <v>TRASH REMOVAL/PCT#4</v>
      </c>
      <c r="G504" s="5">
        <v>422.5</v>
      </c>
      <c r="H504" t="str">
        <f>"TRASH REMOVAL/PCT#4"</f>
        <v>TRASH REMOVAL/PCT#4</v>
      </c>
    </row>
    <row r="505" spans="1:8" x14ac:dyDescent="0.25">
      <c r="E505" t="str">
        <f>"202006027086"</f>
        <v>202006027086</v>
      </c>
      <c r="F505" t="str">
        <f>"TRASH REMOVAL/PCT#4"</f>
        <v>TRASH REMOVAL/PCT#4</v>
      </c>
      <c r="G505" s="5">
        <v>260</v>
      </c>
      <c r="H505" t="str">
        <f>"TRASH REMOVAL/PCT#4"</f>
        <v>TRASH REMOVAL/PCT#4</v>
      </c>
    </row>
    <row r="506" spans="1:8" x14ac:dyDescent="0.25">
      <c r="A506" t="s">
        <v>163</v>
      </c>
      <c r="B506">
        <v>2747</v>
      </c>
      <c r="C506" s="5">
        <v>767</v>
      </c>
      <c r="D506" s="1">
        <v>44005</v>
      </c>
      <c r="E506" t="str">
        <f>"202006167323"</f>
        <v>202006167323</v>
      </c>
      <c r="F506" t="str">
        <f>"TRASH REMOVAL/JUNE15-18/PCT#4"</f>
        <v>TRASH REMOVAL/JUNE15-18/PCT#4</v>
      </c>
      <c r="G506" s="5">
        <v>767</v>
      </c>
      <c r="H506" t="str">
        <f>"TRASH REMOVAL/JUNE15-18/PCT#4"</f>
        <v>TRASH REMOVAL/JUNE15-18/PCT#4</v>
      </c>
    </row>
    <row r="507" spans="1:8" x14ac:dyDescent="0.25">
      <c r="A507" t="s">
        <v>164</v>
      </c>
      <c r="B507">
        <v>2707</v>
      </c>
      <c r="C507" s="5">
        <v>80</v>
      </c>
      <c r="D507" s="1">
        <v>43991</v>
      </c>
      <c r="E507" t="str">
        <f>"10-0093958  92096"</f>
        <v>10-0093958  92096</v>
      </c>
      <c r="F507" t="str">
        <f>"INV 10-0093958/10-0092096"</f>
        <v>INV 10-0093958/10-0092096</v>
      </c>
      <c r="G507" s="5">
        <v>80</v>
      </c>
      <c r="H507" t="str">
        <f>"INV 10-0093958"</f>
        <v>INV 10-0093958</v>
      </c>
    </row>
    <row r="508" spans="1:8" x14ac:dyDescent="0.25">
      <c r="E508" t="str">
        <f>""</f>
        <v/>
      </c>
      <c r="F508" t="str">
        <f>""</f>
        <v/>
      </c>
      <c r="H508" t="str">
        <f>"INV 10-0092096"</f>
        <v>INV 10-0092096</v>
      </c>
    </row>
    <row r="509" spans="1:8" x14ac:dyDescent="0.25">
      <c r="A509" t="s">
        <v>165</v>
      </c>
      <c r="B509">
        <v>132212</v>
      </c>
      <c r="C509" s="5">
        <v>118.7</v>
      </c>
      <c r="D509" s="1">
        <v>44004</v>
      </c>
      <c r="E509" t="str">
        <f>"910434"</f>
        <v>910434</v>
      </c>
      <c r="F509" t="str">
        <f>"acct# 8692"</f>
        <v>acct# 8692</v>
      </c>
      <c r="G509" s="5">
        <v>118.7</v>
      </c>
      <c r="H509" t="str">
        <f>"inv# 910434"</f>
        <v>inv# 910434</v>
      </c>
    </row>
    <row r="510" spans="1:8" x14ac:dyDescent="0.25">
      <c r="A510" t="s">
        <v>166</v>
      </c>
      <c r="B510">
        <v>132213</v>
      </c>
      <c r="C510" s="5">
        <v>18.39</v>
      </c>
      <c r="D510" s="1">
        <v>44004</v>
      </c>
      <c r="E510" t="str">
        <f>"202006107274"</f>
        <v>202006107274</v>
      </c>
      <c r="F510" t="str">
        <f>"REIMBURSEMENT"</f>
        <v>REIMBURSEMENT</v>
      </c>
      <c r="G510" s="5">
        <v>18.39</v>
      </c>
      <c r="H510" t="str">
        <f>"REIMBURSEMENT"</f>
        <v>REIMBURSEMENT</v>
      </c>
    </row>
    <row r="511" spans="1:8" x14ac:dyDescent="0.25">
      <c r="A511" t="s">
        <v>167</v>
      </c>
      <c r="B511">
        <v>132214</v>
      </c>
      <c r="C511" s="5">
        <v>590.05999999999995</v>
      </c>
      <c r="D511" s="1">
        <v>44004</v>
      </c>
      <c r="E511" t="str">
        <f>"IN0037912"</f>
        <v>IN0037912</v>
      </c>
      <c r="F511" t="str">
        <f>"INV IN0037912"</f>
        <v>INV IN0037912</v>
      </c>
      <c r="G511" s="5">
        <v>590.05999999999995</v>
      </c>
      <c r="H511" t="str">
        <f>"INV IN0037912"</f>
        <v>INV IN0037912</v>
      </c>
    </row>
    <row r="512" spans="1:8" x14ac:dyDescent="0.25">
      <c r="A512" t="s">
        <v>168</v>
      </c>
      <c r="B512">
        <v>132077</v>
      </c>
      <c r="C512" s="5">
        <v>250</v>
      </c>
      <c r="D512" s="1">
        <v>43990</v>
      </c>
      <c r="E512" t="str">
        <f>"202005297032"</f>
        <v>202005297032</v>
      </c>
      <c r="F512" t="str">
        <f>"REFUND FOR DVLPMT &amp; DRWY PERMI"</f>
        <v>REFUND FOR DVLPMT &amp; DRWY PERMI</v>
      </c>
      <c r="G512" s="5">
        <v>250</v>
      </c>
      <c r="H512" t="str">
        <f>"REFUND FOR DVLPMT &amp; DRWY PERMI"</f>
        <v>REFUND FOR DVLPMT &amp; DRWY PERMI</v>
      </c>
    </row>
    <row r="513" spans="1:8" x14ac:dyDescent="0.25">
      <c r="A513" t="s">
        <v>169</v>
      </c>
      <c r="B513">
        <v>132215</v>
      </c>
      <c r="C513" s="5">
        <v>130.1</v>
      </c>
      <c r="D513" s="1">
        <v>44004</v>
      </c>
      <c r="E513" t="str">
        <f>"202006167347"</f>
        <v>202006167347</v>
      </c>
      <c r="F513" t="str">
        <f>"INDIGENT HEALTH"</f>
        <v>INDIGENT HEALTH</v>
      </c>
      <c r="G513" s="5">
        <v>130.1</v>
      </c>
      <c r="H513" t="str">
        <f>"INDIGENT HEALTH"</f>
        <v>INDIGENT HEALTH</v>
      </c>
    </row>
    <row r="514" spans="1:8" x14ac:dyDescent="0.25">
      <c r="A514" t="s">
        <v>170</v>
      </c>
      <c r="B514">
        <v>132078</v>
      </c>
      <c r="C514" s="5">
        <v>1524.39</v>
      </c>
      <c r="D514" s="1">
        <v>43990</v>
      </c>
      <c r="E514" t="str">
        <f>"INV001880289"</f>
        <v>INV001880289</v>
      </c>
      <c r="F514" t="str">
        <f>"INV001880289"</f>
        <v>INV001880289</v>
      </c>
      <c r="G514" s="5">
        <v>1524.39</v>
      </c>
      <c r="H514" t="str">
        <f>"INV001880289"</f>
        <v>INV001880289</v>
      </c>
    </row>
    <row r="515" spans="1:8" x14ac:dyDescent="0.25">
      <c r="A515" t="s">
        <v>171</v>
      </c>
      <c r="B515">
        <v>2679</v>
      </c>
      <c r="C515" s="5">
        <v>250</v>
      </c>
      <c r="D515" s="1">
        <v>43991</v>
      </c>
      <c r="E515" t="str">
        <f>"202006027081"</f>
        <v>202006027081</v>
      </c>
      <c r="F515" t="str">
        <f>"56 319"</f>
        <v>56 319</v>
      </c>
      <c r="G515" s="5">
        <v>250</v>
      </c>
      <c r="H515" t="str">
        <f>"56 319"</f>
        <v>56 319</v>
      </c>
    </row>
    <row r="516" spans="1:8" x14ac:dyDescent="0.25">
      <c r="A516" t="s">
        <v>171</v>
      </c>
      <c r="B516">
        <v>2737</v>
      </c>
      <c r="C516" s="5">
        <v>1300</v>
      </c>
      <c r="D516" s="1">
        <v>44005</v>
      </c>
      <c r="E516" t="str">
        <f>"202006117294"</f>
        <v>202006117294</v>
      </c>
      <c r="F516" t="str">
        <f>"20-20056"</f>
        <v>20-20056</v>
      </c>
      <c r="G516" s="5">
        <v>675</v>
      </c>
      <c r="H516" t="str">
        <f>"20-20056"</f>
        <v>20-20056</v>
      </c>
    </row>
    <row r="517" spans="1:8" x14ac:dyDescent="0.25">
      <c r="E517" t="str">
        <f>"202006117295"</f>
        <v>202006117295</v>
      </c>
      <c r="F517" t="str">
        <f>"19-10067"</f>
        <v>19-10067</v>
      </c>
      <c r="G517" s="5">
        <v>625</v>
      </c>
      <c r="H517" t="str">
        <f>"19-10067"</f>
        <v>19-10067</v>
      </c>
    </row>
    <row r="518" spans="1:8" x14ac:dyDescent="0.25">
      <c r="A518" t="s">
        <v>172</v>
      </c>
      <c r="B518">
        <v>132216</v>
      </c>
      <c r="C518" s="5">
        <v>3</v>
      </c>
      <c r="D518" s="1">
        <v>44004</v>
      </c>
      <c r="E518" t="str">
        <f>"13409"</f>
        <v>13409</v>
      </c>
      <c r="F518" t="str">
        <f>"REFUND FOR OVERPAYMENT"</f>
        <v>REFUND FOR OVERPAYMENT</v>
      </c>
      <c r="G518" s="5">
        <v>3</v>
      </c>
      <c r="H518" t="str">
        <f>"REFUND FOR OVERPAYMENT"</f>
        <v>REFUND FOR OVERPAYMENT</v>
      </c>
    </row>
    <row r="519" spans="1:8" x14ac:dyDescent="0.25">
      <c r="A519" t="s">
        <v>173</v>
      </c>
      <c r="B519">
        <v>132217</v>
      </c>
      <c r="C519" s="5">
        <v>283.88</v>
      </c>
      <c r="D519" s="1">
        <v>44004</v>
      </c>
      <c r="E519" t="str">
        <f>"21760192"</f>
        <v>21760192</v>
      </c>
      <c r="F519" t="str">
        <f>"ACCT#41472/PCT#1"</f>
        <v>ACCT#41472/PCT#1</v>
      </c>
      <c r="G519" s="5">
        <v>26.73</v>
      </c>
      <c r="H519" t="str">
        <f>"ACCT#41472/PCT#1"</f>
        <v>ACCT#41472/PCT#1</v>
      </c>
    </row>
    <row r="520" spans="1:8" x14ac:dyDescent="0.25">
      <c r="E520" t="str">
        <f>"21760270"</f>
        <v>21760270</v>
      </c>
      <c r="F520" t="str">
        <f>"ACCT#45057/PCT#4"</f>
        <v>ACCT#45057/PCT#4</v>
      </c>
      <c r="G520" s="5">
        <v>48.73</v>
      </c>
      <c r="H520" t="str">
        <f>"ACCT#45057/PCT#4"</f>
        <v>ACCT#45057/PCT#4</v>
      </c>
    </row>
    <row r="521" spans="1:8" x14ac:dyDescent="0.25">
      <c r="E521" t="str">
        <f>"21760324"</f>
        <v>21760324</v>
      </c>
      <c r="F521" t="str">
        <f>"INV 21760324"</f>
        <v>INV 21760324</v>
      </c>
      <c r="G521" s="5">
        <v>58.42</v>
      </c>
      <c r="H521" t="str">
        <f>"INV 21760324"</f>
        <v>INV 21760324</v>
      </c>
    </row>
    <row r="522" spans="1:8" x14ac:dyDescent="0.25">
      <c r="E522" t="str">
        <f>"21767750"</f>
        <v>21767750</v>
      </c>
      <c r="F522" t="str">
        <f>"ACCT#S9549/PCT#1"</f>
        <v>ACCT#S9549/PCT#1</v>
      </c>
      <c r="G522" s="5">
        <v>150</v>
      </c>
      <c r="H522" t="str">
        <f>"ACCT#S9549/PCT#1"</f>
        <v>ACCT#S9549/PCT#1</v>
      </c>
    </row>
    <row r="523" spans="1:8" x14ac:dyDescent="0.25">
      <c r="A523" t="s">
        <v>174</v>
      </c>
      <c r="B523">
        <v>2699</v>
      </c>
      <c r="C523" s="5">
        <v>61.29</v>
      </c>
      <c r="D523" s="1">
        <v>43991</v>
      </c>
      <c r="E523" t="str">
        <f>"689506"</f>
        <v>689506</v>
      </c>
      <c r="F523" t="str">
        <f>"ORD#408798/SIGN SHOP"</f>
        <v>ORD#408798/SIGN SHOP</v>
      </c>
      <c r="G523" s="5">
        <v>61.29</v>
      </c>
      <c r="H523" t="str">
        <f>"ORD#408798/SIGN SHOP"</f>
        <v>ORD#408798/SIGN SHOP</v>
      </c>
    </row>
    <row r="524" spans="1:8" x14ac:dyDescent="0.25">
      <c r="A524" t="s">
        <v>175</v>
      </c>
      <c r="B524">
        <v>132079</v>
      </c>
      <c r="C524" s="5">
        <v>10315.549999999999</v>
      </c>
      <c r="D524" s="1">
        <v>43990</v>
      </c>
      <c r="E524" t="str">
        <f>"202006037119"</f>
        <v>202006037119</v>
      </c>
      <c r="F524" t="str">
        <f>"ATTORNEYS FEES-MAY 2020"</f>
        <v>ATTORNEYS FEES-MAY 2020</v>
      </c>
      <c r="G524" s="5">
        <v>10315.549999999999</v>
      </c>
      <c r="H524" t="str">
        <f>"ATTORNEYS FEES-MAY 2020"</f>
        <v>ATTORNEYS FEES-MAY 2020</v>
      </c>
    </row>
    <row r="525" spans="1:8" x14ac:dyDescent="0.25">
      <c r="A525" t="s">
        <v>175</v>
      </c>
      <c r="B525">
        <v>132218</v>
      </c>
      <c r="C525" s="5">
        <v>841</v>
      </c>
      <c r="D525" s="1">
        <v>44004</v>
      </c>
      <c r="E525" t="str">
        <f>"13409"</f>
        <v>13409</v>
      </c>
      <c r="F525" t="str">
        <f>"ABST FEE"</f>
        <v>ABST FEE</v>
      </c>
      <c r="G525" s="5">
        <v>225</v>
      </c>
      <c r="H525" t="str">
        <f>"ABST FEE"</f>
        <v>ABST FEE</v>
      </c>
    </row>
    <row r="526" spans="1:8" x14ac:dyDescent="0.25">
      <c r="E526" t="str">
        <f>"13414  05/11/20"</f>
        <v>13414  05/11/20</v>
      </c>
      <c r="F526" t="str">
        <f>"ABST FEE"</f>
        <v>ABST FEE</v>
      </c>
      <c r="G526" s="5">
        <v>166</v>
      </c>
      <c r="H526" t="str">
        <f>"ABST FEE"</f>
        <v>ABST FEE</v>
      </c>
    </row>
    <row r="527" spans="1:8" x14ac:dyDescent="0.25">
      <c r="E527" t="str">
        <f>"13415"</f>
        <v>13415</v>
      </c>
      <c r="F527" t="str">
        <f>"ABST FEE"</f>
        <v>ABST FEE</v>
      </c>
      <c r="G527" s="5">
        <v>225</v>
      </c>
      <c r="H527" t="str">
        <f>"ABST FEE"</f>
        <v>ABST FEE</v>
      </c>
    </row>
    <row r="528" spans="1:8" x14ac:dyDescent="0.25">
      <c r="E528" t="str">
        <f>"13443"</f>
        <v>13443</v>
      </c>
      <c r="F528" t="str">
        <f>"ABST FEE"</f>
        <v>ABST FEE</v>
      </c>
      <c r="G528" s="5">
        <v>225</v>
      </c>
      <c r="H528" t="str">
        <f>"ABST FEE"</f>
        <v>ABST FEE</v>
      </c>
    </row>
    <row r="529" spans="1:8" x14ac:dyDescent="0.25">
      <c r="A529" t="s">
        <v>176</v>
      </c>
      <c r="B529">
        <v>132080</v>
      </c>
      <c r="C529" s="5">
        <v>439.77</v>
      </c>
      <c r="D529" s="1">
        <v>43990</v>
      </c>
      <c r="E529" t="str">
        <f>"92047899 05097193"</f>
        <v>92047899 05097193</v>
      </c>
      <c r="F529" t="str">
        <f>"INV 92047899"</f>
        <v>INV 92047899</v>
      </c>
      <c r="G529" s="5">
        <v>439.77</v>
      </c>
      <c r="H529" t="str">
        <f>"INV 92047899"</f>
        <v>INV 92047899</v>
      </c>
    </row>
    <row r="530" spans="1:8" x14ac:dyDescent="0.25">
      <c r="E530" t="str">
        <f>""</f>
        <v/>
      </c>
      <c r="F530" t="str">
        <f>""</f>
        <v/>
      </c>
      <c r="H530" t="str">
        <f>"INV 05097193"</f>
        <v>INV 05097193</v>
      </c>
    </row>
    <row r="531" spans="1:8" x14ac:dyDescent="0.25">
      <c r="A531" t="s">
        <v>177</v>
      </c>
      <c r="B531">
        <v>132219</v>
      </c>
      <c r="C531" s="5">
        <v>1523.7</v>
      </c>
      <c r="D531" s="1">
        <v>44004</v>
      </c>
      <c r="E531" t="str">
        <f>"202006167356"</f>
        <v>202006167356</v>
      </c>
      <c r="F531" t="str">
        <f>"INDIGENT HEALTH"</f>
        <v>INDIGENT HEALTH</v>
      </c>
      <c r="G531" s="5">
        <v>1523.7</v>
      </c>
      <c r="H531" t="str">
        <f>"INDIGENT HEALTH"</f>
        <v>INDIGENT HEALTH</v>
      </c>
    </row>
    <row r="532" spans="1:8" x14ac:dyDescent="0.25">
      <c r="E532" t="str">
        <f>""</f>
        <v/>
      </c>
      <c r="F532" t="str">
        <f>""</f>
        <v/>
      </c>
      <c r="H532" t="str">
        <f>"INDIGENT HEALTH"</f>
        <v>INDIGENT HEALTH</v>
      </c>
    </row>
    <row r="533" spans="1:8" x14ac:dyDescent="0.25">
      <c r="A533" t="s">
        <v>178</v>
      </c>
      <c r="B533">
        <v>2690</v>
      </c>
      <c r="C533" s="5">
        <v>539.54999999999995</v>
      </c>
      <c r="D533" s="1">
        <v>43991</v>
      </c>
      <c r="E533" t="str">
        <f>"202005287026"</f>
        <v>202005287026</v>
      </c>
      <c r="F533" t="str">
        <f>"MILEAGE REIMBURSEMENT"</f>
        <v>MILEAGE REIMBURSEMENT</v>
      </c>
      <c r="G533" s="5">
        <v>218.5</v>
      </c>
      <c r="H533" t="str">
        <f>"MILEAGE REIMBURSEMENT"</f>
        <v>MILEAGE REIMBURSEMENT</v>
      </c>
    </row>
    <row r="534" spans="1:8" x14ac:dyDescent="0.25">
      <c r="E534" t="str">
        <f>"202005287027"</f>
        <v>202005287027</v>
      </c>
      <c r="F534" t="str">
        <f>"REIMBURSE LODGING"</f>
        <v>REIMBURSE LODGING</v>
      </c>
      <c r="G534" s="5">
        <v>321.05</v>
      </c>
      <c r="H534" t="str">
        <f>"REIMBURSE LODGING"</f>
        <v>REIMBURSE LODGING</v>
      </c>
    </row>
    <row r="535" spans="1:8" x14ac:dyDescent="0.25">
      <c r="A535" t="s">
        <v>179</v>
      </c>
      <c r="B535">
        <v>2672</v>
      </c>
      <c r="C535" s="5">
        <v>2490.25</v>
      </c>
      <c r="D535" s="1">
        <v>43991</v>
      </c>
      <c r="E535" t="str">
        <f>"22177"</f>
        <v>22177</v>
      </c>
      <c r="F535" t="str">
        <f>"FREIGHT SALES/PCT#2"</f>
        <v>FREIGHT SALES/PCT#2</v>
      </c>
      <c r="G535" s="5">
        <v>1406.7</v>
      </c>
      <c r="H535" t="str">
        <f>"FREIGHT SALES/PCT#2"</f>
        <v>FREIGHT SALES/PCT#2</v>
      </c>
    </row>
    <row r="536" spans="1:8" x14ac:dyDescent="0.25">
      <c r="E536" t="str">
        <f>"22231"</f>
        <v>22231</v>
      </c>
      <c r="F536" t="str">
        <f>"FREIGHT SALES/PCT#2"</f>
        <v>FREIGHT SALES/PCT#2</v>
      </c>
      <c r="G536" s="5">
        <v>1083.55</v>
      </c>
      <c r="H536" t="str">
        <f>"FREIGHT SALES/PCT#2"</f>
        <v>FREIGHT SALES/PCT#2</v>
      </c>
    </row>
    <row r="537" spans="1:8" x14ac:dyDescent="0.25">
      <c r="A537" t="s">
        <v>179</v>
      </c>
      <c r="B537">
        <v>2727</v>
      </c>
      <c r="C537" s="5">
        <v>2185.6</v>
      </c>
      <c r="D537" s="1">
        <v>44005</v>
      </c>
      <c r="E537" t="str">
        <f>"22266"</f>
        <v>22266</v>
      </c>
      <c r="F537" t="str">
        <f>"FREIGHT SALES/PCT#2"</f>
        <v>FREIGHT SALES/PCT#2</v>
      </c>
      <c r="G537" s="5">
        <v>1176</v>
      </c>
      <c r="H537" t="str">
        <f>"FREIGHT SALES/PCT#2"</f>
        <v>FREIGHT SALES/PCT#2</v>
      </c>
    </row>
    <row r="538" spans="1:8" x14ac:dyDescent="0.25">
      <c r="E538" t="str">
        <f>"22321"</f>
        <v>22321</v>
      </c>
      <c r="F538" t="str">
        <f>"FREIGHT SALES/PCT#2"</f>
        <v>FREIGHT SALES/PCT#2</v>
      </c>
      <c r="G538" s="5">
        <v>1009.6</v>
      </c>
      <c r="H538" t="str">
        <f>"FREIGHT SALES/PCT#2"</f>
        <v>FREIGHT SALES/PCT#2</v>
      </c>
    </row>
    <row r="539" spans="1:8" x14ac:dyDescent="0.25">
      <c r="A539" t="s">
        <v>180</v>
      </c>
      <c r="B539">
        <v>132138</v>
      </c>
      <c r="C539" s="5">
        <v>40</v>
      </c>
      <c r="D539" s="1">
        <v>43997</v>
      </c>
      <c r="E539" t="str">
        <f>"202006157306"</f>
        <v>202006157306</v>
      </c>
      <c r="F539" t="str">
        <f>"Mi"</f>
        <v>Mi</v>
      </c>
      <c r="G539" s="5">
        <v>40</v>
      </c>
      <c r="H539" t="str">
        <f>"TUCKER WITHINGTON BRISCOE"</f>
        <v>TUCKER WITHINGTON BRISCOE</v>
      </c>
    </row>
    <row r="540" spans="1:8" x14ac:dyDescent="0.25">
      <c r="A540" t="s">
        <v>181</v>
      </c>
      <c r="B540">
        <v>132139</v>
      </c>
      <c r="C540" s="5">
        <v>40</v>
      </c>
      <c r="D540" s="1">
        <v>43997</v>
      </c>
      <c r="E540" t="str">
        <f>"202006157307"</f>
        <v>202006157307</v>
      </c>
      <c r="F540" t="str">
        <f>"Miscel"</f>
        <v>Miscel</v>
      </c>
      <c r="G540" s="5">
        <v>40</v>
      </c>
      <c r="H540" t="str">
        <f>"VIRGINIA ROSS BERDOLL"</f>
        <v>VIRGINIA ROSS BERDOLL</v>
      </c>
    </row>
    <row r="541" spans="1:8" x14ac:dyDescent="0.25">
      <c r="A541" t="s">
        <v>182</v>
      </c>
      <c r="B541">
        <v>132140</v>
      </c>
      <c r="C541" s="5">
        <v>40</v>
      </c>
      <c r="D541" s="1">
        <v>43997</v>
      </c>
      <c r="E541" t="str">
        <f>"202006157308"</f>
        <v>202006157308</v>
      </c>
      <c r="F541" t="str">
        <f>"Miscellan"</f>
        <v>Miscellan</v>
      </c>
      <c r="G541" s="5">
        <v>40</v>
      </c>
      <c r="H541" t="str">
        <f>"SANDRA JEAN GOERTZ"</f>
        <v>SANDRA JEAN GOERTZ</v>
      </c>
    </row>
    <row r="542" spans="1:8" x14ac:dyDescent="0.25">
      <c r="A542" t="s">
        <v>183</v>
      </c>
      <c r="B542">
        <v>132141</v>
      </c>
      <c r="C542" s="5">
        <v>40</v>
      </c>
      <c r="D542" s="1">
        <v>43997</v>
      </c>
      <c r="E542" t="str">
        <f>"202006157309"</f>
        <v>202006157309</v>
      </c>
      <c r="F542" t="str">
        <f>"Misce"</f>
        <v>Misce</v>
      </c>
      <c r="G542" s="5">
        <v>40</v>
      </c>
      <c r="H542" t="str">
        <f>"BLAKE ROBERT CLAMPFFER"</f>
        <v>BLAKE ROBERT CLAMPFFER</v>
      </c>
    </row>
    <row r="543" spans="1:8" x14ac:dyDescent="0.25">
      <c r="A543" t="s">
        <v>184</v>
      </c>
      <c r="B543">
        <v>132142</v>
      </c>
      <c r="C543" s="5">
        <v>40</v>
      </c>
      <c r="D543" s="1">
        <v>43997</v>
      </c>
      <c r="E543" t="str">
        <f>"202006157310"</f>
        <v>202006157310</v>
      </c>
      <c r="F543" t="str">
        <f>"Miscellaneo"</f>
        <v>Miscellaneo</v>
      </c>
      <c r="G543" s="5">
        <v>40</v>
      </c>
      <c r="H543" t="str">
        <f>"JACKIE VAN EVANS"</f>
        <v>JACKIE VAN EVANS</v>
      </c>
    </row>
    <row r="544" spans="1:8" x14ac:dyDescent="0.25">
      <c r="A544" t="s">
        <v>185</v>
      </c>
      <c r="B544">
        <v>132143</v>
      </c>
      <c r="C544" s="5">
        <v>40</v>
      </c>
      <c r="D544" s="1">
        <v>43997</v>
      </c>
      <c r="E544" t="str">
        <f>"202006157311"</f>
        <v>202006157311</v>
      </c>
      <c r="F544" t="str">
        <f>"Miscell"</f>
        <v>Miscell</v>
      </c>
      <c r="G544" s="5">
        <v>40</v>
      </c>
      <c r="H544" t="str">
        <f>"MARISA JANIRA GARCIA"</f>
        <v>MARISA JANIRA GARCIA</v>
      </c>
    </row>
    <row r="545" spans="1:8" x14ac:dyDescent="0.25">
      <c r="A545" t="s">
        <v>186</v>
      </c>
      <c r="B545">
        <v>132144</v>
      </c>
      <c r="C545" s="5">
        <v>40</v>
      </c>
      <c r="D545" s="1">
        <v>43997</v>
      </c>
      <c r="E545" t="str">
        <f>"202006157312"</f>
        <v>202006157312</v>
      </c>
      <c r="F545" t="str">
        <f>"Miscel"</f>
        <v>Miscel</v>
      </c>
      <c r="G545" s="5">
        <v>40</v>
      </c>
      <c r="H545" t="str">
        <f>"CRAIG EDWARD COSGROVE"</f>
        <v>CRAIG EDWARD COSGROVE</v>
      </c>
    </row>
    <row r="546" spans="1:8" x14ac:dyDescent="0.25">
      <c r="A546" t="s">
        <v>187</v>
      </c>
      <c r="B546">
        <v>132145</v>
      </c>
      <c r="C546" s="5">
        <v>40</v>
      </c>
      <c r="D546" s="1">
        <v>43997</v>
      </c>
      <c r="E546" t="str">
        <f>"202006157313"</f>
        <v>202006157313</v>
      </c>
      <c r="F546" t="str">
        <f>"Misce"</f>
        <v>Misce</v>
      </c>
      <c r="G546" s="5">
        <v>40</v>
      </c>
      <c r="H546" t="str">
        <f>"VICTORIA MAXWELL ALLEN"</f>
        <v>VICTORIA MAXWELL ALLEN</v>
      </c>
    </row>
    <row r="547" spans="1:8" x14ac:dyDescent="0.25">
      <c r="A547" t="s">
        <v>188</v>
      </c>
      <c r="B547">
        <v>132146</v>
      </c>
      <c r="C547" s="5">
        <v>40</v>
      </c>
      <c r="D547" s="1">
        <v>43997</v>
      </c>
      <c r="E547" t="str">
        <f>"202006157314"</f>
        <v>202006157314</v>
      </c>
      <c r="F547" t="str">
        <f>"Miscellaneous"</f>
        <v>Miscellaneous</v>
      </c>
      <c r="G547" s="5">
        <v>40</v>
      </c>
      <c r="H547" t="str">
        <f>"JO LYNN COHEN"</f>
        <v>JO LYNN COHEN</v>
      </c>
    </row>
    <row r="548" spans="1:8" x14ac:dyDescent="0.25">
      <c r="A548" t="s">
        <v>189</v>
      </c>
      <c r="B548">
        <v>132147</v>
      </c>
      <c r="C548" s="5">
        <v>40</v>
      </c>
      <c r="D548" s="1">
        <v>43997</v>
      </c>
      <c r="E548" t="str">
        <f>"202006157315"</f>
        <v>202006157315</v>
      </c>
      <c r="F548" t="str">
        <f>"Misce"</f>
        <v>Misce</v>
      </c>
      <c r="G548" s="5">
        <v>40</v>
      </c>
      <c r="H548" t="str">
        <f>"SALLIE SKELLEY BLALOCK"</f>
        <v>SALLIE SKELLEY BLALOCK</v>
      </c>
    </row>
    <row r="549" spans="1:8" x14ac:dyDescent="0.25">
      <c r="A549" t="s">
        <v>190</v>
      </c>
      <c r="B549">
        <v>132148</v>
      </c>
      <c r="C549" s="5">
        <v>40</v>
      </c>
      <c r="D549" s="1">
        <v>43997</v>
      </c>
      <c r="E549" t="str">
        <f>"202006157316"</f>
        <v>202006157316</v>
      </c>
      <c r="F549" t="str">
        <f>"Miscella"</f>
        <v>Miscella</v>
      </c>
      <c r="G549" s="5">
        <v>40</v>
      </c>
      <c r="H549" t="str">
        <f>"DONALD C BELCHER JR"</f>
        <v>DONALD C BELCHER JR</v>
      </c>
    </row>
    <row r="550" spans="1:8" x14ac:dyDescent="0.25">
      <c r="A550" t="s">
        <v>191</v>
      </c>
      <c r="B550">
        <v>132220</v>
      </c>
      <c r="C550" s="5">
        <v>20769.310000000001</v>
      </c>
      <c r="D550" s="1">
        <v>44004</v>
      </c>
      <c r="E550" t="str">
        <f>"8230274083"</f>
        <v>8230274083</v>
      </c>
      <c r="F550" t="str">
        <f>"ACCT#1036215277"</f>
        <v>ACCT#1036215277</v>
      </c>
      <c r="G550" s="5">
        <v>20769.310000000001</v>
      </c>
      <c r="H550" t="str">
        <f>"ACCT#1036215277"</f>
        <v>ACCT#1036215277</v>
      </c>
    </row>
    <row r="551" spans="1:8" x14ac:dyDescent="0.25">
      <c r="A551" t="s">
        <v>192</v>
      </c>
      <c r="B551">
        <v>132081</v>
      </c>
      <c r="C551" s="5">
        <v>85</v>
      </c>
      <c r="D551" s="1">
        <v>43990</v>
      </c>
      <c r="E551" t="str">
        <f>"202006027059"</f>
        <v>202006027059</v>
      </c>
      <c r="F551" t="str">
        <f>"RENEWAL - STEVEN LONG"</f>
        <v>RENEWAL - STEVEN LONG</v>
      </c>
      <c r="G551" s="5">
        <v>85</v>
      </c>
      <c r="H551" t="str">
        <f>"RENEWAL - STEVEN LONG"</f>
        <v>RENEWAL - STEVEN LONG</v>
      </c>
    </row>
    <row r="552" spans="1:8" x14ac:dyDescent="0.25">
      <c r="A552" t="s">
        <v>193</v>
      </c>
      <c r="B552">
        <v>2739</v>
      </c>
      <c r="C552" s="5">
        <v>2658.1</v>
      </c>
      <c r="D552" s="1">
        <v>44005</v>
      </c>
      <c r="E552" t="str">
        <f>"PART5214486"</f>
        <v>PART5214486</v>
      </c>
      <c r="F552" t="str">
        <f>"ACCT#1006635/BASTROP CNTY OEM"</f>
        <v>ACCT#1006635/BASTROP CNTY OEM</v>
      </c>
      <c r="G552" s="5">
        <v>25.32</v>
      </c>
      <c r="H552" t="str">
        <f>"ACCT#1006635/BASTROP CNTY OEM"</f>
        <v>ACCT#1006635/BASTROP CNTY OEM</v>
      </c>
    </row>
    <row r="553" spans="1:8" x14ac:dyDescent="0.25">
      <c r="E553" t="str">
        <f>"PART5268732"</f>
        <v>PART5268732</v>
      </c>
      <c r="F553" t="str">
        <f>"Skid Plates"</f>
        <v>Skid Plates</v>
      </c>
      <c r="G553" s="5">
        <v>1368.9</v>
      </c>
      <c r="H553" t="str">
        <f>"50Q010096"</f>
        <v>50Q010096</v>
      </c>
    </row>
    <row r="554" spans="1:8" x14ac:dyDescent="0.25">
      <c r="E554" t="str">
        <f>"PART5272653"</f>
        <v>PART5272653</v>
      </c>
      <c r="F554" t="str">
        <f>"Controller"</f>
        <v>Controller</v>
      </c>
      <c r="G554" s="5">
        <v>1223.23</v>
      </c>
      <c r="H554" t="str">
        <f>"Controller"</f>
        <v>Controller</v>
      </c>
    </row>
    <row r="555" spans="1:8" x14ac:dyDescent="0.25">
      <c r="E555" t="str">
        <f>"PART5294191"</f>
        <v>PART5294191</v>
      </c>
      <c r="F555" t="str">
        <f>"CUST#1006635/DOC#50C324611"</f>
        <v>CUST#1006635/DOC#50C324611</v>
      </c>
      <c r="G555" s="5">
        <v>40.65</v>
      </c>
      <c r="H555" t="str">
        <f>"CUST#1006635/DOC#50C324611"</f>
        <v>CUST#1006635/DOC#50C324611</v>
      </c>
    </row>
    <row r="556" spans="1:8" x14ac:dyDescent="0.25">
      <c r="A556" t="s">
        <v>194</v>
      </c>
      <c r="B556">
        <v>132221</v>
      </c>
      <c r="C556" s="5">
        <v>902.95</v>
      </c>
      <c r="D556" s="1">
        <v>44004</v>
      </c>
      <c r="E556" t="str">
        <f>"86866122"</f>
        <v>86866122</v>
      </c>
      <c r="F556" t="str">
        <f>"ACCT#150344157/WATER TRMT SVCS"</f>
        <v>ACCT#150344157/WATER TRMT SVCS</v>
      </c>
      <c r="G556" s="5">
        <v>902.95</v>
      </c>
      <c r="H556" t="str">
        <f>"ACCT#150344157/WATER TRMT SVCS"</f>
        <v>ACCT#150344157/WATER TRMT SVCS</v>
      </c>
    </row>
    <row r="557" spans="1:8" x14ac:dyDescent="0.25">
      <c r="A557" t="s">
        <v>195</v>
      </c>
      <c r="B557">
        <v>132082</v>
      </c>
      <c r="C557" s="5">
        <v>382.5</v>
      </c>
      <c r="D557" s="1">
        <v>43990</v>
      </c>
      <c r="E557" t="str">
        <f>"05-04-20-02"</f>
        <v>05-04-20-02</v>
      </c>
      <c r="F557" t="str">
        <f>"JOB 05-04-20-02"</f>
        <v>JOB 05-04-20-02</v>
      </c>
      <c r="G557" s="5">
        <v>170</v>
      </c>
      <c r="H557" t="str">
        <f>"JOB 05-04-20-02"</f>
        <v>JOB 05-04-20-02</v>
      </c>
    </row>
    <row r="558" spans="1:8" x14ac:dyDescent="0.25">
      <c r="E558" t="str">
        <f>"5-20-20-6"</f>
        <v>5-20-20-6</v>
      </c>
      <c r="F558" t="str">
        <f>"JOB 5-20-20-6"</f>
        <v>JOB 5-20-20-6</v>
      </c>
      <c r="G558" s="5">
        <v>212.5</v>
      </c>
      <c r="H558" t="str">
        <f>"JOB 5-20-20-6"</f>
        <v>JOB 5-20-20-6</v>
      </c>
    </row>
    <row r="559" spans="1:8" x14ac:dyDescent="0.25">
      <c r="A559" t="s">
        <v>195</v>
      </c>
      <c r="B559">
        <v>132222</v>
      </c>
      <c r="C559" s="5">
        <v>255</v>
      </c>
      <c r="D559" s="1">
        <v>44004</v>
      </c>
      <c r="E559" t="str">
        <f>"202006167338"</f>
        <v>202006167338</v>
      </c>
      <c r="F559" t="str">
        <f>"JOB 6-8-20-2"</f>
        <v>JOB 6-8-20-2</v>
      </c>
      <c r="G559" s="5">
        <v>255</v>
      </c>
      <c r="H559" t="str">
        <f>"JOB 6-8-20-2"</f>
        <v>JOB 6-8-20-2</v>
      </c>
    </row>
    <row r="560" spans="1:8" x14ac:dyDescent="0.25">
      <c r="A560" t="s">
        <v>196</v>
      </c>
      <c r="B560">
        <v>2663</v>
      </c>
      <c r="C560" s="5">
        <v>4538.58</v>
      </c>
      <c r="D560" s="1">
        <v>43991</v>
      </c>
      <c r="E560" t="str">
        <f>"IN0841623  1823"</f>
        <v>IN0841623  1823</v>
      </c>
      <c r="F560" t="str">
        <f>"INV IN0841623"</f>
        <v>INV IN0841623</v>
      </c>
      <c r="G560" s="5">
        <v>4538.58</v>
      </c>
      <c r="H560" t="str">
        <f>"INV IN0841623"</f>
        <v>INV IN0841623</v>
      </c>
    </row>
    <row r="561" spans="1:8" x14ac:dyDescent="0.25">
      <c r="E561" t="str">
        <f>""</f>
        <v/>
      </c>
      <c r="F561" t="str">
        <f>""</f>
        <v/>
      </c>
      <c r="H561" t="str">
        <f>"INV IN0841823"</f>
        <v>INV IN0841823</v>
      </c>
    </row>
    <row r="562" spans="1:8" x14ac:dyDescent="0.25">
      <c r="A562" t="s">
        <v>196</v>
      </c>
      <c r="B562">
        <v>2718</v>
      </c>
      <c r="C562" s="5">
        <v>5768.35</v>
      </c>
      <c r="D562" s="1">
        <v>44005</v>
      </c>
      <c r="E562" t="str">
        <f>"IN0842299 0842060"</f>
        <v>IN0842299 0842060</v>
      </c>
      <c r="F562" t="str">
        <f>"INV IN0842299"</f>
        <v>INV IN0842299</v>
      </c>
      <c r="G562" s="5">
        <v>5768.35</v>
      </c>
      <c r="H562" t="str">
        <f>"INV IN0842299"</f>
        <v>INV IN0842299</v>
      </c>
    </row>
    <row r="563" spans="1:8" x14ac:dyDescent="0.25">
      <c r="E563" t="str">
        <f>""</f>
        <v/>
      </c>
      <c r="F563" t="str">
        <f>""</f>
        <v/>
      </c>
      <c r="H563" t="str">
        <f>"INV IN0842060"</f>
        <v>INV IN0842060</v>
      </c>
    </row>
    <row r="564" spans="1:8" x14ac:dyDescent="0.25">
      <c r="A564" t="s">
        <v>197</v>
      </c>
      <c r="B564">
        <v>2776</v>
      </c>
      <c r="C564" s="5">
        <v>174.46</v>
      </c>
      <c r="D564" s="1">
        <v>44005</v>
      </c>
      <c r="E564" t="str">
        <f>"0581-176112"</f>
        <v>0581-176112</v>
      </c>
      <c r="F564" t="str">
        <f>"COUNTER#422709/ACCT#1772018"</f>
        <v>COUNTER#422709/ACCT#1772018</v>
      </c>
      <c r="G564" s="5">
        <v>135.51</v>
      </c>
      <c r="H564" t="str">
        <f>"COUNTER#422709/ACCT#1772018"</f>
        <v>COUNTER#422709/ACCT#1772018</v>
      </c>
    </row>
    <row r="565" spans="1:8" x14ac:dyDescent="0.25">
      <c r="E565" t="str">
        <f>"202006097229"</f>
        <v>202006097229</v>
      </c>
      <c r="F565" t="str">
        <f>"CUST#1772018/PCT#1"</f>
        <v>CUST#1772018/PCT#1</v>
      </c>
      <c r="G565" s="5">
        <v>18.96</v>
      </c>
      <c r="H565" t="str">
        <f>"CUST#1772018/PCT#1"</f>
        <v>CUST#1772018/PCT#1</v>
      </c>
    </row>
    <row r="566" spans="1:8" x14ac:dyDescent="0.25">
      <c r="E566" t="str">
        <f>"202006097239"</f>
        <v>202006097239</v>
      </c>
      <c r="F566" t="str">
        <f>"CUST#99088/PCT#4"</f>
        <v>CUST#99088/PCT#4</v>
      </c>
      <c r="G566" s="5">
        <v>19.989999999999998</v>
      </c>
      <c r="H566" t="str">
        <f>"CUST#99088/PCT#4"</f>
        <v>CUST#99088/PCT#4</v>
      </c>
    </row>
    <row r="567" spans="1:8" x14ac:dyDescent="0.25">
      <c r="A567" t="s">
        <v>198</v>
      </c>
      <c r="B567">
        <v>132223</v>
      </c>
      <c r="C567" s="5">
        <v>1503.85</v>
      </c>
      <c r="D567" s="1">
        <v>44004</v>
      </c>
      <c r="E567" t="str">
        <f>"202006167333"</f>
        <v>202006167333</v>
      </c>
      <c r="F567" t="str">
        <f>"bill# 15005138"</f>
        <v>bill# 15005138</v>
      </c>
      <c r="G567" s="5">
        <v>1503.85</v>
      </c>
      <c r="H567" t="str">
        <f>"ord# 505370895001"</f>
        <v>ord# 505370895001</v>
      </c>
    </row>
    <row r="568" spans="1:8" x14ac:dyDescent="0.25">
      <c r="E568" t="str">
        <f>""</f>
        <v/>
      </c>
      <c r="F568" t="str">
        <f>""</f>
        <v/>
      </c>
      <c r="H568" t="str">
        <f>"ord# 501711806001"</f>
        <v>ord# 501711806001</v>
      </c>
    </row>
    <row r="569" spans="1:8" x14ac:dyDescent="0.25">
      <c r="E569" t="str">
        <f>""</f>
        <v/>
      </c>
      <c r="F569" t="str">
        <f>""</f>
        <v/>
      </c>
      <c r="H569" t="str">
        <f>"ord# 503062536001"</f>
        <v>ord# 503062536001</v>
      </c>
    </row>
    <row r="570" spans="1:8" x14ac:dyDescent="0.25">
      <c r="E570" t="str">
        <f>""</f>
        <v/>
      </c>
      <c r="F570" t="str">
        <f>""</f>
        <v/>
      </c>
      <c r="H570" t="str">
        <f>"ord# 504211529001"</f>
        <v>ord# 504211529001</v>
      </c>
    </row>
    <row r="571" spans="1:8" x14ac:dyDescent="0.25">
      <c r="E571" t="str">
        <f>""</f>
        <v/>
      </c>
      <c r="F571" t="str">
        <f>""</f>
        <v/>
      </c>
      <c r="H571" t="str">
        <f>"ord# 504218685001"</f>
        <v>ord# 504218685001</v>
      </c>
    </row>
    <row r="572" spans="1:8" x14ac:dyDescent="0.25">
      <c r="E572" t="str">
        <f>""</f>
        <v/>
      </c>
      <c r="F572" t="str">
        <f>""</f>
        <v/>
      </c>
      <c r="H572" t="str">
        <f>"ord# 504195913001"</f>
        <v>ord# 504195913001</v>
      </c>
    </row>
    <row r="573" spans="1:8" x14ac:dyDescent="0.25">
      <c r="E573" t="str">
        <f>""</f>
        <v/>
      </c>
      <c r="F573" t="str">
        <f>""</f>
        <v/>
      </c>
      <c r="H573" t="str">
        <f>"ord# 502749167001"</f>
        <v>ord# 502749167001</v>
      </c>
    </row>
    <row r="574" spans="1:8" x14ac:dyDescent="0.25">
      <c r="E574" t="str">
        <f>""</f>
        <v/>
      </c>
      <c r="F574" t="str">
        <f>""</f>
        <v/>
      </c>
      <c r="H574" t="str">
        <f>"ord# 497278020001"</f>
        <v>ord# 497278020001</v>
      </c>
    </row>
    <row r="575" spans="1:8" x14ac:dyDescent="0.25">
      <c r="E575" t="str">
        <f>""</f>
        <v/>
      </c>
      <c r="F575" t="str">
        <f>""</f>
        <v/>
      </c>
      <c r="H575" t="str">
        <f>"ord# 497279017001"</f>
        <v>ord# 497279017001</v>
      </c>
    </row>
    <row r="576" spans="1:8" x14ac:dyDescent="0.25">
      <c r="E576" t="str">
        <f>""</f>
        <v/>
      </c>
      <c r="F576" t="str">
        <f>""</f>
        <v/>
      </c>
      <c r="H576" t="str">
        <f>"Ord# 501485949001"</f>
        <v>Ord# 501485949001</v>
      </c>
    </row>
    <row r="577" spans="1:8" x14ac:dyDescent="0.25">
      <c r="E577" t="str">
        <f>""</f>
        <v/>
      </c>
      <c r="F577" t="str">
        <f>""</f>
        <v/>
      </c>
      <c r="H577" t="str">
        <f>"Ord# 501485950001"</f>
        <v>Ord# 501485950001</v>
      </c>
    </row>
    <row r="578" spans="1:8" x14ac:dyDescent="0.25">
      <c r="E578" t="str">
        <f>""</f>
        <v/>
      </c>
      <c r="F578" t="str">
        <f>""</f>
        <v/>
      </c>
      <c r="H578" t="str">
        <f>"ord# 497693675001"</f>
        <v>ord# 497693675001</v>
      </c>
    </row>
    <row r="579" spans="1:8" x14ac:dyDescent="0.25">
      <c r="E579" t="str">
        <f>""</f>
        <v/>
      </c>
      <c r="F579" t="str">
        <f>""</f>
        <v/>
      </c>
      <c r="H579" t="str">
        <f>"ord# 497694200001"</f>
        <v>ord# 497694200001</v>
      </c>
    </row>
    <row r="580" spans="1:8" x14ac:dyDescent="0.25">
      <c r="E580" t="str">
        <f>""</f>
        <v/>
      </c>
      <c r="F580" t="str">
        <f>""</f>
        <v/>
      </c>
      <c r="H580" t="str">
        <f>"ord# 502150111001"</f>
        <v>ord# 502150111001</v>
      </c>
    </row>
    <row r="581" spans="1:8" x14ac:dyDescent="0.25">
      <c r="E581" t="str">
        <f>""</f>
        <v/>
      </c>
      <c r="F581" t="str">
        <f>""</f>
        <v/>
      </c>
      <c r="H581" t="str">
        <f>"ord# 504619478001"</f>
        <v>ord# 504619478001</v>
      </c>
    </row>
    <row r="582" spans="1:8" x14ac:dyDescent="0.25">
      <c r="E582" t="str">
        <f>""</f>
        <v/>
      </c>
      <c r="F582" t="str">
        <f>""</f>
        <v/>
      </c>
      <c r="H582" t="str">
        <f>"ord# 504621339001"</f>
        <v>ord# 504621339001</v>
      </c>
    </row>
    <row r="583" spans="1:8" x14ac:dyDescent="0.25">
      <c r="A583" t="s">
        <v>199</v>
      </c>
      <c r="B583">
        <v>132224</v>
      </c>
      <c r="C583" s="5">
        <v>6860</v>
      </c>
      <c r="D583" s="1">
        <v>44004</v>
      </c>
      <c r="E583" t="str">
        <f>"120-001011"</f>
        <v>120-001011</v>
      </c>
      <c r="F583" t="str">
        <f>"1ST QTR ACTIVITY 2020 - PCT#1"</f>
        <v>1ST QTR ACTIVITY 2020 - PCT#1</v>
      </c>
      <c r="G583" s="5">
        <v>3650</v>
      </c>
      <c r="H583" t="str">
        <f>"1ST QTR ACTIVITY 2020"</f>
        <v>1ST QTR ACTIVITY 2020</v>
      </c>
    </row>
    <row r="584" spans="1:8" x14ac:dyDescent="0.25">
      <c r="E584" t="str">
        <f>"120-002011"</f>
        <v>120-002011</v>
      </c>
      <c r="F584" t="str">
        <f>"1ST QTR ACTIVITY 2020 - PCT2"</f>
        <v>1ST QTR ACTIVITY 2020 - PCT2</v>
      </c>
      <c r="G584" s="5">
        <v>1326</v>
      </c>
      <c r="H584" t="str">
        <f>"1ST QTR ACTIVITY 2020 - PCT2"</f>
        <v>1ST QTR ACTIVITY 2020 - PCT2</v>
      </c>
    </row>
    <row r="585" spans="1:8" x14ac:dyDescent="0.25">
      <c r="E585" t="str">
        <f>"120-003011"</f>
        <v>120-003011</v>
      </c>
      <c r="F585" t="str">
        <f>"1ST QTR ACTIVITY 2020 - PCT#3"</f>
        <v>1ST QTR ACTIVITY 2020 - PCT#3</v>
      </c>
      <c r="G585" s="5">
        <v>1194</v>
      </c>
      <c r="H585" t="str">
        <f>"1ST QTR ACTIVITY 2020 - PCT#3"</f>
        <v>1ST QTR ACTIVITY 2020 - PCT#3</v>
      </c>
    </row>
    <row r="586" spans="1:8" x14ac:dyDescent="0.25">
      <c r="E586" t="str">
        <f>"120-004011"</f>
        <v>120-004011</v>
      </c>
      <c r="F586" t="str">
        <f>"1ST QTR 2020 ACTIVITY - PCT4"</f>
        <v>1ST QTR 2020 ACTIVITY - PCT4</v>
      </c>
      <c r="G586" s="5">
        <v>654</v>
      </c>
      <c r="H586" t="str">
        <f>"1ST QTR 2020 - PCT4"</f>
        <v>1ST QTR 2020 - PCT4</v>
      </c>
    </row>
    <row r="587" spans="1:8" x14ac:dyDescent="0.25">
      <c r="E587" t="str">
        <f>"120-008011"</f>
        <v>120-008011</v>
      </c>
      <c r="F587" t="str">
        <f>"1ST QTR ACTIVITY 2020 - MISDEA"</f>
        <v>1ST QTR ACTIVITY 2020 - MISDEA</v>
      </c>
      <c r="G587" s="5">
        <v>18</v>
      </c>
      <c r="H587" t="str">
        <f>"1ST QTR ACTIVITY 2020 - MISDEA"</f>
        <v>1ST QTR ACTIVITY 2020 - MISDEA</v>
      </c>
    </row>
    <row r="588" spans="1:8" x14ac:dyDescent="0.25">
      <c r="E588" t="str">
        <f>"120-009011"</f>
        <v>120-009011</v>
      </c>
      <c r="F588" t="str">
        <f>"1ST QTR ACTIVITY 2020 - DIST C"</f>
        <v>1ST QTR ACTIVITY 2020 - DIST C</v>
      </c>
      <c r="G588" s="5">
        <v>18</v>
      </c>
      <c r="H588" t="str">
        <f>"1ST QTR ACTIVITY 2020 - DIST C"</f>
        <v>1ST QTR ACTIVITY 2020 - DIST C</v>
      </c>
    </row>
    <row r="589" spans="1:8" x14ac:dyDescent="0.25">
      <c r="A589" t="s">
        <v>200</v>
      </c>
      <c r="B589">
        <v>132083</v>
      </c>
      <c r="C589" s="5">
        <v>1000</v>
      </c>
      <c r="D589" s="1">
        <v>43990</v>
      </c>
      <c r="E589" t="str">
        <f>"286736"</f>
        <v>286736</v>
      </c>
      <c r="F589" t="str">
        <f>"DRUG TESTING / BASCOU"</f>
        <v>DRUG TESTING / BASCOU</v>
      </c>
      <c r="G589" s="5">
        <v>535</v>
      </c>
      <c r="H589" t="str">
        <f t="shared" ref="H589:H597" si="8">"DRUG TESTING / BASCOU"</f>
        <v>DRUG TESTING / BASCOU</v>
      </c>
    </row>
    <row r="590" spans="1:8" x14ac:dyDescent="0.25">
      <c r="E590" t="str">
        <f>""</f>
        <v/>
      </c>
      <c r="F590" t="str">
        <f>""</f>
        <v/>
      </c>
      <c r="H590" t="str">
        <f t="shared" si="8"/>
        <v>DRUG TESTING / BASCOU</v>
      </c>
    </row>
    <row r="591" spans="1:8" x14ac:dyDescent="0.25">
      <c r="E591" t="str">
        <f>""</f>
        <v/>
      </c>
      <c r="F591" t="str">
        <f>""</f>
        <v/>
      </c>
      <c r="H591" t="str">
        <f t="shared" si="8"/>
        <v>DRUG TESTING / BASCOU</v>
      </c>
    </row>
    <row r="592" spans="1:8" x14ac:dyDescent="0.25">
      <c r="E592" t="str">
        <f>""</f>
        <v/>
      </c>
      <c r="F592" t="str">
        <f>""</f>
        <v/>
      </c>
      <c r="H592" t="str">
        <f t="shared" si="8"/>
        <v>DRUG TESTING / BASCOU</v>
      </c>
    </row>
    <row r="593" spans="1:8" x14ac:dyDescent="0.25">
      <c r="E593" t="str">
        <f>""</f>
        <v/>
      </c>
      <c r="F593" t="str">
        <f>""</f>
        <v/>
      </c>
      <c r="H593" t="str">
        <f t="shared" si="8"/>
        <v>DRUG TESTING / BASCOU</v>
      </c>
    </row>
    <row r="594" spans="1:8" x14ac:dyDescent="0.25">
      <c r="E594" t="str">
        <f>"287023-P"</f>
        <v>287023-P</v>
      </c>
      <c r="F594" t="str">
        <f>"DRUG TESTING / BASCOU"</f>
        <v>DRUG TESTING / BASCOU</v>
      </c>
      <c r="G594" s="5">
        <v>465</v>
      </c>
      <c r="H594" t="str">
        <f t="shared" si="8"/>
        <v>DRUG TESTING / BASCOU</v>
      </c>
    </row>
    <row r="595" spans="1:8" x14ac:dyDescent="0.25">
      <c r="E595" t="str">
        <f>""</f>
        <v/>
      </c>
      <c r="F595" t="str">
        <f>""</f>
        <v/>
      </c>
      <c r="H595" t="str">
        <f t="shared" si="8"/>
        <v>DRUG TESTING / BASCOU</v>
      </c>
    </row>
    <row r="596" spans="1:8" x14ac:dyDescent="0.25">
      <c r="E596" t="str">
        <f>""</f>
        <v/>
      </c>
      <c r="F596" t="str">
        <f>""</f>
        <v/>
      </c>
      <c r="H596" t="str">
        <f t="shared" si="8"/>
        <v>DRUG TESTING / BASCOU</v>
      </c>
    </row>
    <row r="597" spans="1:8" x14ac:dyDescent="0.25">
      <c r="E597" t="str">
        <f>""</f>
        <v/>
      </c>
      <c r="F597" t="str">
        <f>""</f>
        <v/>
      </c>
      <c r="H597" t="str">
        <f t="shared" si="8"/>
        <v>DRUG TESTING / BASCOU</v>
      </c>
    </row>
    <row r="598" spans="1:8" x14ac:dyDescent="0.25">
      <c r="A598" t="s">
        <v>201</v>
      </c>
      <c r="B598">
        <v>132084</v>
      </c>
      <c r="C598" s="5">
        <v>1027</v>
      </c>
      <c r="D598" s="1">
        <v>43990</v>
      </c>
      <c r="E598" t="str">
        <f>"1455"</f>
        <v>1455</v>
      </c>
      <c r="F598" t="str">
        <f>"PLUMBING SVCS/804 PINE ST"</f>
        <v>PLUMBING SVCS/804 PINE ST</v>
      </c>
      <c r="G598" s="5">
        <v>630</v>
      </c>
      <c r="H598" t="str">
        <f>"PLUMBING SVCS/804 PINE ST"</f>
        <v>PLUMBING SVCS/804 PINE ST</v>
      </c>
    </row>
    <row r="599" spans="1:8" x14ac:dyDescent="0.25">
      <c r="E599" t="str">
        <f>"1488"</f>
        <v>1488</v>
      </c>
      <c r="F599" t="str">
        <f>"PLUMBING SVCS/804 PECAN ST"</f>
        <v>PLUMBING SVCS/804 PECAN ST</v>
      </c>
      <c r="G599" s="5">
        <v>397</v>
      </c>
      <c r="H599" t="str">
        <f>"PLUMBING SVCS/804 PECAN ST"</f>
        <v>PLUMBING SVCS/804 PECAN ST</v>
      </c>
    </row>
    <row r="600" spans="1:8" x14ac:dyDescent="0.25">
      <c r="A600" t="s">
        <v>202</v>
      </c>
      <c r="B600">
        <v>132085</v>
      </c>
      <c r="C600" s="5">
        <v>1825</v>
      </c>
      <c r="D600" s="1">
        <v>43990</v>
      </c>
      <c r="E600" t="str">
        <f>"43690"</f>
        <v>43690</v>
      </c>
      <c r="F600" t="str">
        <f>"PERSONNEL TRAINING &amp; DEVLPMT S"</f>
        <v>PERSONNEL TRAINING &amp; DEVLPMT S</v>
      </c>
      <c r="G600" s="5">
        <v>1825</v>
      </c>
      <c r="H600" t="str">
        <f>"PERSONNEL TRAINING &amp; DEVLPMT S"</f>
        <v>PERSONNEL TRAINING &amp; DEVLPMT S</v>
      </c>
    </row>
    <row r="601" spans="1:8" x14ac:dyDescent="0.25">
      <c r="A601" t="s">
        <v>203</v>
      </c>
      <c r="B601">
        <v>132225</v>
      </c>
      <c r="C601" s="5">
        <v>80575.679999999993</v>
      </c>
      <c r="D601" s="1">
        <v>44004</v>
      </c>
      <c r="E601" t="str">
        <f>"20164"</f>
        <v>20164</v>
      </c>
      <c r="F601" t="str">
        <f>"ASPHALT EMULSION/PCT#1"</f>
        <v>ASPHALT EMULSION/PCT#1</v>
      </c>
      <c r="G601" s="5">
        <v>59994.14</v>
      </c>
      <c r="H601" t="str">
        <f>"ASPHALT EMULSION/PCT#1"</f>
        <v>ASPHALT EMULSION/PCT#1</v>
      </c>
    </row>
    <row r="602" spans="1:8" x14ac:dyDescent="0.25">
      <c r="E602" t="str">
        <f>"20179"</f>
        <v>20179</v>
      </c>
      <c r="F602" t="str">
        <f>"ASPHALT EMULSION/PCT#2"</f>
        <v>ASPHALT EMULSION/PCT#2</v>
      </c>
      <c r="G602" s="5">
        <v>20581.54</v>
      </c>
      <c r="H602" t="str">
        <f>"ASPHALT EMULSION/PCT#2"</f>
        <v>ASPHALT EMULSION/PCT#2</v>
      </c>
    </row>
    <row r="603" spans="1:8" x14ac:dyDescent="0.25">
      <c r="A603" t="s">
        <v>204</v>
      </c>
      <c r="B603">
        <v>132086</v>
      </c>
      <c r="C603" s="5">
        <v>33.380000000000003</v>
      </c>
      <c r="D603" s="1">
        <v>43990</v>
      </c>
      <c r="E603" t="str">
        <f>"75194"</f>
        <v>75194</v>
      </c>
      <c r="F603" t="str">
        <f>"KNOB/BOLT/LOCKING NUT/PCT#4"</f>
        <v>KNOB/BOLT/LOCKING NUT/PCT#4</v>
      </c>
      <c r="G603" s="5">
        <v>33.380000000000003</v>
      </c>
      <c r="H603" t="str">
        <f>"KNOB/BOLT/LOCKING NUT/PCT#4"</f>
        <v>KNOB/BOLT/LOCKING NUT/PCT#4</v>
      </c>
    </row>
    <row r="604" spans="1:8" x14ac:dyDescent="0.25">
      <c r="A604" t="s">
        <v>204</v>
      </c>
      <c r="B604">
        <v>132226</v>
      </c>
      <c r="C604" s="5">
        <v>192.11</v>
      </c>
      <c r="D604" s="1">
        <v>44004</v>
      </c>
      <c r="E604" t="str">
        <f>"75418"</f>
        <v>75418</v>
      </c>
      <c r="F604" t="str">
        <f>"ORD#222/PCT#2"</f>
        <v>ORD#222/PCT#2</v>
      </c>
      <c r="G604" s="5">
        <v>81.55</v>
      </c>
      <c r="H604" t="str">
        <f>"ORD#222/PCT#2"</f>
        <v>ORD#222/PCT#2</v>
      </c>
    </row>
    <row r="605" spans="1:8" x14ac:dyDescent="0.25">
      <c r="E605" t="str">
        <f>"75610"</f>
        <v>75610</v>
      </c>
      <c r="F605" t="str">
        <f>"ETHANOL FUEL/CHAIN OIL/PCT#1"</f>
        <v>ETHANOL FUEL/CHAIN OIL/PCT#1</v>
      </c>
      <c r="G605" s="5">
        <v>110.56</v>
      </c>
      <c r="H605" t="str">
        <f>"ETHANOL FUEL/CHAIN OIL/PCT#1"</f>
        <v>ETHANOL FUEL/CHAIN OIL/PCT#1</v>
      </c>
    </row>
    <row r="606" spans="1:8" x14ac:dyDescent="0.25">
      <c r="A606" t="s">
        <v>205</v>
      </c>
      <c r="B606">
        <v>132227</v>
      </c>
      <c r="C606" s="5">
        <v>435</v>
      </c>
      <c r="D606" s="1">
        <v>44004</v>
      </c>
      <c r="E606" t="str">
        <f>"50364 50951 51505"</f>
        <v>50364 50951 51505</v>
      </c>
      <c r="F606" t="str">
        <f>"INV 0000050364"</f>
        <v>INV 0000050364</v>
      </c>
      <c r="G606" s="5">
        <v>435</v>
      </c>
      <c r="H606" t="str">
        <f>"INV 0000050364"</f>
        <v>INV 0000050364</v>
      </c>
    </row>
    <row r="607" spans="1:8" x14ac:dyDescent="0.25">
      <c r="E607" t="str">
        <f>""</f>
        <v/>
      </c>
      <c r="F607" t="str">
        <f>""</f>
        <v/>
      </c>
      <c r="H607" t="str">
        <f>"INV 0000050951"</f>
        <v>INV 0000050951</v>
      </c>
    </row>
    <row r="608" spans="1:8" x14ac:dyDescent="0.25">
      <c r="E608" t="str">
        <f>""</f>
        <v/>
      </c>
      <c r="F608" t="str">
        <f>""</f>
        <v/>
      </c>
      <c r="H608" t="str">
        <f>"INV 0000051505"</f>
        <v>INV 0000051505</v>
      </c>
    </row>
    <row r="609" spans="1:8" x14ac:dyDescent="0.25">
      <c r="A609" t="s">
        <v>206</v>
      </c>
      <c r="B609">
        <v>132228</v>
      </c>
      <c r="C609" s="5">
        <v>192.56</v>
      </c>
      <c r="D609" s="1">
        <v>44004</v>
      </c>
      <c r="E609" t="str">
        <f>"202006097237"</f>
        <v>202006097237</v>
      </c>
      <c r="F609" t="str">
        <f>"ACCT#1137/PCT#4"</f>
        <v>ACCT#1137/PCT#4</v>
      </c>
      <c r="G609" s="5">
        <v>192.56</v>
      </c>
      <c r="H609" t="str">
        <f>"ACCT#1137/PCT#4"</f>
        <v>ACCT#1137/PCT#4</v>
      </c>
    </row>
    <row r="610" spans="1:8" x14ac:dyDescent="0.25">
      <c r="A610" t="s">
        <v>207</v>
      </c>
      <c r="B610">
        <v>2729</v>
      </c>
      <c r="C610" s="5">
        <v>3579.25</v>
      </c>
      <c r="D610" s="1">
        <v>44005</v>
      </c>
      <c r="E610" t="str">
        <f>"2008422"</f>
        <v>2008422</v>
      </c>
      <c r="F610" t="str">
        <f>"INSTALL PHOTOCELL GAZEBO LIGHT"</f>
        <v>INSTALL PHOTOCELL GAZEBO LIGHT</v>
      </c>
      <c r="G610" s="5">
        <v>118.9</v>
      </c>
      <c r="H610" t="str">
        <f>"INSTALL PHOTOCELL GAZEBO LIGHT"</f>
        <v>INSTALL PHOTOCELL GAZEBO LIGHT</v>
      </c>
    </row>
    <row r="611" spans="1:8" x14ac:dyDescent="0.25">
      <c r="E611" t="str">
        <f>"2008423"</f>
        <v>2008423</v>
      </c>
      <c r="F611" t="str">
        <f>"2ND FLR BALCONY LIGHTS"</f>
        <v>2ND FLR BALCONY LIGHTS</v>
      </c>
      <c r="G611" s="5">
        <v>315.7</v>
      </c>
      <c r="H611" t="str">
        <f>"2ND FLR BALCONY LIGHTS"</f>
        <v>2ND FLR BALCONY LIGHTS</v>
      </c>
    </row>
    <row r="612" spans="1:8" x14ac:dyDescent="0.25">
      <c r="E612" t="str">
        <f>"2008424"</f>
        <v>2008424</v>
      </c>
      <c r="F612" t="str">
        <f>"ACCT#BA-CNTY-01/ANIMAL SHELTER"</f>
        <v>ACCT#BA-CNTY-01/ANIMAL SHELTER</v>
      </c>
      <c r="G612" s="5">
        <v>3144.65</v>
      </c>
      <c r="H612" t="str">
        <f>"ACCT#BA-CNTY-01/ANIMAL SHELTER"</f>
        <v>ACCT#BA-CNTY-01/ANIMAL SHELTER</v>
      </c>
    </row>
    <row r="613" spans="1:8" x14ac:dyDescent="0.25">
      <c r="A613" t="s">
        <v>208</v>
      </c>
      <c r="B613">
        <v>132229</v>
      </c>
      <c r="C613" s="5">
        <v>800.7</v>
      </c>
      <c r="D613" s="1">
        <v>44004</v>
      </c>
      <c r="E613" t="str">
        <f>"202006097227"</f>
        <v>202006097227</v>
      </c>
      <c r="F613" t="str">
        <f>"ACCT#0200140783"</f>
        <v>ACCT#0200140783</v>
      </c>
      <c r="G613" s="5">
        <v>800.7</v>
      </c>
      <c r="H613" t="str">
        <f>"ACCT#0200140783"</f>
        <v>ACCT#0200140783</v>
      </c>
    </row>
    <row r="614" spans="1:8" x14ac:dyDescent="0.25">
      <c r="E614" t="str">
        <f>""</f>
        <v/>
      </c>
      <c r="F614" t="str">
        <f>""</f>
        <v/>
      </c>
      <c r="H614" t="str">
        <f>"ACCT#0200140783"</f>
        <v>ACCT#0200140783</v>
      </c>
    </row>
    <row r="615" spans="1:8" x14ac:dyDescent="0.25">
      <c r="E615" t="str">
        <f>""</f>
        <v/>
      </c>
      <c r="F615" t="str">
        <f>""</f>
        <v/>
      </c>
      <c r="H615" t="str">
        <f>"ACCT#0200140783"</f>
        <v>ACCT#0200140783</v>
      </c>
    </row>
    <row r="616" spans="1:8" x14ac:dyDescent="0.25">
      <c r="A616" t="s">
        <v>209</v>
      </c>
      <c r="B616">
        <v>132230</v>
      </c>
      <c r="C616" s="5">
        <v>21.64</v>
      </c>
      <c r="D616" s="1">
        <v>44004</v>
      </c>
      <c r="E616" t="str">
        <f>"202006107273"</f>
        <v>202006107273</v>
      </c>
      <c r="F616" t="str">
        <f>"REIMBURSEMENT"</f>
        <v>REIMBURSEMENT</v>
      </c>
      <c r="G616" s="5">
        <v>21.64</v>
      </c>
      <c r="H616" t="str">
        <f>"REIMBURSEMENT"</f>
        <v>REIMBURSEMENT</v>
      </c>
    </row>
    <row r="617" spans="1:8" x14ac:dyDescent="0.25">
      <c r="A617" t="s">
        <v>210</v>
      </c>
      <c r="B617">
        <v>132231</v>
      </c>
      <c r="C617" s="5">
        <v>394.95</v>
      </c>
      <c r="D617" s="1">
        <v>44004</v>
      </c>
      <c r="E617" t="str">
        <f>"49329381"</f>
        <v>49329381</v>
      </c>
      <c r="F617" t="str">
        <f>"ACCT#348783/COUNTY CLERK"</f>
        <v>ACCT#348783/COUNTY CLERK</v>
      </c>
      <c r="G617" s="5">
        <v>394.95</v>
      </c>
      <c r="H617" t="str">
        <f>"ACCT#348783/COUNTY CLERK"</f>
        <v>ACCT#348783/COUNTY CLERK</v>
      </c>
    </row>
    <row r="618" spans="1:8" x14ac:dyDescent="0.25">
      <c r="A618" t="s">
        <v>211</v>
      </c>
      <c r="B618">
        <v>132087</v>
      </c>
      <c r="C618" s="5">
        <v>235</v>
      </c>
      <c r="D618" s="1">
        <v>43990</v>
      </c>
      <c r="E618" t="str">
        <f>"202005287020"</f>
        <v>202005287020</v>
      </c>
      <c r="F618" t="str">
        <f>"REIMBURSE STATE BAR DUES"</f>
        <v>REIMBURSE STATE BAR DUES</v>
      </c>
      <c r="G618" s="5">
        <v>235</v>
      </c>
      <c r="H618" t="str">
        <f>"REIMBURSE STATE BAR DUES"</f>
        <v>REIMBURSE STATE BAR DUES</v>
      </c>
    </row>
    <row r="619" spans="1:8" x14ac:dyDescent="0.25">
      <c r="A619" t="s">
        <v>212</v>
      </c>
      <c r="B619">
        <v>2763</v>
      </c>
      <c r="C619" s="5">
        <v>842.5</v>
      </c>
      <c r="D619" s="1">
        <v>44005</v>
      </c>
      <c r="E619" t="str">
        <f>"202006107255"</f>
        <v>202006107255</v>
      </c>
      <c r="F619" t="str">
        <f>"19-19811"</f>
        <v>19-19811</v>
      </c>
      <c r="G619" s="5">
        <v>377.5</v>
      </c>
      <c r="H619" t="str">
        <f>"19-19811"</f>
        <v>19-19811</v>
      </c>
    </row>
    <row r="620" spans="1:8" x14ac:dyDescent="0.25">
      <c r="E620" t="str">
        <f>"202006107256"</f>
        <v>202006107256</v>
      </c>
      <c r="F620" t="str">
        <f>"20-20119"</f>
        <v>20-20119</v>
      </c>
      <c r="G620" s="5">
        <v>465</v>
      </c>
      <c r="H620" t="str">
        <f>"20-20119"</f>
        <v>20-20119</v>
      </c>
    </row>
    <row r="621" spans="1:8" x14ac:dyDescent="0.25">
      <c r="A621" t="s">
        <v>213</v>
      </c>
      <c r="B621">
        <v>132232</v>
      </c>
      <c r="C621" s="5">
        <v>40</v>
      </c>
      <c r="D621" s="1">
        <v>44004</v>
      </c>
      <c r="E621" t="str">
        <f>"202006097236"</f>
        <v>202006097236</v>
      </c>
      <c r="F621" t="str">
        <f>"INSPECTION/'08 FRHT/PCT#4"</f>
        <v>INSPECTION/'08 FRHT/PCT#4</v>
      </c>
      <c r="G621" s="5">
        <v>40</v>
      </c>
      <c r="H621" t="str">
        <f>"INSPECTION/'08 FRHT/PCT#4"</f>
        <v>INSPECTION/'08 FRHT/PCT#4</v>
      </c>
    </row>
    <row r="622" spans="1:8" x14ac:dyDescent="0.25">
      <c r="A622" t="s">
        <v>214</v>
      </c>
      <c r="B622">
        <v>132233</v>
      </c>
      <c r="C622" s="5">
        <v>410.93</v>
      </c>
      <c r="D622" s="1">
        <v>44004</v>
      </c>
      <c r="E622" t="str">
        <f>"1015751262"</f>
        <v>1015751262</v>
      </c>
      <c r="F622" t="str">
        <f>"ACCT#011198047"</f>
        <v>ACCT#011198047</v>
      </c>
      <c r="G622" s="5">
        <v>410.93</v>
      </c>
      <c r="H622" t="str">
        <f>"ACCT#011198047"</f>
        <v>ACCT#011198047</v>
      </c>
    </row>
    <row r="623" spans="1:8" x14ac:dyDescent="0.25">
      <c r="A623" t="s">
        <v>215</v>
      </c>
      <c r="B623">
        <v>2700</v>
      </c>
      <c r="C623" s="5">
        <v>1955.61</v>
      </c>
      <c r="D623" s="1">
        <v>43991</v>
      </c>
      <c r="E623" t="str">
        <f>"3310735605"</f>
        <v>3310735605</v>
      </c>
      <c r="F623" t="str">
        <f>"ACCT#0071315717/TAX ASSESSOR"</f>
        <v>ACCT#0071315717/TAX ASSESSOR</v>
      </c>
      <c r="G623" s="5">
        <v>1347.36</v>
      </c>
      <c r="H623" t="str">
        <f>"ACCT#0071315717/TAX ASSESSOR"</f>
        <v>ACCT#0071315717/TAX ASSESSOR</v>
      </c>
    </row>
    <row r="624" spans="1:8" x14ac:dyDescent="0.25">
      <c r="E624" t="str">
        <f>"3311258052"</f>
        <v>3311258052</v>
      </c>
      <c r="F624" t="str">
        <f>"ACCT#0010366024/TAX ASSESSOR"</f>
        <v>ACCT#0010366024/TAX ASSESSOR</v>
      </c>
      <c r="G624" s="5">
        <v>195.96</v>
      </c>
      <c r="H624" t="str">
        <f>"ACCT#0010366024/TAX ASSESSOR"</f>
        <v>ACCT#0010366024/TAX ASSESSOR</v>
      </c>
    </row>
    <row r="625" spans="1:8" x14ac:dyDescent="0.25">
      <c r="E625" t="str">
        <f>"3311303161"</f>
        <v>3311303161</v>
      </c>
      <c r="F625" t="str">
        <f>"INV 3311303161"</f>
        <v>INV 3311303161</v>
      </c>
      <c r="G625" s="5">
        <v>412.29</v>
      </c>
      <c r="H625" t="str">
        <f>"INV 3311303161"</f>
        <v>INV 3311303161</v>
      </c>
    </row>
    <row r="626" spans="1:8" x14ac:dyDescent="0.25">
      <c r="A626" t="s">
        <v>216</v>
      </c>
      <c r="B626">
        <v>2746</v>
      </c>
      <c r="C626" s="5">
        <v>147.28</v>
      </c>
      <c r="D626" s="1">
        <v>44005</v>
      </c>
      <c r="E626" t="str">
        <f>"202006097235"</f>
        <v>202006097235</v>
      </c>
      <c r="F626" t="str">
        <f>"ACCT#0005/PCT#4"</f>
        <v>ACCT#0005/PCT#4</v>
      </c>
      <c r="G626" s="5">
        <v>147.28</v>
      </c>
      <c r="H626" t="str">
        <f>"ACCT#0005/PCT#4"</f>
        <v>ACCT#0005/PCT#4</v>
      </c>
    </row>
    <row r="627" spans="1:8" x14ac:dyDescent="0.25">
      <c r="A627" t="s">
        <v>217</v>
      </c>
      <c r="B627">
        <v>132088</v>
      </c>
      <c r="C627" s="5">
        <v>240</v>
      </c>
      <c r="D627" s="1">
        <v>43990</v>
      </c>
      <c r="E627" t="str">
        <f>"202005287023"</f>
        <v>202005287023</v>
      </c>
      <c r="F627" t="str">
        <f>"BRM PERMIT#10000/ELECTIONS"</f>
        <v>BRM PERMIT#10000/ELECTIONS</v>
      </c>
      <c r="G627" s="5">
        <v>240</v>
      </c>
      <c r="H627" t="str">
        <f>"BRM PERMIT#10000/ELECTIONS"</f>
        <v>BRM PERMIT#10000/ELECTIONS</v>
      </c>
    </row>
    <row r="628" spans="1:8" x14ac:dyDescent="0.25">
      <c r="A628" t="s">
        <v>217</v>
      </c>
      <c r="B628">
        <v>132234</v>
      </c>
      <c r="C628" s="5">
        <v>130</v>
      </c>
      <c r="D628" s="1">
        <v>44004</v>
      </c>
      <c r="E628" t="str">
        <f>"202006097225"</f>
        <v>202006097225</v>
      </c>
      <c r="F628" t="str">
        <f>"PO BOX 676 FEE/TREASURER"</f>
        <v>PO BOX 676 FEE/TREASURER</v>
      </c>
      <c r="G628" s="5">
        <v>130</v>
      </c>
      <c r="H628" t="str">
        <f>"PO BOX 676 FEE/TREASURER"</f>
        <v>PO BOX 676 FEE/TREASURER</v>
      </c>
    </row>
    <row r="629" spans="1:8" x14ac:dyDescent="0.25">
      <c r="A629" t="s">
        <v>217</v>
      </c>
      <c r="B629">
        <v>132235</v>
      </c>
      <c r="C629" s="5">
        <v>226</v>
      </c>
      <c r="D629" s="1">
        <v>44004</v>
      </c>
      <c r="E629" t="str">
        <f>"202006107272"</f>
        <v>202006107272</v>
      </c>
      <c r="F629" t="str">
        <f>"P O BOX 650 SERVICE FEE/TX A&amp;M"</f>
        <v>P O BOX 650 SERVICE FEE/TX A&amp;M</v>
      </c>
      <c r="G629" s="5">
        <v>226</v>
      </c>
      <c r="H629" t="str">
        <f>"P O BOX 650 SERVICE FEE/TX A&amp;M"</f>
        <v>P O BOX 650 SERVICE FEE/TX A&amp;M</v>
      </c>
    </row>
    <row r="630" spans="1:8" x14ac:dyDescent="0.25">
      <c r="A630" t="s">
        <v>217</v>
      </c>
      <c r="B630">
        <v>132236</v>
      </c>
      <c r="C630" s="5">
        <v>226</v>
      </c>
      <c r="D630" s="1">
        <v>44004</v>
      </c>
      <c r="E630" t="str">
        <f>"202006167321"</f>
        <v>202006167321</v>
      </c>
      <c r="F630" t="str">
        <f>"PO BOX 579 FEE/TAX COLLECTOR"</f>
        <v>PO BOX 579 FEE/TAX COLLECTOR</v>
      </c>
      <c r="G630" s="5">
        <v>226</v>
      </c>
      <c r="H630" t="str">
        <f>"PO BOX 579 FEE/TAX COLLECTOR"</f>
        <v>PO BOX 579 FEE/TAX COLLECTOR</v>
      </c>
    </row>
    <row r="631" spans="1:8" x14ac:dyDescent="0.25">
      <c r="A631" t="s">
        <v>217</v>
      </c>
      <c r="B631">
        <v>132293</v>
      </c>
      <c r="C631" s="5">
        <v>226</v>
      </c>
      <c r="D631" s="1">
        <v>44007</v>
      </c>
      <c r="E631" t="str">
        <f>"202006257389"</f>
        <v>202006257389</v>
      </c>
      <c r="F631" t="str">
        <f>"BOX #577 RENEWAL FEE/COUNTY CK"</f>
        <v>BOX #577 RENEWAL FEE/COUNTY CK</v>
      </c>
      <c r="G631" s="5">
        <v>226</v>
      </c>
      <c r="H631" t="str">
        <f>"BOX #577 RENEWAL FEE/COUNTY CK"</f>
        <v>BOX #577 RENEWAL FEE/COUNTY CK</v>
      </c>
    </row>
    <row r="632" spans="1:8" x14ac:dyDescent="0.25">
      <c r="A632" t="s">
        <v>218</v>
      </c>
      <c r="B632">
        <v>132237</v>
      </c>
      <c r="C632" s="5">
        <v>345</v>
      </c>
      <c r="D632" s="1">
        <v>44004</v>
      </c>
      <c r="E632" t="str">
        <f>"202006097224"</f>
        <v>202006097224</v>
      </c>
      <c r="F632" t="str">
        <f>"FUNERAL SERVICES-ROGER RAMPY"</f>
        <v>FUNERAL SERVICES-ROGER RAMPY</v>
      </c>
      <c r="G632" s="5">
        <v>345</v>
      </c>
      <c r="H632" t="str">
        <f>"FUNERAL SERVICES-ROGER RAMPY"</f>
        <v>FUNERAL SERVICES-ROGER RAMPY</v>
      </c>
    </row>
    <row r="633" spans="1:8" x14ac:dyDescent="0.25">
      <c r="A633" t="s">
        <v>219</v>
      </c>
      <c r="B633">
        <v>132238</v>
      </c>
      <c r="C633" s="5">
        <v>168</v>
      </c>
      <c r="D633" s="1">
        <v>44004</v>
      </c>
      <c r="E633" t="str">
        <f>"202006167339"</f>
        <v>202006167339</v>
      </c>
      <c r="F633" t="str">
        <f>"REIMBURSEMENT"</f>
        <v>REIMBURSEMENT</v>
      </c>
      <c r="G633" s="5">
        <v>168</v>
      </c>
      <c r="H633" t="str">
        <f>"REIMBURSEMENT"</f>
        <v>REIMBURSEMENT</v>
      </c>
    </row>
    <row r="634" spans="1:8" x14ac:dyDescent="0.25">
      <c r="A634" t="s">
        <v>220</v>
      </c>
      <c r="B634">
        <v>132089</v>
      </c>
      <c r="C634" s="5">
        <v>380</v>
      </c>
      <c r="D634" s="1">
        <v>43990</v>
      </c>
      <c r="E634" t="str">
        <f>"133381"</f>
        <v>133381</v>
      </c>
      <c r="F634" t="str">
        <f>"TINT/MOB N PRO BLK/INSTALL/P1"</f>
        <v>TINT/MOB N PRO BLK/INSTALL/P1</v>
      </c>
      <c r="G634" s="5">
        <v>380</v>
      </c>
      <c r="H634" t="str">
        <f>"TINT/MOB N PRO BLK/INSTALL/P1"</f>
        <v>TINT/MOB N PRO BLK/INSTALL/P1</v>
      </c>
    </row>
    <row r="635" spans="1:8" x14ac:dyDescent="0.25">
      <c r="A635" t="s">
        <v>220</v>
      </c>
      <c r="B635">
        <v>132239</v>
      </c>
      <c r="C635" s="5">
        <v>658</v>
      </c>
      <c r="D635" s="1">
        <v>44004</v>
      </c>
      <c r="E635" t="str">
        <f>"133431"</f>
        <v>133431</v>
      </c>
      <c r="F635" t="str">
        <f>"RAM ACCESSORIES/PCT#1"</f>
        <v>RAM ACCESSORIES/PCT#1</v>
      </c>
      <c r="G635" s="5">
        <v>658</v>
      </c>
      <c r="H635" t="str">
        <f>"RAM ACCESSORIES/PCT#1"</f>
        <v>RAM ACCESSORIES/PCT#1</v>
      </c>
    </row>
    <row r="636" spans="1:8" x14ac:dyDescent="0.25">
      <c r="A636" t="s">
        <v>221</v>
      </c>
      <c r="B636">
        <v>132240</v>
      </c>
      <c r="C636" s="5">
        <v>70</v>
      </c>
      <c r="D636" s="1">
        <v>44004</v>
      </c>
      <c r="E636" t="str">
        <f>"INV-005886"</f>
        <v>INV-005886</v>
      </c>
      <c r="F636" t="str">
        <f>"INV-005886"</f>
        <v>INV-005886</v>
      </c>
      <c r="G636" s="5">
        <v>70</v>
      </c>
      <c r="H636" t="str">
        <f>"INV-005886"</f>
        <v>INV-005886</v>
      </c>
    </row>
    <row r="637" spans="1:8" x14ac:dyDescent="0.25">
      <c r="A637" t="s">
        <v>222</v>
      </c>
      <c r="B637">
        <v>2665</v>
      </c>
      <c r="C637" s="5">
        <v>116.87</v>
      </c>
      <c r="D637" s="1">
        <v>43991</v>
      </c>
      <c r="E637" t="str">
        <f>"10E0121569859"</f>
        <v>10E0121569859</v>
      </c>
      <c r="F637" t="str">
        <f>"ACCT#0121569859/1125 DILDY DR"</f>
        <v>ACCT#0121569859/1125 DILDY DR</v>
      </c>
      <c r="G637" s="5">
        <v>116.87</v>
      </c>
      <c r="H637" t="str">
        <f>"ACCT#0121569859/1125 DILDY DR"</f>
        <v>ACCT#0121569859/1125 DILDY DR</v>
      </c>
    </row>
    <row r="638" spans="1:8" x14ac:dyDescent="0.25">
      <c r="A638" t="s">
        <v>222</v>
      </c>
      <c r="B638">
        <v>2719</v>
      </c>
      <c r="C638" s="5">
        <v>147.80000000000001</v>
      </c>
      <c r="D638" s="1">
        <v>44005</v>
      </c>
      <c r="E638" t="str">
        <f>"10F0121569859"</f>
        <v>10F0121569859</v>
      </c>
      <c r="F638" t="str">
        <f>"ACCT#0121569859/JP#4"</f>
        <v>ACCT#0121569859/JP#4</v>
      </c>
      <c r="G638" s="5">
        <v>57.92</v>
      </c>
      <c r="H638" t="str">
        <f>"ACCT#0121569859/JP#4"</f>
        <v>ACCT#0121569859/JP#4</v>
      </c>
    </row>
    <row r="639" spans="1:8" x14ac:dyDescent="0.25">
      <c r="E639" t="str">
        <f>"10F0121587851"</f>
        <v>10F0121587851</v>
      </c>
      <c r="F639" t="str">
        <f>"ACCT#0121587851/1133 DILDY/P4"</f>
        <v>ACCT#0121587851/1133 DILDY/P4</v>
      </c>
      <c r="G639" s="5">
        <v>89.88</v>
      </c>
      <c r="H639" t="str">
        <f>"ACCT#0121587851/1133 DILDY/P4"</f>
        <v>ACCT#0121587851/1133 DILDY/P4</v>
      </c>
    </row>
    <row r="640" spans="1:8" x14ac:dyDescent="0.25">
      <c r="A640" t="s">
        <v>223</v>
      </c>
      <c r="B640">
        <v>2748</v>
      </c>
      <c r="C640" s="5">
        <v>4000</v>
      </c>
      <c r="D640" s="1">
        <v>44005</v>
      </c>
      <c r="E640" t="str">
        <f>"202006167358"</f>
        <v>202006167358</v>
      </c>
      <c r="F640" t="str">
        <f>"VET SURG SVCS JUNE 04- JUNE 16"</f>
        <v>VET SURG SVCS JUNE 04- JUNE 16</v>
      </c>
      <c r="G640" s="5">
        <v>4000</v>
      </c>
      <c r="H640" t="str">
        <f>"VET SURG SVCS JUNE 04- JUNE 16"</f>
        <v>VET SURG SVCS JUNE 04- JUNE 16</v>
      </c>
    </row>
    <row r="641" spans="1:8" x14ac:dyDescent="0.25">
      <c r="E641" t="str">
        <f>""</f>
        <v/>
      </c>
      <c r="F641" t="str">
        <f>""</f>
        <v/>
      </c>
      <c r="H641" t="str">
        <f>"VET SURG SVCS JUNE 04- JUNE 16"</f>
        <v>VET SURG SVCS JUNE 04- JUNE 16</v>
      </c>
    </row>
    <row r="642" spans="1:8" x14ac:dyDescent="0.25">
      <c r="A642" t="s">
        <v>223</v>
      </c>
      <c r="B642">
        <v>132090</v>
      </c>
      <c r="C642" s="5">
        <v>3500</v>
      </c>
      <c r="D642" s="1">
        <v>43990</v>
      </c>
      <c r="E642" t="str">
        <f>"202006037116"</f>
        <v>202006037116</v>
      </c>
      <c r="F642" t="str">
        <f>"VET SURGICAL SVCS MAY21-JUNE2"</f>
        <v>VET SURGICAL SVCS MAY21-JUNE2</v>
      </c>
      <c r="G642" s="5">
        <v>3500</v>
      </c>
      <c r="H642" t="str">
        <f>"VET SURGICAL SVCS MAY21-JUNE2"</f>
        <v>VET SURGICAL SVCS MAY21-JUNE2</v>
      </c>
    </row>
    <row r="643" spans="1:8" x14ac:dyDescent="0.25">
      <c r="A643" t="s">
        <v>224</v>
      </c>
      <c r="B643">
        <v>132021</v>
      </c>
      <c r="C643" s="5">
        <v>1498.66</v>
      </c>
      <c r="D643" s="1">
        <v>43985</v>
      </c>
      <c r="E643" t="str">
        <f>"112 011 564 807 8"</f>
        <v>112 011 564 807 8</v>
      </c>
      <c r="F643" t="str">
        <f>"ACCT#15 072 199-1 / 05272020"</f>
        <v>ACCT#15 072 199-1 / 05272020</v>
      </c>
      <c r="G643" s="5">
        <v>66.95</v>
      </c>
      <c r="H643" t="str">
        <f>"ACCT#15 072 199-1 / 05272020"</f>
        <v>ACCT#15 072 199-1 / 05272020</v>
      </c>
    </row>
    <row r="644" spans="1:8" x14ac:dyDescent="0.25">
      <c r="E644" t="str">
        <f>"112 011 564 808 6"</f>
        <v>112 011 564 808 6</v>
      </c>
      <c r="F644" t="str">
        <f>"ACCT#15 072 200-7/05272020"</f>
        <v>ACCT#15 072 200-7/05272020</v>
      </c>
      <c r="G644" s="5">
        <v>216.16</v>
      </c>
      <c r="H644" t="str">
        <f>"ACCT#15 072 200-7/05272020"</f>
        <v>ACCT#15 072 200-7/05272020</v>
      </c>
    </row>
    <row r="645" spans="1:8" x14ac:dyDescent="0.25">
      <c r="E645" t="str">
        <f>"112 011 564 809 4"</f>
        <v>112 011 564 809 4</v>
      </c>
      <c r="F645" t="str">
        <f>"ACCT#15 072 201-5/05272020"</f>
        <v>ACCT#15 072 201-5/05272020</v>
      </c>
      <c r="G645" s="5">
        <v>428.62</v>
      </c>
      <c r="H645" t="str">
        <f>"ACCT#15 072 201-5/05272020"</f>
        <v>ACCT#15 072 201-5/05272020</v>
      </c>
    </row>
    <row r="646" spans="1:8" x14ac:dyDescent="0.25">
      <c r="E646" t="str">
        <f>"112 011 564 810 2"</f>
        <v>112 011 564 810 2</v>
      </c>
      <c r="F646" t="str">
        <f>"ACCT#15 072 202-3/05272020"</f>
        <v>ACCT#15 072 202-3/05272020</v>
      </c>
      <c r="G646" s="5">
        <v>27.28</v>
      </c>
      <c r="H646" t="str">
        <f>"ACCT#15 072 202-3/05272020"</f>
        <v>ACCT#15 072 202-3/05272020</v>
      </c>
    </row>
    <row r="647" spans="1:8" x14ac:dyDescent="0.25">
      <c r="E647" t="str">
        <f>"112 011 564 811 0"</f>
        <v>112 011 564 811 0</v>
      </c>
      <c r="F647" t="str">
        <f>"ACCT#15 072 203-1/05272020"</f>
        <v>ACCT#15 072 203-1/05272020</v>
      </c>
      <c r="G647" s="5">
        <v>15.47</v>
      </c>
      <c r="H647" t="str">
        <f>"ACCT#15 072 203-1/05272020"</f>
        <v>ACCT#15 072 203-1/05272020</v>
      </c>
    </row>
    <row r="648" spans="1:8" x14ac:dyDescent="0.25">
      <c r="E648" t="str">
        <f>"112 011 564 812 8"</f>
        <v>112 011 564 812 8</v>
      </c>
      <c r="F648" t="str">
        <f>"ACCT#15 072 204-9/05272020"</f>
        <v>ACCT#15 072 204-9/05272020</v>
      </c>
      <c r="G648" s="5">
        <v>307.79000000000002</v>
      </c>
      <c r="H648" t="str">
        <f>"ACCT#15 072 204-9/05272020"</f>
        <v>ACCT#15 072 204-9/05272020</v>
      </c>
    </row>
    <row r="649" spans="1:8" x14ac:dyDescent="0.25">
      <c r="E649" t="str">
        <f>"116 007 343 264 4"</f>
        <v>116 007 343 264 4</v>
      </c>
      <c r="F649" t="str">
        <f>"ACCT#15 070 712-3/05272020"</f>
        <v>ACCT#15 070 712-3/05272020</v>
      </c>
      <c r="G649" s="5">
        <v>17.89</v>
      </c>
      <c r="H649" t="str">
        <f>"ACCT#15 070 712-3/05272020"</f>
        <v>ACCT#15 070 712-3/05272020</v>
      </c>
    </row>
    <row r="650" spans="1:8" x14ac:dyDescent="0.25">
      <c r="E650" t="str">
        <f>"116 007 343 265 1"</f>
        <v>116 007 343 265 1</v>
      </c>
      <c r="F650" t="str">
        <f>"ACCT#15 070 713-1/05272020"</f>
        <v>ACCT#15 070 713-1/05272020</v>
      </c>
      <c r="G650" s="5">
        <v>21.4</v>
      </c>
      <c r="H650" t="str">
        <f>"ACCT#15 070 713-1/05272020"</f>
        <v>ACCT#15 070 713-1/05272020</v>
      </c>
    </row>
    <row r="651" spans="1:8" x14ac:dyDescent="0.25">
      <c r="E651" t="str">
        <f>"117 007 288 706 0"</f>
        <v>117 007 288 706 0</v>
      </c>
      <c r="F651" t="str">
        <f>"ACCT#15 069 451-1/05262020"</f>
        <v>ACCT#15 069 451-1/05262020</v>
      </c>
      <c r="G651" s="5">
        <v>397.1</v>
      </c>
      <c r="H651" t="str">
        <f>"ACCT#15 069 451-1/05262020"</f>
        <v>ACCT#15 069 451-1/05262020</v>
      </c>
    </row>
    <row r="652" spans="1:8" x14ac:dyDescent="0.25">
      <c r="A652" t="s">
        <v>224</v>
      </c>
      <c r="B652">
        <v>132299</v>
      </c>
      <c r="C652" s="5">
        <v>1614.73</v>
      </c>
      <c r="D652" s="1">
        <v>44012</v>
      </c>
      <c r="E652" t="str">
        <f>"113 009 477 799 6"</f>
        <v>113 009 477 799 6</v>
      </c>
      <c r="F652" t="str">
        <f>"ACCT#15 069 451-1 / 06292020"</f>
        <v>ACCT#15 069 451-1 / 06292020</v>
      </c>
      <c r="G652" s="5">
        <v>401.87</v>
      </c>
      <c r="H652" t="str">
        <f>"ACCT#15 069 451-1 / 06292020"</f>
        <v>ACCT#15 069 451-1 / 06292020</v>
      </c>
    </row>
    <row r="653" spans="1:8" x14ac:dyDescent="0.25">
      <c r="E653" t="str">
        <f>"114 007 832 099 4"</f>
        <v>114 007 832 099 4</v>
      </c>
      <c r="F653" t="str">
        <f>"ACCT#15 070 712-3 / 06292020"</f>
        <v>ACCT#15 070 712-3 / 06292020</v>
      </c>
      <c r="G653" s="5">
        <v>17.91</v>
      </c>
      <c r="H653" t="str">
        <f>"ACCT#15 070 712-3 / 06292020"</f>
        <v>ACCT#15 070 712-3 / 06292020</v>
      </c>
    </row>
    <row r="654" spans="1:8" x14ac:dyDescent="0.25">
      <c r="E654" t="str">
        <f>"114 007 832 100 0"</f>
        <v>114 007 832 100 0</v>
      </c>
      <c r="F654" t="str">
        <f>"ACCT#15 070 713-1 / 06292020"</f>
        <v>ACCT#15 070 713-1 / 06292020</v>
      </c>
      <c r="G654" s="5">
        <v>21.43</v>
      </c>
      <c r="H654" t="str">
        <f>"ACCT#15 070 713-1 / 06292020"</f>
        <v>ACCT#15 070 713-1 / 06292020</v>
      </c>
    </row>
    <row r="655" spans="1:8" x14ac:dyDescent="0.25">
      <c r="E655" t="str">
        <f>"114 007 832 101 8"</f>
        <v>114 007 832 101 8</v>
      </c>
      <c r="F655" t="str">
        <f>"ACCT#15 072 199-1 / 06292020"</f>
        <v>ACCT#15 072 199-1 / 06292020</v>
      </c>
      <c r="G655" s="5">
        <v>46.51</v>
      </c>
      <c r="H655" t="str">
        <f>"ACCT#15 072 199-1 / 06292020"</f>
        <v>ACCT#15 072 199-1 / 06292020</v>
      </c>
    </row>
    <row r="656" spans="1:8" x14ac:dyDescent="0.25">
      <c r="E656" t="str">
        <f>"114 007 832 102 6"</f>
        <v>114 007 832 102 6</v>
      </c>
      <c r="F656" t="str">
        <f>"ACCT#15 072 200-7 / 06292020"</f>
        <v>ACCT#15 072 200-7 / 06292020</v>
      </c>
      <c r="G656" s="5">
        <v>258.37</v>
      </c>
      <c r="H656" t="str">
        <f>"ACCT#15 072 200-7 / 06292020"</f>
        <v>ACCT#15 072 200-7 / 06292020</v>
      </c>
    </row>
    <row r="657" spans="1:8" x14ac:dyDescent="0.25">
      <c r="E657" t="str">
        <f>"114 007 832 103 4"</f>
        <v>114 007 832 103 4</v>
      </c>
      <c r="F657" t="str">
        <f>"ACCT#15 072 201-5 / 06292020"</f>
        <v>ACCT#15 072 201-5 / 06292020</v>
      </c>
      <c r="G657" s="5">
        <v>482.92</v>
      </c>
      <c r="H657" t="str">
        <f>"ACCT#15 072 201-5 / 06292020"</f>
        <v>ACCT#15 072 201-5 / 06292020</v>
      </c>
    </row>
    <row r="658" spans="1:8" x14ac:dyDescent="0.25">
      <c r="E658" t="str">
        <f>"114 007 832 104 2"</f>
        <v>114 007 832 104 2</v>
      </c>
      <c r="F658" t="str">
        <f>"ACCT# 15 072 202-3 / 06292020"</f>
        <v>ACCT# 15 072 202-3 / 06292020</v>
      </c>
      <c r="G658" s="5">
        <v>23.53</v>
      </c>
      <c r="H658" t="str">
        <f>"ACCT# 15 072 202-3 / 06292020"</f>
        <v>ACCT# 15 072 202-3 / 06292020</v>
      </c>
    </row>
    <row r="659" spans="1:8" x14ac:dyDescent="0.25">
      <c r="E659" t="str">
        <f>"114 007 832 105 9"</f>
        <v>114 007 832 105 9</v>
      </c>
      <c r="F659" t="str">
        <f>"ACCT#15 072 203-1 / 06292020"</f>
        <v>ACCT#15 072 203-1 / 06292020</v>
      </c>
      <c r="G659" s="5">
        <v>15.92</v>
      </c>
      <c r="H659" t="str">
        <f>"ACCT#15 072 203-1 / 06292020"</f>
        <v>ACCT#15 072 203-1 / 06292020</v>
      </c>
    </row>
    <row r="660" spans="1:8" x14ac:dyDescent="0.25">
      <c r="E660" t="str">
        <f>"114 007 832 106 7"</f>
        <v>114 007 832 106 7</v>
      </c>
      <c r="F660" t="str">
        <f>"ACCT#15 072 204-9 / 06292020"</f>
        <v>ACCT#15 072 204-9 / 06292020</v>
      </c>
      <c r="G660" s="5">
        <v>346.27</v>
      </c>
      <c r="H660" t="str">
        <f>"ACCT#15 072 204-9 / 06292020"</f>
        <v>ACCT#15 072 204-9 / 06292020</v>
      </c>
    </row>
    <row r="661" spans="1:8" x14ac:dyDescent="0.25">
      <c r="A661" t="s">
        <v>225</v>
      </c>
      <c r="B661">
        <v>132241</v>
      </c>
      <c r="C661" s="5">
        <v>2000</v>
      </c>
      <c r="D661" s="1">
        <v>44004</v>
      </c>
      <c r="E661" t="str">
        <f>"202006167340"</f>
        <v>202006167340</v>
      </c>
      <c r="F661" t="str">
        <f>"ACCT 36251536"</f>
        <v>ACCT 36251536</v>
      </c>
      <c r="G661" s="5">
        <v>2000</v>
      </c>
      <c r="H661" t="str">
        <f>"ACCT 36251536"</f>
        <v>ACCT 36251536</v>
      </c>
    </row>
    <row r="662" spans="1:8" x14ac:dyDescent="0.25">
      <c r="A662" t="s">
        <v>225</v>
      </c>
      <c r="B662">
        <v>132242</v>
      </c>
      <c r="C662" s="5">
        <v>9000</v>
      </c>
      <c r="D662" s="1">
        <v>44004</v>
      </c>
      <c r="E662" t="str">
        <f>"202006097222"</f>
        <v>202006097222</v>
      </c>
      <c r="F662" t="str">
        <f>"ACCT#34549337/POSTAGE"</f>
        <v>ACCT#34549337/POSTAGE</v>
      </c>
      <c r="G662" s="5">
        <v>9000</v>
      </c>
      <c r="H662" t="str">
        <f>"ACCT#34549337/POSTAGE"</f>
        <v>ACCT#34549337/POSTAGE</v>
      </c>
    </row>
    <row r="663" spans="1:8" x14ac:dyDescent="0.25">
      <c r="A663" t="s">
        <v>226</v>
      </c>
      <c r="B663">
        <v>2766</v>
      </c>
      <c r="C663" s="5">
        <v>2417.9499999999998</v>
      </c>
      <c r="D663" s="1">
        <v>44005</v>
      </c>
      <c r="E663" t="str">
        <f>"202006127301"</f>
        <v>202006127301</v>
      </c>
      <c r="F663" t="str">
        <f>"423-4051   04/22/20"</f>
        <v>423-4051   04/22/20</v>
      </c>
      <c r="G663" s="5">
        <v>525</v>
      </c>
      <c r="H663" t="str">
        <f>"423-4051   04/22/20"</f>
        <v>423-4051   04/22/20</v>
      </c>
    </row>
    <row r="664" spans="1:8" x14ac:dyDescent="0.25">
      <c r="E664" t="str">
        <f>"202006177359"</f>
        <v>202006177359</v>
      </c>
      <c r="F664" t="str">
        <f>"423-7082"</f>
        <v>423-7082</v>
      </c>
      <c r="G664" s="5">
        <v>105</v>
      </c>
      <c r="H664" t="str">
        <f>"423-7082"</f>
        <v>423-7082</v>
      </c>
    </row>
    <row r="665" spans="1:8" x14ac:dyDescent="0.25">
      <c r="E665" t="str">
        <f>"202006177360"</f>
        <v>202006177360</v>
      </c>
      <c r="F665" t="str">
        <f>"423-4051"</f>
        <v>423-4051</v>
      </c>
      <c r="G665" s="5">
        <v>1787.95</v>
      </c>
      <c r="H665" t="str">
        <f>"423-4051"</f>
        <v>423-4051</v>
      </c>
    </row>
    <row r="666" spans="1:8" x14ac:dyDescent="0.25">
      <c r="A666" t="s">
        <v>227</v>
      </c>
      <c r="B666">
        <v>132091</v>
      </c>
      <c r="C666" s="5">
        <v>750</v>
      </c>
      <c r="D666" s="1">
        <v>43990</v>
      </c>
      <c r="E666" t="str">
        <f>"202006017053"</f>
        <v>202006017053</v>
      </c>
      <c r="F666" t="str">
        <f>"16 759"</f>
        <v>16 759</v>
      </c>
      <c r="G666" s="5">
        <v>750</v>
      </c>
      <c r="H666" t="str">
        <f>"16 759"</f>
        <v>16 759</v>
      </c>
    </row>
    <row r="667" spans="1:8" x14ac:dyDescent="0.25">
      <c r="A667" t="s">
        <v>228</v>
      </c>
      <c r="B667">
        <v>132092</v>
      </c>
      <c r="C667" s="5">
        <v>18472.759999999998</v>
      </c>
      <c r="D667" s="1">
        <v>43990</v>
      </c>
      <c r="E667" t="str">
        <f>"35407551"</f>
        <v>35407551</v>
      </c>
      <c r="F667" t="str">
        <f>"CUST#2000172616"</f>
        <v>CUST#2000172616</v>
      </c>
      <c r="G667" s="5">
        <v>9236.6299999999992</v>
      </c>
      <c r="H667" t="str">
        <f t="shared" ref="H667:H698" si="9">"CUST#2000172616"</f>
        <v>CUST#2000172616</v>
      </c>
    </row>
    <row r="668" spans="1:8" x14ac:dyDescent="0.25">
      <c r="E668" t="str">
        <f>""</f>
        <v/>
      </c>
      <c r="F668" t="str">
        <f>""</f>
        <v/>
      </c>
      <c r="H668" t="str">
        <f t="shared" si="9"/>
        <v>CUST#2000172616</v>
      </c>
    </row>
    <row r="669" spans="1:8" x14ac:dyDescent="0.25">
      <c r="E669" t="str">
        <f>""</f>
        <v/>
      </c>
      <c r="F669" t="str">
        <f>""</f>
        <v/>
      </c>
      <c r="H669" t="str">
        <f t="shared" si="9"/>
        <v>CUST#2000172616</v>
      </c>
    </row>
    <row r="670" spans="1:8" x14ac:dyDescent="0.25">
      <c r="E670" t="str">
        <f>""</f>
        <v/>
      </c>
      <c r="F670" t="str">
        <f>""</f>
        <v/>
      </c>
      <c r="H670" t="str">
        <f t="shared" si="9"/>
        <v>CUST#2000172616</v>
      </c>
    </row>
    <row r="671" spans="1:8" x14ac:dyDescent="0.25">
      <c r="E671" t="str">
        <f>""</f>
        <v/>
      </c>
      <c r="F671" t="str">
        <f>""</f>
        <v/>
      </c>
      <c r="H671" t="str">
        <f t="shared" si="9"/>
        <v>CUST#2000172616</v>
      </c>
    </row>
    <row r="672" spans="1:8" x14ac:dyDescent="0.25">
      <c r="E672" t="str">
        <f>""</f>
        <v/>
      </c>
      <c r="F672" t="str">
        <f>""</f>
        <v/>
      </c>
      <c r="H672" t="str">
        <f t="shared" si="9"/>
        <v>CUST#2000172616</v>
      </c>
    </row>
    <row r="673" spans="5:8" x14ac:dyDescent="0.25">
      <c r="E673" t="str">
        <f>""</f>
        <v/>
      </c>
      <c r="F673" t="str">
        <f>""</f>
        <v/>
      </c>
      <c r="H673" t="str">
        <f t="shared" si="9"/>
        <v>CUST#2000172616</v>
      </c>
    </row>
    <row r="674" spans="5:8" x14ac:dyDescent="0.25">
      <c r="E674" t="str">
        <f>""</f>
        <v/>
      </c>
      <c r="F674" t="str">
        <f>""</f>
        <v/>
      </c>
      <c r="H674" t="str">
        <f t="shared" si="9"/>
        <v>CUST#2000172616</v>
      </c>
    </row>
    <row r="675" spans="5:8" x14ac:dyDescent="0.25">
      <c r="E675" t="str">
        <f>""</f>
        <v/>
      </c>
      <c r="F675" t="str">
        <f>""</f>
        <v/>
      </c>
      <c r="H675" t="str">
        <f t="shared" si="9"/>
        <v>CUST#2000172616</v>
      </c>
    </row>
    <row r="676" spans="5:8" x14ac:dyDescent="0.25">
      <c r="E676" t="str">
        <f>""</f>
        <v/>
      </c>
      <c r="F676" t="str">
        <f>""</f>
        <v/>
      </c>
      <c r="H676" t="str">
        <f t="shared" si="9"/>
        <v>CUST#2000172616</v>
      </c>
    </row>
    <row r="677" spans="5:8" x14ac:dyDescent="0.25">
      <c r="E677" t="str">
        <f>""</f>
        <v/>
      </c>
      <c r="F677" t="str">
        <f>""</f>
        <v/>
      </c>
      <c r="H677" t="str">
        <f t="shared" si="9"/>
        <v>CUST#2000172616</v>
      </c>
    </row>
    <row r="678" spans="5:8" x14ac:dyDescent="0.25">
      <c r="E678" t="str">
        <f>""</f>
        <v/>
      </c>
      <c r="F678" t="str">
        <f>""</f>
        <v/>
      </c>
      <c r="H678" t="str">
        <f t="shared" si="9"/>
        <v>CUST#2000172616</v>
      </c>
    </row>
    <row r="679" spans="5:8" x14ac:dyDescent="0.25">
      <c r="E679" t="str">
        <f>""</f>
        <v/>
      </c>
      <c r="F679" t="str">
        <f>""</f>
        <v/>
      </c>
      <c r="H679" t="str">
        <f t="shared" si="9"/>
        <v>CUST#2000172616</v>
      </c>
    </row>
    <row r="680" spans="5:8" x14ac:dyDescent="0.25">
      <c r="E680" t="str">
        <f>""</f>
        <v/>
      </c>
      <c r="F680" t="str">
        <f>""</f>
        <v/>
      </c>
      <c r="H680" t="str">
        <f t="shared" si="9"/>
        <v>CUST#2000172616</v>
      </c>
    </row>
    <row r="681" spans="5:8" x14ac:dyDescent="0.25">
      <c r="E681" t="str">
        <f>""</f>
        <v/>
      </c>
      <c r="F681" t="str">
        <f>""</f>
        <v/>
      </c>
      <c r="H681" t="str">
        <f t="shared" si="9"/>
        <v>CUST#2000172616</v>
      </c>
    </row>
    <row r="682" spans="5:8" x14ac:dyDescent="0.25">
      <c r="E682" t="str">
        <f>""</f>
        <v/>
      </c>
      <c r="F682" t="str">
        <f>""</f>
        <v/>
      </c>
      <c r="H682" t="str">
        <f t="shared" si="9"/>
        <v>CUST#2000172616</v>
      </c>
    </row>
    <row r="683" spans="5:8" x14ac:dyDescent="0.25">
      <c r="E683" t="str">
        <f>""</f>
        <v/>
      </c>
      <c r="F683" t="str">
        <f>""</f>
        <v/>
      </c>
      <c r="H683" t="str">
        <f t="shared" si="9"/>
        <v>CUST#2000172616</v>
      </c>
    </row>
    <row r="684" spans="5:8" x14ac:dyDescent="0.25">
      <c r="E684" t="str">
        <f>""</f>
        <v/>
      </c>
      <c r="F684" t="str">
        <f>""</f>
        <v/>
      </c>
      <c r="H684" t="str">
        <f t="shared" si="9"/>
        <v>CUST#2000172616</v>
      </c>
    </row>
    <row r="685" spans="5:8" x14ac:dyDescent="0.25">
      <c r="E685" t="str">
        <f>""</f>
        <v/>
      </c>
      <c r="F685" t="str">
        <f>""</f>
        <v/>
      </c>
      <c r="H685" t="str">
        <f t="shared" si="9"/>
        <v>CUST#2000172616</v>
      </c>
    </row>
    <row r="686" spans="5:8" x14ac:dyDescent="0.25">
      <c r="E686" t="str">
        <f>""</f>
        <v/>
      </c>
      <c r="F686" t="str">
        <f>""</f>
        <v/>
      </c>
      <c r="H686" t="str">
        <f t="shared" si="9"/>
        <v>CUST#2000172616</v>
      </c>
    </row>
    <row r="687" spans="5:8" x14ac:dyDescent="0.25">
      <c r="E687" t="str">
        <f>""</f>
        <v/>
      </c>
      <c r="F687" t="str">
        <f>""</f>
        <v/>
      </c>
      <c r="H687" t="str">
        <f t="shared" si="9"/>
        <v>CUST#2000172616</v>
      </c>
    </row>
    <row r="688" spans="5:8" x14ac:dyDescent="0.25">
      <c r="E688" t="str">
        <f>""</f>
        <v/>
      </c>
      <c r="F688" t="str">
        <f>""</f>
        <v/>
      </c>
      <c r="H688" t="str">
        <f t="shared" si="9"/>
        <v>CUST#2000172616</v>
      </c>
    </row>
    <row r="689" spans="5:8" x14ac:dyDescent="0.25">
      <c r="E689" t="str">
        <f>""</f>
        <v/>
      </c>
      <c r="F689" t="str">
        <f>""</f>
        <v/>
      </c>
      <c r="H689" t="str">
        <f t="shared" si="9"/>
        <v>CUST#2000172616</v>
      </c>
    </row>
    <row r="690" spans="5:8" x14ac:dyDescent="0.25">
      <c r="E690" t="str">
        <f>""</f>
        <v/>
      </c>
      <c r="F690" t="str">
        <f>""</f>
        <v/>
      </c>
      <c r="H690" t="str">
        <f t="shared" si="9"/>
        <v>CUST#2000172616</v>
      </c>
    </row>
    <row r="691" spans="5:8" x14ac:dyDescent="0.25">
      <c r="E691" t="str">
        <f>""</f>
        <v/>
      </c>
      <c r="F691" t="str">
        <f>""</f>
        <v/>
      </c>
      <c r="H691" t="str">
        <f t="shared" si="9"/>
        <v>CUST#2000172616</v>
      </c>
    </row>
    <row r="692" spans="5:8" x14ac:dyDescent="0.25">
      <c r="E692" t="str">
        <f>""</f>
        <v/>
      </c>
      <c r="F692" t="str">
        <f>""</f>
        <v/>
      </c>
      <c r="H692" t="str">
        <f t="shared" si="9"/>
        <v>CUST#2000172616</v>
      </c>
    </row>
    <row r="693" spans="5:8" x14ac:dyDescent="0.25">
      <c r="E693" t="str">
        <f>""</f>
        <v/>
      </c>
      <c r="F693" t="str">
        <f>""</f>
        <v/>
      </c>
      <c r="H693" t="str">
        <f t="shared" si="9"/>
        <v>CUST#2000172616</v>
      </c>
    </row>
    <row r="694" spans="5:8" x14ac:dyDescent="0.25">
      <c r="E694" t="str">
        <f>""</f>
        <v/>
      </c>
      <c r="F694" t="str">
        <f>""</f>
        <v/>
      </c>
      <c r="H694" t="str">
        <f t="shared" si="9"/>
        <v>CUST#2000172616</v>
      </c>
    </row>
    <row r="695" spans="5:8" x14ac:dyDescent="0.25">
      <c r="E695" t="str">
        <f>""</f>
        <v/>
      </c>
      <c r="F695" t="str">
        <f>""</f>
        <v/>
      </c>
      <c r="H695" t="str">
        <f t="shared" si="9"/>
        <v>CUST#2000172616</v>
      </c>
    </row>
    <row r="696" spans="5:8" x14ac:dyDescent="0.25">
      <c r="E696" t="str">
        <f>""</f>
        <v/>
      </c>
      <c r="F696" t="str">
        <f>""</f>
        <v/>
      </c>
      <c r="H696" t="str">
        <f t="shared" si="9"/>
        <v>CUST#2000172616</v>
      </c>
    </row>
    <row r="697" spans="5:8" x14ac:dyDescent="0.25">
      <c r="E697" t="str">
        <f>""</f>
        <v/>
      </c>
      <c r="F697" t="str">
        <f>""</f>
        <v/>
      </c>
      <c r="H697" t="str">
        <f t="shared" si="9"/>
        <v>CUST#2000172616</v>
      </c>
    </row>
    <row r="698" spans="5:8" x14ac:dyDescent="0.25">
      <c r="E698" t="str">
        <f>""</f>
        <v/>
      </c>
      <c r="F698" t="str">
        <f>""</f>
        <v/>
      </c>
      <c r="H698" t="str">
        <f t="shared" si="9"/>
        <v>CUST#2000172616</v>
      </c>
    </row>
    <row r="699" spans="5:8" x14ac:dyDescent="0.25">
      <c r="E699" t="str">
        <f>"35592257"</f>
        <v>35592257</v>
      </c>
      <c r="F699" t="str">
        <f>"CUST#2000172616"</f>
        <v>CUST#2000172616</v>
      </c>
      <c r="G699" s="5">
        <v>9236.1299999999992</v>
      </c>
      <c r="H699" t="str">
        <f t="shared" ref="H699:H730" si="10">"CUST#2000172616"</f>
        <v>CUST#2000172616</v>
      </c>
    </row>
    <row r="700" spans="5:8" x14ac:dyDescent="0.25">
      <c r="E700" t="str">
        <f>""</f>
        <v/>
      </c>
      <c r="F700" t="str">
        <f>""</f>
        <v/>
      </c>
      <c r="H700" t="str">
        <f t="shared" si="10"/>
        <v>CUST#2000172616</v>
      </c>
    </row>
    <row r="701" spans="5:8" x14ac:dyDescent="0.25">
      <c r="E701" t="str">
        <f>""</f>
        <v/>
      </c>
      <c r="F701" t="str">
        <f>""</f>
        <v/>
      </c>
      <c r="H701" t="str">
        <f t="shared" si="10"/>
        <v>CUST#2000172616</v>
      </c>
    </row>
    <row r="702" spans="5:8" x14ac:dyDescent="0.25">
      <c r="E702" t="str">
        <f>""</f>
        <v/>
      </c>
      <c r="F702" t="str">
        <f>""</f>
        <v/>
      </c>
      <c r="H702" t="str">
        <f t="shared" si="10"/>
        <v>CUST#2000172616</v>
      </c>
    </row>
    <row r="703" spans="5:8" x14ac:dyDescent="0.25">
      <c r="E703" t="str">
        <f>""</f>
        <v/>
      </c>
      <c r="F703" t="str">
        <f>""</f>
        <v/>
      </c>
      <c r="H703" t="str">
        <f t="shared" si="10"/>
        <v>CUST#2000172616</v>
      </c>
    </row>
    <row r="704" spans="5:8" x14ac:dyDescent="0.25">
      <c r="E704" t="str">
        <f>""</f>
        <v/>
      </c>
      <c r="F704" t="str">
        <f>""</f>
        <v/>
      </c>
      <c r="H704" t="str">
        <f t="shared" si="10"/>
        <v>CUST#2000172616</v>
      </c>
    </row>
    <row r="705" spans="5:8" x14ac:dyDescent="0.25">
      <c r="E705" t="str">
        <f>""</f>
        <v/>
      </c>
      <c r="F705" t="str">
        <f>""</f>
        <v/>
      </c>
      <c r="H705" t="str">
        <f t="shared" si="10"/>
        <v>CUST#2000172616</v>
      </c>
    </row>
    <row r="706" spans="5:8" x14ac:dyDescent="0.25">
      <c r="E706" t="str">
        <f>""</f>
        <v/>
      </c>
      <c r="F706" t="str">
        <f>""</f>
        <v/>
      </c>
      <c r="H706" t="str">
        <f t="shared" si="10"/>
        <v>CUST#2000172616</v>
      </c>
    </row>
    <row r="707" spans="5:8" x14ac:dyDescent="0.25">
      <c r="E707" t="str">
        <f>""</f>
        <v/>
      </c>
      <c r="F707" t="str">
        <f>""</f>
        <v/>
      </c>
      <c r="H707" t="str">
        <f t="shared" si="10"/>
        <v>CUST#2000172616</v>
      </c>
    </row>
    <row r="708" spans="5:8" x14ac:dyDescent="0.25">
      <c r="E708" t="str">
        <f>""</f>
        <v/>
      </c>
      <c r="F708" t="str">
        <f>""</f>
        <v/>
      </c>
      <c r="H708" t="str">
        <f t="shared" si="10"/>
        <v>CUST#2000172616</v>
      </c>
    </row>
    <row r="709" spans="5:8" x14ac:dyDescent="0.25">
      <c r="E709" t="str">
        <f>""</f>
        <v/>
      </c>
      <c r="F709" t="str">
        <f>""</f>
        <v/>
      </c>
      <c r="H709" t="str">
        <f t="shared" si="10"/>
        <v>CUST#2000172616</v>
      </c>
    </row>
    <row r="710" spans="5:8" x14ac:dyDescent="0.25">
      <c r="E710" t="str">
        <f>""</f>
        <v/>
      </c>
      <c r="F710" t="str">
        <f>""</f>
        <v/>
      </c>
      <c r="H710" t="str">
        <f t="shared" si="10"/>
        <v>CUST#2000172616</v>
      </c>
    </row>
    <row r="711" spans="5:8" x14ac:dyDescent="0.25">
      <c r="E711" t="str">
        <f>""</f>
        <v/>
      </c>
      <c r="F711" t="str">
        <f>""</f>
        <v/>
      </c>
      <c r="H711" t="str">
        <f t="shared" si="10"/>
        <v>CUST#2000172616</v>
      </c>
    </row>
    <row r="712" spans="5:8" x14ac:dyDescent="0.25">
      <c r="E712" t="str">
        <f>""</f>
        <v/>
      </c>
      <c r="F712" t="str">
        <f>""</f>
        <v/>
      </c>
      <c r="H712" t="str">
        <f t="shared" si="10"/>
        <v>CUST#2000172616</v>
      </c>
    </row>
    <row r="713" spans="5:8" x14ac:dyDescent="0.25">
      <c r="E713" t="str">
        <f>""</f>
        <v/>
      </c>
      <c r="F713" t="str">
        <f>""</f>
        <v/>
      </c>
      <c r="H713" t="str">
        <f t="shared" si="10"/>
        <v>CUST#2000172616</v>
      </c>
    </row>
    <row r="714" spans="5:8" x14ac:dyDescent="0.25">
      <c r="E714" t="str">
        <f>""</f>
        <v/>
      </c>
      <c r="F714" t="str">
        <f>""</f>
        <v/>
      </c>
      <c r="H714" t="str">
        <f t="shared" si="10"/>
        <v>CUST#2000172616</v>
      </c>
    </row>
    <row r="715" spans="5:8" x14ac:dyDescent="0.25">
      <c r="E715" t="str">
        <f>""</f>
        <v/>
      </c>
      <c r="F715" t="str">
        <f>""</f>
        <v/>
      </c>
      <c r="H715" t="str">
        <f t="shared" si="10"/>
        <v>CUST#2000172616</v>
      </c>
    </row>
    <row r="716" spans="5:8" x14ac:dyDescent="0.25">
      <c r="E716" t="str">
        <f>""</f>
        <v/>
      </c>
      <c r="F716" t="str">
        <f>""</f>
        <v/>
      </c>
      <c r="H716" t="str">
        <f t="shared" si="10"/>
        <v>CUST#2000172616</v>
      </c>
    </row>
    <row r="717" spans="5:8" x14ac:dyDescent="0.25">
      <c r="E717" t="str">
        <f>""</f>
        <v/>
      </c>
      <c r="F717" t="str">
        <f>""</f>
        <v/>
      </c>
      <c r="H717" t="str">
        <f t="shared" si="10"/>
        <v>CUST#2000172616</v>
      </c>
    </row>
    <row r="718" spans="5:8" x14ac:dyDescent="0.25">
      <c r="E718" t="str">
        <f>""</f>
        <v/>
      </c>
      <c r="F718" t="str">
        <f>""</f>
        <v/>
      </c>
      <c r="H718" t="str">
        <f t="shared" si="10"/>
        <v>CUST#2000172616</v>
      </c>
    </row>
    <row r="719" spans="5:8" x14ac:dyDescent="0.25">
      <c r="E719" t="str">
        <f>""</f>
        <v/>
      </c>
      <c r="F719" t="str">
        <f>""</f>
        <v/>
      </c>
      <c r="H719" t="str">
        <f t="shared" si="10"/>
        <v>CUST#2000172616</v>
      </c>
    </row>
    <row r="720" spans="5:8" x14ac:dyDescent="0.25">
      <c r="E720" t="str">
        <f>""</f>
        <v/>
      </c>
      <c r="F720" t="str">
        <f>""</f>
        <v/>
      </c>
      <c r="H720" t="str">
        <f t="shared" si="10"/>
        <v>CUST#2000172616</v>
      </c>
    </row>
    <row r="721" spans="1:8" x14ac:dyDescent="0.25">
      <c r="E721" t="str">
        <f>""</f>
        <v/>
      </c>
      <c r="F721" t="str">
        <f>""</f>
        <v/>
      </c>
      <c r="H721" t="str">
        <f t="shared" si="10"/>
        <v>CUST#2000172616</v>
      </c>
    </row>
    <row r="722" spans="1:8" x14ac:dyDescent="0.25">
      <c r="E722" t="str">
        <f>""</f>
        <v/>
      </c>
      <c r="F722" t="str">
        <f>""</f>
        <v/>
      </c>
      <c r="H722" t="str">
        <f t="shared" si="10"/>
        <v>CUST#2000172616</v>
      </c>
    </row>
    <row r="723" spans="1:8" x14ac:dyDescent="0.25">
      <c r="E723" t="str">
        <f>""</f>
        <v/>
      </c>
      <c r="F723" t="str">
        <f>""</f>
        <v/>
      </c>
      <c r="H723" t="str">
        <f t="shared" si="10"/>
        <v>CUST#2000172616</v>
      </c>
    </row>
    <row r="724" spans="1:8" x14ac:dyDescent="0.25">
      <c r="E724" t="str">
        <f>""</f>
        <v/>
      </c>
      <c r="F724" t="str">
        <f>""</f>
        <v/>
      </c>
      <c r="H724" t="str">
        <f t="shared" si="10"/>
        <v>CUST#2000172616</v>
      </c>
    </row>
    <row r="725" spans="1:8" x14ac:dyDescent="0.25">
      <c r="E725" t="str">
        <f>""</f>
        <v/>
      </c>
      <c r="F725" t="str">
        <f>""</f>
        <v/>
      </c>
      <c r="H725" t="str">
        <f t="shared" si="10"/>
        <v>CUST#2000172616</v>
      </c>
    </row>
    <row r="726" spans="1:8" x14ac:dyDescent="0.25">
      <c r="E726" t="str">
        <f>""</f>
        <v/>
      </c>
      <c r="F726" t="str">
        <f>""</f>
        <v/>
      </c>
      <c r="H726" t="str">
        <f t="shared" si="10"/>
        <v>CUST#2000172616</v>
      </c>
    </row>
    <row r="727" spans="1:8" x14ac:dyDescent="0.25">
      <c r="E727" t="str">
        <f>""</f>
        <v/>
      </c>
      <c r="F727" t="str">
        <f>""</f>
        <v/>
      </c>
      <c r="H727" t="str">
        <f t="shared" si="10"/>
        <v>CUST#2000172616</v>
      </c>
    </row>
    <row r="728" spans="1:8" x14ac:dyDescent="0.25">
      <c r="E728" t="str">
        <f>""</f>
        <v/>
      </c>
      <c r="F728" t="str">
        <f>""</f>
        <v/>
      </c>
      <c r="H728" t="str">
        <f t="shared" si="10"/>
        <v>CUST#2000172616</v>
      </c>
    </row>
    <row r="729" spans="1:8" x14ac:dyDescent="0.25">
      <c r="E729" t="str">
        <f>""</f>
        <v/>
      </c>
      <c r="F729" t="str">
        <f>""</f>
        <v/>
      </c>
      <c r="H729" t="str">
        <f t="shared" si="10"/>
        <v>CUST#2000172616</v>
      </c>
    </row>
    <row r="730" spans="1:8" x14ac:dyDescent="0.25">
      <c r="E730" t="str">
        <f>""</f>
        <v/>
      </c>
      <c r="F730" t="str">
        <f>""</f>
        <v/>
      </c>
      <c r="H730" t="str">
        <f t="shared" si="10"/>
        <v>CUST#2000172616</v>
      </c>
    </row>
    <row r="731" spans="1:8" x14ac:dyDescent="0.25">
      <c r="A731" t="s">
        <v>229</v>
      </c>
      <c r="B731">
        <v>2740</v>
      </c>
      <c r="C731" s="5">
        <v>250</v>
      </c>
      <c r="D731" s="1">
        <v>44005</v>
      </c>
      <c r="E731" t="str">
        <f>"BCSOMAY20"</f>
        <v>BCSOMAY20</v>
      </c>
      <c r="F731" t="str">
        <f>"INV BCSOMAY20"</f>
        <v>INV BCSOMAY20</v>
      </c>
      <c r="G731" s="5">
        <v>250</v>
      </c>
      <c r="H731" t="str">
        <f>"INV BCSOMAY20"</f>
        <v>INV BCSOMAY20</v>
      </c>
    </row>
    <row r="732" spans="1:8" x14ac:dyDescent="0.25">
      <c r="A732" t="s">
        <v>230</v>
      </c>
      <c r="B732">
        <v>2703</v>
      </c>
      <c r="C732" s="5">
        <v>1000</v>
      </c>
      <c r="D732" s="1">
        <v>43991</v>
      </c>
      <c r="E732" t="str">
        <f>"202005297029"</f>
        <v>202005297029</v>
      </c>
      <c r="F732" t="str">
        <f>"16553"</f>
        <v>16553</v>
      </c>
      <c r="G732" s="5">
        <v>1000</v>
      </c>
      <c r="H732" t="str">
        <f>"16553"</f>
        <v>16553</v>
      </c>
    </row>
    <row r="733" spans="1:8" x14ac:dyDescent="0.25">
      <c r="A733" t="s">
        <v>231</v>
      </c>
      <c r="B733">
        <v>132093</v>
      </c>
      <c r="C733" s="5">
        <v>66.53</v>
      </c>
      <c r="D733" s="1">
        <v>43990</v>
      </c>
      <c r="E733" t="str">
        <f>"4958020"</f>
        <v>4958020</v>
      </c>
      <c r="F733" t="str">
        <f>"CUST ID:90564/GENERAL SVC"</f>
        <v>CUST ID:90564/GENERAL SVC</v>
      </c>
      <c r="G733" s="5">
        <v>66.53</v>
      </c>
      <c r="H733" t="str">
        <f>"CUST ID:90564/GENERAL SVC"</f>
        <v>CUST ID:90564/GENERAL SVC</v>
      </c>
    </row>
    <row r="734" spans="1:8" x14ac:dyDescent="0.25">
      <c r="A734" t="s">
        <v>232</v>
      </c>
      <c r="B734">
        <v>132243</v>
      </c>
      <c r="C734" s="5">
        <v>300</v>
      </c>
      <c r="D734" s="1">
        <v>44004</v>
      </c>
      <c r="E734" t="str">
        <f>"0051943-IN"</f>
        <v>0051943-IN</v>
      </c>
      <c r="F734" t="str">
        <f>"INV 0051943-IN"</f>
        <v>INV 0051943-IN</v>
      </c>
      <c r="G734" s="5">
        <v>300</v>
      </c>
      <c r="H734" t="str">
        <f>"INV 0051943-IN"</f>
        <v>INV 0051943-IN</v>
      </c>
    </row>
    <row r="735" spans="1:8" x14ac:dyDescent="0.25">
      <c r="A735" t="s">
        <v>233</v>
      </c>
      <c r="B735">
        <v>132094</v>
      </c>
      <c r="C735" s="5">
        <v>250</v>
      </c>
      <c r="D735" s="1">
        <v>43990</v>
      </c>
      <c r="E735" t="str">
        <f>"200416-2"</f>
        <v>200416-2</v>
      </c>
      <c r="F735" t="str">
        <f>"BCEC STAFF TEES"</f>
        <v>BCEC STAFF TEES</v>
      </c>
      <c r="G735" s="5">
        <v>93</v>
      </c>
      <c r="H735" t="str">
        <f>"BCEC STAFF TEES"</f>
        <v>BCEC STAFF TEES</v>
      </c>
    </row>
    <row r="736" spans="1:8" x14ac:dyDescent="0.25">
      <c r="E736" t="str">
        <f>"200421-1"</f>
        <v>200421-1</v>
      </c>
      <c r="F736" t="str">
        <f>"BCEC STAFF TEES"</f>
        <v>BCEC STAFF TEES</v>
      </c>
      <c r="G736" s="5">
        <v>157</v>
      </c>
      <c r="H736" t="str">
        <f>"BCEC STAFF TEES"</f>
        <v>BCEC STAFF TEES</v>
      </c>
    </row>
    <row r="737" spans="1:8" x14ac:dyDescent="0.25">
      <c r="A737" t="s">
        <v>234</v>
      </c>
      <c r="B737">
        <v>132095</v>
      </c>
      <c r="C737" s="5">
        <v>60</v>
      </c>
      <c r="D737" s="1">
        <v>43990</v>
      </c>
      <c r="E737" t="str">
        <f>"202006027102"</f>
        <v>202006027102</v>
      </c>
      <c r="F737" t="str">
        <f>"ROSA WARREN"</f>
        <v>ROSA WARREN</v>
      </c>
      <c r="G737" s="5">
        <v>60</v>
      </c>
      <c r="H737" t="str">
        <f>""</f>
        <v/>
      </c>
    </row>
    <row r="738" spans="1:8" x14ac:dyDescent="0.25">
      <c r="A738" t="s">
        <v>235</v>
      </c>
      <c r="B738">
        <v>132096</v>
      </c>
      <c r="C738" s="5">
        <v>61</v>
      </c>
      <c r="D738" s="1">
        <v>43990</v>
      </c>
      <c r="E738" t="str">
        <f>"202006027108"</f>
        <v>202006027108</v>
      </c>
      <c r="F738" t="str">
        <f>"DEVELOPMENT SVCS RECORDING FEE"</f>
        <v>DEVELOPMENT SVCS RECORDING FEE</v>
      </c>
      <c r="G738" s="5">
        <v>61</v>
      </c>
      <c r="H738" t="str">
        <f>"DEVELOPMENT SVCS RECORDING FEE"</f>
        <v>DEVELOPMENT SVCS RECORDING FEE</v>
      </c>
    </row>
    <row r="739" spans="1:8" x14ac:dyDescent="0.25">
      <c r="A739" t="s">
        <v>235</v>
      </c>
      <c r="B739">
        <v>132244</v>
      </c>
      <c r="C739" s="5">
        <v>294</v>
      </c>
      <c r="D739" s="1">
        <v>44004</v>
      </c>
      <c r="E739" t="str">
        <f>"202006167326"</f>
        <v>202006167326</v>
      </c>
      <c r="F739" t="str">
        <f>"DEVELOPMENT SVCS RECORDING FEE"</f>
        <v>DEVELOPMENT SVCS RECORDING FEE</v>
      </c>
      <c r="G739" s="5">
        <v>294</v>
      </c>
      <c r="H739" t="str">
        <f>"DEVELOPMENT SVCS RECORDING FEE"</f>
        <v>DEVELOPMENT SVCS RECORDING FEE</v>
      </c>
    </row>
    <row r="740" spans="1:8" x14ac:dyDescent="0.25">
      <c r="A740" t="s">
        <v>236</v>
      </c>
      <c r="B740">
        <v>2769</v>
      </c>
      <c r="C740" s="5">
        <v>93.46</v>
      </c>
      <c r="D740" s="1">
        <v>44005</v>
      </c>
      <c r="E740" t="str">
        <f>"202006167345"</f>
        <v>202006167345</v>
      </c>
      <c r="F740" t="str">
        <f>"INDIGENT HEALTH"</f>
        <v>INDIGENT HEALTH</v>
      </c>
      <c r="G740" s="5">
        <v>93.46</v>
      </c>
      <c r="H740" t="str">
        <f>"INDIGENT HEALTH"</f>
        <v>INDIGENT HEALTH</v>
      </c>
    </row>
    <row r="741" spans="1:8" x14ac:dyDescent="0.25">
      <c r="A741" t="s">
        <v>237</v>
      </c>
      <c r="B741">
        <v>132245</v>
      </c>
      <c r="C741" s="5">
        <v>149.12</v>
      </c>
      <c r="D741" s="1">
        <v>44004</v>
      </c>
      <c r="E741" t="str">
        <f>"202006167348"</f>
        <v>202006167348</v>
      </c>
      <c r="F741" t="str">
        <f>"INDIGENT HEALTH"</f>
        <v>INDIGENT HEALTH</v>
      </c>
      <c r="G741" s="5">
        <v>149.12</v>
      </c>
      <c r="H741" t="str">
        <f>"INDIGENT HEALTH"</f>
        <v>INDIGENT HEALTH</v>
      </c>
    </row>
    <row r="742" spans="1:8" x14ac:dyDescent="0.25">
      <c r="E742" t="str">
        <f>""</f>
        <v/>
      </c>
      <c r="F742" t="str">
        <f>""</f>
        <v/>
      </c>
      <c r="H742" t="str">
        <f>"INDIGENT HEALTH"</f>
        <v>INDIGENT HEALTH</v>
      </c>
    </row>
    <row r="743" spans="1:8" x14ac:dyDescent="0.25">
      <c r="A743" t="s">
        <v>238</v>
      </c>
      <c r="B743">
        <v>2705</v>
      </c>
      <c r="C743" s="5">
        <v>1955.5</v>
      </c>
      <c r="D743" s="1">
        <v>43991</v>
      </c>
      <c r="E743" t="str">
        <f>"6916"</f>
        <v>6916</v>
      </c>
      <c r="F743" t="str">
        <f>"Renewal"</f>
        <v>Renewal</v>
      </c>
      <c r="G743" s="5">
        <v>1955.5</v>
      </c>
      <c r="H743" t="str">
        <f>"WAVE wall"</f>
        <v>WAVE wall</v>
      </c>
    </row>
    <row r="744" spans="1:8" x14ac:dyDescent="0.25">
      <c r="E744" t="str">
        <f>""</f>
        <v/>
      </c>
      <c r="F744" t="str">
        <f>""</f>
        <v/>
      </c>
      <c r="H744" t="str">
        <f>"Replacement Battery"</f>
        <v>Replacement Battery</v>
      </c>
    </row>
    <row r="745" spans="1:8" x14ac:dyDescent="0.25">
      <c r="E745" t="str">
        <f>""</f>
        <v/>
      </c>
      <c r="F745" t="str">
        <f>""</f>
        <v/>
      </c>
      <c r="H745" t="str">
        <f>"EchoStream Repeater"</f>
        <v>EchoStream Repeater</v>
      </c>
    </row>
    <row r="746" spans="1:8" x14ac:dyDescent="0.25">
      <c r="E746" t="str">
        <f>""</f>
        <v/>
      </c>
      <c r="F746" t="str">
        <f>""</f>
        <v/>
      </c>
      <c r="H746" t="str">
        <f>"2 Yr. Warranty"</f>
        <v>2 Yr. Warranty</v>
      </c>
    </row>
    <row r="747" spans="1:8" x14ac:dyDescent="0.25">
      <c r="E747" t="str">
        <f>""</f>
        <v/>
      </c>
      <c r="F747" t="str">
        <f>""</f>
        <v/>
      </c>
      <c r="H747" t="str">
        <f>"Complete Syatem"</f>
        <v>Complete Syatem</v>
      </c>
    </row>
    <row r="748" spans="1:8" x14ac:dyDescent="0.25">
      <c r="A748" t="s">
        <v>239</v>
      </c>
      <c r="B748">
        <v>132246</v>
      </c>
      <c r="C748" s="5">
        <v>355.3</v>
      </c>
      <c r="D748" s="1">
        <v>44004</v>
      </c>
      <c r="E748" t="str">
        <f>"418500"</f>
        <v>418500</v>
      </c>
      <c r="F748" t="str">
        <f>"INV 418500"</f>
        <v>INV 418500</v>
      </c>
      <c r="G748" s="5">
        <v>355.3</v>
      </c>
      <c r="H748" t="str">
        <f>"INV 418500"</f>
        <v>INV 418500</v>
      </c>
    </row>
    <row r="749" spans="1:8" x14ac:dyDescent="0.25">
      <c r="A749" t="s">
        <v>240</v>
      </c>
      <c r="B749">
        <v>132247</v>
      </c>
      <c r="C749" s="5">
        <v>33</v>
      </c>
      <c r="D749" s="1">
        <v>44004</v>
      </c>
      <c r="E749" t="s">
        <v>241</v>
      </c>
      <c r="F749" t="str">
        <f>"RESTITUTION - D. MCCOMB"</f>
        <v>RESTITUTION - D. MCCOMB</v>
      </c>
      <c r="G749" s="5">
        <v>33</v>
      </c>
      <c r="H749" t="str">
        <f>"RESTITUTION - D. MCCOMB"</f>
        <v>RESTITUTION - D. MCCOMB</v>
      </c>
    </row>
    <row r="750" spans="1:8" x14ac:dyDescent="0.25">
      <c r="A750" t="s">
        <v>242</v>
      </c>
      <c r="B750">
        <v>132097</v>
      </c>
      <c r="C750" s="5">
        <v>309.05</v>
      </c>
      <c r="D750" s="1">
        <v>43990</v>
      </c>
      <c r="E750" t="str">
        <f>"202005297028"</f>
        <v>202005297028</v>
      </c>
      <c r="F750" t="str">
        <f>"ACCT#20147/BASTROP COUNTY ANIM"</f>
        <v>ACCT#20147/BASTROP COUNTY ANIM</v>
      </c>
      <c r="G750" s="5">
        <v>309.05</v>
      </c>
      <c r="H750" t="str">
        <f>"ACCT#20147/BASTROP COUNTY ANIM"</f>
        <v>ACCT#20147/BASTROP COUNTY ANIM</v>
      </c>
    </row>
    <row r="751" spans="1:8" x14ac:dyDescent="0.25">
      <c r="A751" t="s">
        <v>243</v>
      </c>
      <c r="B751">
        <v>132098</v>
      </c>
      <c r="C751" s="5">
        <v>10684.11</v>
      </c>
      <c r="D751" s="1">
        <v>43990</v>
      </c>
      <c r="E751" t="str">
        <f>"GB00364437 4589"</f>
        <v>GB00364437 4589</v>
      </c>
      <c r="F751" t="str">
        <f>"Synology"</f>
        <v>Synology</v>
      </c>
      <c r="G751" s="5">
        <v>9015.18</v>
      </c>
      <c r="H751" t="str">
        <f>"Synology RackStation"</f>
        <v>Synology RackStation</v>
      </c>
    </row>
    <row r="752" spans="1:8" x14ac:dyDescent="0.25">
      <c r="E752" t="str">
        <f>""</f>
        <v/>
      </c>
      <c r="F752" t="str">
        <f>""</f>
        <v/>
      </c>
      <c r="H752" t="str">
        <f>"Synology RKS1317"</f>
        <v>Synology RKS1317</v>
      </c>
    </row>
    <row r="753" spans="1:8" x14ac:dyDescent="0.25">
      <c r="E753" t="str">
        <f>""</f>
        <v/>
      </c>
      <c r="F753" t="str">
        <f>""</f>
        <v/>
      </c>
      <c r="H753" t="str">
        <f>"WD Red Pro"</f>
        <v>WD Red Pro</v>
      </c>
    </row>
    <row r="754" spans="1:8" x14ac:dyDescent="0.25">
      <c r="E754" t="str">
        <f>""</f>
        <v/>
      </c>
      <c r="F754" t="str">
        <f>""</f>
        <v/>
      </c>
      <c r="H754" t="str">
        <f>"Intergration"</f>
        <v>Intergration</v>
      </c>
    </row>
    <row r="755" spans="1:8" x14ac:dyDescent="0.25">
      <c r="E755" t="str">
        <f>""</f>
        <v/>
      </c>
      <c r="F755" t="str">
        <f>""</f>
        <v/>
      </c>
      <c r="H755" t="str">
        <f>"Intergration"</f>
        <v>Intergration</v>
      </c>
    </row>
    <row r="756" spans="1:8" x14ac:dyDescent="0.25">
      <c r="E756" t="str">
        <f>"GB00369582"</f>
        <v>GB00369582</v>
      </c>
      <c r="F756" t="str">
        <f>"ESET Training"</f>
        <v>ESET Training</v>
      </c>
      <c r="G756" s="5">
        <v>1004</v>
      </c>
      <c r="H756" t="str">
        <f>"ESET Training"</f>
        <v>ESET Training</v>
      </c>
    </row>
    <row r="757" spans="1:8" x14ac:dyDescent="0.25">
      <c r="E757" t="str">
        <f>"GB00369660"</f>
        <v>GB00369660</v>
      </c>
      <c r="F757" t="str">
        <f>"Snagit Software"</f>
        <v>Snagit Software</v>
      </c>
      <c r="G757" s="5">
        <v>57.76</v>
      </c>
      <c r="H757" t="str">
        <f>"Snagit Software"</f>
        <v>Snagit Software</v>
      </c>
    </row>
    <row r="758" spans="1:8" x14ac:dyDescent="0.25">
      <c r="E758" t="str">
        <f>"GB00369664"</f>
        <v>GB00369664</v>
      </c>
      <c r="F758" t="str">
        <f>"AutoCAD Renewal"</f>
        <v>AutoCAD Renewal</v>
      </c>
      <c r="G758" s="5">
        <v>396.17</v>
      </c>
      <c r="H758" t="str">
        <f>"Renewal FY 20/21"</f>
        <v>Renewal FY 20/21</v>
      </c>
    </row>
    <row r="759" spans="1:8" x14ac:dyDescent="0.25">
      <c r="E759" t="str">
        <f>""</f>
        <v/>
      </c>
      <c r="F759" t="str">
        <f>""</f>
        <v/>
      </c>
      <c r="H759" t="str">
        <f>"Renewal FY 19/20"</f>
        <v>Renewal FY 19/20</v>
      </c>
    </row>
    <row r="760" spans="1:8" x14ac:dyDescent="0.25">
      <c r="E760" t="str">
        <f>"GB00369775"</f>
        <v>GB00369775</v>
      </c>
      <c r="F760" t="str">
        <f>"Phone JP 4"</f>
        <v>Phone JP 4</v>
      </c>
      <c r="G760" s="5">
        <v>211</v>
      </c>
      <c r="H760" t="str">
        <f>"VoIP 8811"</f>
        <v>VoIP 8811</v>
      </c>
    </row>
    <row r="761" spans="1:8" x14ac:dyDescent="0.25">
      <c r="A761" t="s">
        <v>243</v>
      </c>
      <c r="B761">
        <v>132248</v>
      </c>
      <c r="C761" s="5">
        <v>422.97</v>
      </c>
      <c r="D761" s="1">
        <v>44004</v>
      </c>
      <c r="E761" t="str">
        <f>"GB00371373"</f>
        <v>GB00371373</v>
      </c>
      <c r="F761" t="str">
        <f>"Printer/ Scanner PCT 1"</f>
        <v>Printer/ Scanner PCT 1</v>
      </c>
      <c r="G761" s="5">
        <v>349.97</v>
      </c>
      <c r="H761" t="str">
        <f>"LaserJet"</f>
        <v>LaserJet</v>
      </c>
    </row>
    <row r="762" spans="1:8" x14ac:dyDescent="0.25">
      <c r="E762" t="str">
        <f>"GB00371498"</f>
        <v>GB00371498</v>
      </c>
      <c r="F762" t="str">
        <f>"District Clerk"</f>
        <v>District Clerk</v>
      </c>
      <c r="G762" s="5">
        <v>73</v>
      </c>
      <c r="H762" t="str">
        <f>"PA03540-0001"</f>
        <v>PA03540-0001</v>
      </c>
    </row>
    <row r="763" spans="1:8" x14ac:dyDescent="0.25">
      <c r="E763" t="str">
        <f>""</f>
        <v/>
      </c>
      <c r="F763" t="str">
        <f>""</f>
        <v/>
      </c>
      <c r="H763" t="str">
        <f>"PA03540-0002"</f>
        <v>PA03540-0002</v>
      </c>
    </row>
    <row r="764" spans="1:8" x14ac:dyDescent="0.25">
      <c r="A764" t="s">
        <v>244</v>
      </c>
      <c r="B764">
        <v>132099</v>
      </c>
      <c r="C764" s="5">
        <v>127.96</v>
      </c>
      <c r="D764" s="1">
        <v>43990</v>
      </c>
      <c r="E764" t="str">
        <f>"8129861965"</f>
        <v>8129861965</v>
      </c>
      <c r="F764" t="str">
        <f>"CUST#16155373"</f>
        <v>CUST#16155373</v>
      </c>
      <c r="G764" s="5">
        <v>127.96</v>
      </c>
      <c r="H764" t="str">
        <f t="shared" ref="H764:H769" si="11">"CUST#16155373"</f>
        <v>CUST#16155373</v>
      </c>
    </row>
    <row r="765" spans="1:8" x14ac:dyDescent="0.25">
      <c r="E765" t="str">
        <f>""</f>
        <v/>
      </c>
      <c r="F765" t="str">
        <f>""</f>
        <v/>
      </c>
      <c r="H765" t="str">
        <f t="shared" si="11"/>
        <v>CUST#16155373</v>
      </c>
    </row>
    <row r="766" spans="1:8" x14ac:dyDescent="0.25">
      <c r="E766" t="str">
        <f>""</f>
        <v/>
      </c>
      <c r="F766" t="str">
        <f>""</f>
        <v/>
      </c>
      <c r="H766" t="str">
        <f t="shared" si="11"/>
        <v>CUST#16155373</v>
      </c>
    </row>
    <row r="767" spans="1:8" x14ac:dyDescent="0.25">
      <c r="E767" t="str">
        <f>""</f>
        <v/>
      </c>
      <c r="F767" t="str">
        <f>""</f>
        <v/>
      </c>
      <c r="H767" t="str">
        <f t="shared" si="11"/>
        <v>CUST#16155373</v>
      </c>
    </row>
    <row r="768" spans="1:8" x14ac:dyDescent="0.25">
      <c r="E768" t="str">
        <f>""</f>
        <v/>
      </c>
      <c r="F768" t="str">
        <f>""</f>
        <v/>
      </c>
      <c r="H768" t="str">
        <f t="shared" si="11"/>
        <v>CUST#16155373</v>
      </c>
    </row>
    <row r="769" spans="1:8" x14ac:dyDescent="0.25">
      <c r="E769" t="str">
        <f>""</f>
        <v/>
      </c>
      <c r="F769" t="str">
        <f>""</f>
        <v/>
      </c>
      <c r="H769" t="str">
        <f t="shared" si="11"/>
        <v>CUST#16155373</v>
      </c>
    </row>
    <row r="770" spans="1:8" x14ac:dyDescent="0.25">
      <c r="A770" t="s">
        <v>244</v>
      </c>
      <c r="B770">
        <v>132249</v>
      </c>
      <c r="C770" s="5">
        <v>357.52</v>
      </c>
      <c r="D770" s="1">
        <v>44004</v>
      </c>
      <c r="E770" t="str">
        <f>"8129861519"</f>
        <v>8129861519</v>
      </c>
      <c r="F770" t="str">
        <f>"INV 8129861519"</f>
        <v>INV 8129861519</v>
      </c>
      <c r="G770" s="5">
        <v>222.14</v>
      </c>
      <c r="H770" t="str">
        <f>"INV 8129861519 (LE)"</f>
        <v>INV 8129861519 (LE)</v>
      </c>
    </row>
    <row r="771" spans="1:8" x14ac:dyDescent="0.25">
      <c r="E771" t="str">
        <f>""</f>
        <v/>
      </c>
      <c r="F771" t="str">
        <f>""</f>
        <v/>
      </c>
      <c r="H771" t="str">
        <f>"INV 8129861519 (JAIL"</f>
        <v>INV 8129861519 (JAIL</v>
      </c>
    </row>
    <row r="772" spans="1:8" x14ac:dyDescent="0.25">
      <c r="E772" t="str">
        <f>"8129861849"</f>
        <v>8129861849</v>
      </c>
      <c r="F772" t="str">
        <f>"CUST#16151857/PURCHASING"</f>
        <v>CUST#16151857/PURCHASING</v>
      </c>
      <c r="G772" s="5">
        <v>52.22</v>
      </c>
      <c r="H772" t="str">
        <f>"CUST#16151857/PURCHASING"</f>
        <v>CUST#16151857/PURCHASING</v>
      </c>
    </row>
    <row r="773" spans="1:8" x14ac:dyDescent="0.25">
      <c r="E773" t="str">
        <f>""</f>
        <v/>
      </c>
      <c r="F773" t="str">
        <f>""</f>
        <v/>
      </c>
      <c r="H773" t="str">
        <f>"CUST#16151857/PURCHASING"</f>
        <v>CUST#16151857/PURCHASING</v>
      </c>
    </row>
    <row r="774" spans="1:8" x14ac:dyDescent="0.25">
      <c r="E774" t="str">
        <f>"8129861997"</f>
        <v>8129861997</v>
      </c>
      <c r="F774" t="str">
        <f>"CUST#16156071/TAX OFFICE"</f>
        <v>CUST#16156071/TAX OFFICE</v>
      </c>
      <c r="G774" s="5">
        <v>83.16</v>
      </c>
      <c r="H774" t="str">
        <f>"CUST#16156071/TAX OFFICE"</f>
        <v>CUST#16156071/TAX OFFICE</v>
      </c>
    </row>
    <row r="775" spans="1:8" x14ac:dyDescent="0.25">
      <c r="A775" t="s">
        <v>245</v>
      </c>
      <c r="B775">
        <v>132250</v>
      </c>
      <c r="C775" s="5">
        <v>160.91</v>
      </c>
      <c r="D775" s="1">
        <v>44004</v>
      </c>
      <c r="E775" t="str">
        <f>"202006167350"</f>
        <v>202006167350</v>
      </c>
      <c r="F775" t="str">
        <f>"INDIGENT HEALTH"</f>
        <v>INDIGENT HEALTH</v>
      </c>
      <c r="G775" s="5">
        <v>160.91</v>
      </c>
      <c r="H775" t="str">
        <f>"INDIGENT HEALTH"</f>
        <v>INDIGENT HEALTH</v>
      </c>
    </row>
    <row r="776" spans="1:8" x14ac:dyDescent="0.25">
      <c r="A776" t="s">
        <v>246</v>
      </c>
      <c r="B776">
        <v>132251</v>
      </c>
      <c r="C776" s="5">
        <v>63.45</v>
      </c>
      <c r="D776" s="1">
        <v>44004</v>
      </c>
      <c r="E776" t="str">
        <f>"202006097233"</f>
        <v>202006097233</v>
      </c>
      <c r="F776" t="str">
        <f>"STATEMENT#33507/PCT#2"</f>
        <v>STATEMENT#33507/PCT#2</v>
      </c>
      <c r="G776" s="5">
        <v>63.45</v>
      </c>
      <c r="H776" t="str">
        <f>"STATEMENT#33507/PCT#2"</f>
        <v>STATEMENT#33507/PCT#2</v>
      </c>
    </row>
    <row r="777" spans="1:8" x14ac:dyDescent="0.25">
      <c r="A777" t="s">
        <v>247</v>
      </c>
      <c r="B777">
        <v>132252</v>
      </c>
      <c r="C777" s="5">
        <v>355.3</v>
      </c>
      <c r="D777" s="1">
        <v>44004</v>
      </c>
      <c r="E777" t="str">
        <f>"202006097231"</f>
        <v>202006097231</v>
      </c>
      <c r="F777" t="str">
        <f>"ACCT#260/PCT#2"</f>
        <v>ACCT#260/PCT#2</v>
      </c>
      <c r="G777" s="5">
        <v>355.3</v>
      </c>
      <c r="H777" t="str">
        <f>"ACCT#260/PCT#2"</f>
        <v>ACCT#260/PCT#2</v>
      </c>
    </row>
    <row r="778" spans="1:8" x14ac:dyDescent="0.25">
      <c r="A778" t="s">
        <v>248</v>
      </c>
      <c r="B778">
        <v>132253</v>
      </c>
      <c r="C778" s="5">
        <v>7136.24</v>
      </c>
      <c r="D778" s="1">
        <v>44004</v>
      </c>
      <c r="E778" t="str">
        <f>"000642684 642810 6"</f>
        <v>000642684 642810 6</v>
      </c>
      <c r="F778" t="str">
        <f>"County Clerk"</f>
        <v>County Clerk</v>
      </c>
      <c r="G778" s="5">
        <v>6275.84</v>
      </c>
      <c r="H778" t="str">
        <f>"EPS-C31CB26902"</f>
        <v>EPS-C31CB26902</v>
      </c>
    </row>
    <row r="779" spans="1:8" x14ac:dyDescent="0.25">
      <c r="E779" t="str">
        <f>""</f>
        <v/>
      </c>
      <c r="F779" t="str">
        <f>""</f>
        <v/>
      </c>
      <c r="H779" t="str">
        <f>"FUJ-PA03670-B085"</f>
        <v>FUJ-PA03670-B085</v>
      </c>
    </row>
    <row r="780" spans="1:8" x14ac:dyDescent="0.25">
      <c r="E780" t="str">
        <f>""</f>
        <v/>
      </c>
      <c r="F780" t="str">
        <f>""</f>
        <v/>
      </c>
      <c r="H780" t="str">
        <f>"STA-USB2HAB6"</f>
        <v>STA-USB2HAB6</v>
      </c>
    </row>
    <row r="781" spans="1:8" x14ac:dyDescent="0.25">
      <c r="E781" t="str">
        <f>"IN-000642837"</f>
        <v>IN-000642837</v>
      </c>
      <c r="F781" t="str">
        <f>"Scanner JP3"</f>
        <v>Scanner JP3</v>
      </c>
      <c r="G781" s="5">
        <v>860.4</v>
      </c>
      <c r="H781" t="str">
        <f>"FUJ-PA03670-B085"</f>
        <v>FUJ-PA03670-B085</v>
      </c>
    </row>
    <row r="782" spans="1:8" x14ac:dyDescent="0.25">
      <c r="A782" t="s">
        <v>249</v>
      </c>
      <c r="B782">
        <v>0</v>
      </c>
      <c r="C782" s="5">
        <v>0</v>
      </c>
      <c r="D782" s="1">
        <v>43990</v>
      </c>
      <c r="E782" t="str">
        <f>"4650045146R"</f>
        <v>4650045146R</v>
      </c>
      <c r="F782" t="str">
        <f>"CUST#52157/ENVIRONMENTAL SVC"</f>
        <v>CUST#52157/ENVIRONMENTAL SVC</v>
      </c>
      <c r="G782" s="5">
        <v>-4125.5</v>
      </c>
      <c r="H782" t="str">
        <f>"CUST#52157/ENVIRONMENTAL SVC"</f>
        <v>CUST#52157/ENVIRONMENTAL SVC</v>
      </c>
    </row>
    <row r="783" spans="1:8" x14ac:dyDescent="0.25">
      <c r="E783" t="str">
        <f>"4650045461R"</f>
        <v>4650045461R</v>
      </c>
      <c r="F783" t="str">
        <f>"CUST#52157/ENVIRONMENTAL SVC"</f>
        <v>CUST#52157/ENVIRONMENTAL SVC</v>
      </c>
      <c r="G783" s="5">
        <v>-1868</v>
      </c>
      <c r="H783" t="str">
        <f>"CUST#52157/ENVIRONMENTAL SVC"</f>
        <v>CUST#52157/ENVIRONMENTAL SVC</v>
      </c>
    </row>
    <row r="784" spans="1:8" x14ac:dyDescent="0.25">
      <c r="E784" t="str">
        <f>"4650045146"</f>
        <v>4650045146</v>
      </c>
      <c r="F784" t="str">
        <f>"CUST#52157/ENVIRONMENTAL SVC"</f>
        <v>CUST#52157/ENVIRONMENTAL SVC</v>
      </c>
      <c r="G784" s="5">
        <v>4125.5</v>
      </c>
      <c r="H784" t="str">
        <f>"CUST#52157/ENVIRONMENTAL SVC"</f>
        <v>CUST#52157/ENVIRONMENTAL SVC</v>
      </c>
    </row>
    <row r="785" spans="1:8" x14ac:dyDescent="0.25">
      <c r="E785" t="str">
        <f>"4650045461"</f>
        <v>4650045461</v>
      </c>
      <c r="F785" t="str">
        <f>"CUST#52157/ENVIRONMENTAL SVC"</f>
        <v>CUST#52157/ENVIRONMENTAL SVC</v>
      </c>
      <c r="G785" s="5">
        <v>1868</v>
      </c>
      <c r="H785" t="str">
        <f>"CUST#52157/ENVIRONMENTAL SVC"</f>
        <v>CUST#52157/ENVIRONMENTAL SVC</v>
      </c>
    </row>
    <row r="786" spans="1:8" x14ac:dyDescent="0.25">
      <c r="A786" t="s">
        <v>249</v>
      </c>
      <c r="B786">
        <v>132100</v>
      </c>
      <c r="C786" s="5">
        <v>5993.5</v>
      </c>
      <c r="D786" s="1">
        <v>43990</v>
      </c>
      <c r="E786" t="str">
        <f>"18419"</f>
        <v>18419</v>
      </c>
      <c r="F786" t="str">
        <f>"SOUTHERN TIRE MART LLC"</f>
        <v>SOUTHERN TIRE MART LLC</v>
      </c>
      <c r="G786" s="5">
        <v>4125.5</v>
      </c>
      <c r="H786" t="str">
        <f>"Foam Fill Tires"</f>
        <v>Foam Fill Tires</v>
      </c>
    </row>
    <row r="787" spans="1:8" x14ac:dyDescent="0.25">
      <c r="E787" t="str">
        <f>"202006027107"</f>
        <v>202006027107</v>
      </c>
      <c r="F787" t="str">
        <f>"SOUTHERN TIRE MART LLC"</f>
        <v>SOUTHERN TIRE MART LLC</v>
      </c>
      <c r="G787" s="5">
        <v>1868</v>
      </c>
      <c r="H787" t="str">
        <f>""</f>
        <v/>
      </c>
    </row>
    <row r="788" spans="1:8" x14ac:dyDescent="0.25">
      <c r="E788" t="str">
        <f>""</f>
        <v/>
      </c>
      <c r="F788" t="str">
        <f>""</f>
        <v/>
      </c>
      <c r="H788" t="str">
        <f>"Tire Mounting"</f>
        <v>Tire Mounting</v>
      </c>
    </row>
    <row r="789" spans="1:8" x14ac:dyDescent="0.25">
      <c r="A789" t="s">
        <v>249</v>
      </c>
      <c r="B789">
        <v>132254</v>
      </c>
      <c r="C789" s="5">
        <v>16694.810000000001</v>
      </c>
      <c r="D789" s="1">
        <v>44004</v>
      </c>
      <c r="E789" t="str">
        <f>"202006167334"</f>
        <v>202006167334</v>
      </c>
      <c r="F789" t="str">
        <f>"SOUTHERN TIRE MART LLC"</f>
        <v>SOUTHERN TIRE MART LLC</v>
      </c>
      <c r="G789" s="5">
        <v>7268.3</v>
      </c>
      <c r="H789" t="str">
        <f>"Tires and Labor"</f>
        <v>Tires and Labor</v>
      </c>
    </row>
    <row r="790" spans="1:8" x14ac:dyDescent="0.25">
      <c r="E790" t="str">
        <f>""</f>
        <v/>
      </c>
      <c r="F790" t="str">
        <f>""</f>
        <v/>
      </c>
      <c r="H790" t="str">
        <f>"12R22.5"</f>
        <v>12R22.5</v>
      </c>
    </row>
    <row r="791" spans="1:8" x14ac:dyDescent="0.25">
      <c r="E791" t="str">
        <f>""</f>
        <v/>
      </c>
      <c r="F791" t="str">
        <f>""</f>
        <v/>
      </c>
      <c r="H791" t="str">
        <f>"Service Call"</f>
        <v>Service Call</v>
      </c>
    </row>
    <row r="792" spans="1:8" x14ac:dyDescent="0.25">
      <c r="E792" t="str">
        <f>""</f>
        <v/>
      </c>
      <c r="F792" t="str">
        <f>""</f>
        <v/>
      </c>
      <c r="H792" t="str">
        <f>"Mileage"</f>
        <v>Mileage</v>
      </c>
    </row>
    <row r="793" spans="1:8" x14ac:dyDescent="0.25">
      <c r="E793" t="str">
        <f>""</f>
        <v/>
      </c>
      <c r="F793" t="str">
        <f>""</f>
        <v/>
      </c>
      <c r="H793" t="str">
        <f>"Fuel Surcharge"</f>
        <v>Fuel Surcharge</v>
      </c>
    </row>
    <row r="794" spans="1:8" x14ac:dyDescent="0.25">
      <c r="E794" t="str">
        <f>""</f>
        <v/>
      </c>
      <c r="F794" t="str">
        <f>""</f>
        <v/>
      </c>
      <c r="H794" t="str">
        <f>"Tire Change"</f>
        <v>Tire Change</v>
      </c>
    </row>
    <row r="795" spans="1:8" x14ac:dyDescent="0.25">
      <c r="E795" t="str">
        <f>""</f>
        <v/>
      </c>
      <c r="F795" t="str">
        <f>""</f>
        <v/>
      </c>
      <c r="H795" t="str">
        <f>"Valve Stem"</f>
        <v>Valve Stem</v>
      </c>
    </row>
    <row r="796" spans="1:8" x14ac:dyDescent="0.25">
      <c r="E796" t="str">
        <f>""</f>
        <v/>
      </c>
      <c r="F796" t="str">
        <f>""</f>
        <v/>
      </c>
      <c r="H796" t="str">
        <f>"Valve Cap"</f>
        <v>Valve Cap</v>
      </c>
    </row>
    <row r="797" spans="1:8" x14ac:dyDescent="0.25">
      <c r="E797" t="str">
        <f>""</f>
        <v/>
      </c>
      <c r="F797" t="str">
        <f>""</f>
        <v/>
      </c>
      <c r="H797" t="str">
        <f>"FETGOV Discount"</f>
        <v>FETGOV Discount</v>
      </c>
    </row>
    <row r="798" spans="1:8" x14ac:dyDescent="0.25">
      <c r="E798" t="str">
        <f>""</f>
        <v/>
      </c>
      <c r="F798" t="str">
        <f>""</f>
        <v/>
      </c>
      <c r="H798" t="str">
        <f>"FETGOV Discount"</f>
        <v>FETGOV Discount</v>
      </c>
    </row>
    <row r="799" spans="1:8" x14ac:dyDescent="0.25">
      <c r="E799" t="str">
        <f>"4240013204"</f>
        <v>4240013204</v>
      </c>
      <c r="F799" t="str">
        <f>"INV 4240013204 /UNIT 6763"</f>
        <v>INV 4240013204 /UNIT 6763</v>
      </c>
      <c r="G799" s="5">
        <v>497.6</v>
      </c>
      <c r="H799" t="str">
        <f>"INV 4240013204 /UNIT 6763"</f>
        <v>INV 4240013204 /UNIT 6763</v>
      </c>
    </row>
    <row r="800" spans="1:8" x14ac:dyDescent="0.25">
      <c r="E800" t="str">
        <f>"4240013225"</f>
        <v>4240013225</v>
      </c>
      <c r="F800" t="str">
        <f>"INV 4240013225 /UNIT 6556"</f>
        <v>INV 4240013225 /UNIT 6556</v>
      </c>
      <c r="G800" s="5">
        <v>392.52</v>
      </c>
      <c r="H800" t="str">
        <f>"INV 4240013225 /UNIT 6556"</f>
        <v>INV 4240013225 /UNIT 6556</v>
      </c>
    </row>
    <row r="801" spans="1:8" x14ac:dyDescent="0.25">
      <c r="E801" t="str">
        <f>"4240013544"</f>
        <v>4240013544</v>
      </c>
      <c r="F801" t="str">
        <f>"INV 4240013544 /UNIT 6539"</f>
        <v>INV 4240013544 /UNIT 6539</v>
      </c>
      <c r="G801" s="5">
        <v>124.4</v>
      </c>
      <c r="H801" t="str">
        <f>"INV 4240013544 /UNIT 6539"</f>
        <v>INV 4240013544 /UNIT 6539</v>
      </c>
    </row>
    <row r="802" spans="1:8" x14ac:dyDescent="0.25">
      <c r="E802" t="str">
        <f>"4240013589"</f>
        <v>4240013589</v>
      </c>
      <c r="F802" t="str">
        <f>"INV 4240013589 / POOL CAR"</f>
        <v>INV 4240013589 / POOL CAR</v>
      </c>
      <c r="G802" s="5">
        <v>130.84</v>
      </c>
      <c r="H802" t="str">
        <f>"INV 4240013589 / POOL CAR"</f>
        <v>INV 4240013589 / POOL CAR</v>
      </c>
    </row>
    <row r="803" spans="1:8" x14ac:dyDescent="0.25">
      <c r="E803" t="str">
        <f>"4650046906"</f>
        <v>4650046906</v>
      </c>
      <c r="F803" t="str">
        <f>"CUST#52157/PCT#1"</f>
        <v>CUST#52157/PCT#1</v>
      </c>
      <c r="G803" s="5">
        <v>8013.2</v>
      </c>
      <c r="H803" t="str">
        <f>"CUST#52157/PCT#1"</f>
        <v>CUST#52157/PCT#1</v>
      </c>
    </row>
    <row r="804" spans="1:8" x14ac:dyDescent="0.25">
      <c r="E804" t="str">
        <f>"4660015678"</f>
        <v>4660015678</v>
      </c>
      <c r="F804" t="str">
        <f>"CUST#52158/PCT#2"</f>
        <v>CUST#52158/PCT#2</v>
      </c>
      <c r="G804" s="5">
        <v>267.95</v>
      </c>
      <c r="H804" t="str">
        <f>"CUST#52158/PCT#2"</f>
        <v>CUST#52158/PCT#2</v>
      </c>
    </row>
    <row r="805" spans="1:8" x14ac:dyDescent="0.25">
      <c r="A805" t="s">
        <v>250</v>
      </c>
      <c r="B805">
        <v>132101</v>
      </c>
      <c r="C805" s="5">
        <v>18.23</v>
      </c>
      <c r="D805" s="1">
        <v>43990</v>
      </c>
      <c r="E805" t="str">
        <f>"9604456 052120"</f>
        <v>9604456 052120</v>
      </c>
      <c r="F805" t="str">
        <f>"ACCT#46668439604456/JP2"</f>
        <v>ACCT#46668439604456/JP2</v>
      </c>
      <c r="G805" s="5">
        <v>18.23</v>
      </c>
      <c r="H805" t="str">
        <f>"ACCT#46668439604456/JP2"</f>
        <v>ACCT#46668439604456/JP2</v>
      </c>
    </row>
    <row r="806" spans="1:8" x14ac:dyDescent="0.25">
      <c r="A806" t="s">
        <v>251</v>
      </c>
      <c r="B806">
        <v>132255</v>
      </c>
      <c r="C806" s="5">
        <v>61.11</v>
      </c>
      <c r="D806" s="1">
        <v>44004</v>
      </c>
      <c r="E806" t="str">
        <f>"202006167352"</f>
        <v>202006167352</v>
      </c>
      <c r="F806" t="str">
        <f>"INDIGENT HEALTH"</f>
        <v>INDIGENT HEALTH</v>
      </c>
      <c r="G806" s="5">
        <v>61.11</v>
      </c>
      <c r="H806" t="str">
        <f>"INDIGENT HEALTH"</f>
        <v>INDIGENT HEALTH</v>
      </c>
    </row>
    <row r="807" spans="1:8" x14ac:dyDescent="0.25">
      <c r="A807" t="s">
        <v>252</v>
      </c>
      <c r="B807">
        <v>132256</v>
      </c>
      <c r="C807" s="5">
        <v>175.53</v>
      </c>
      <c r="D807" s="1">
        <v>44004</v>
      </c>
      <c r="E807" t="str">
        <f>"202006167351"</f>
        <v>202006167351</v>
      </c>
      <c r="F807" t="str">
        <f>"INDIGENT HEALTH"</f>
        <v>INDIGENT HEALTH</v>
      </c>
      <c r="G807" s="5">
        <v>175.53</v>
      </c>
      <c r="H807" t="str">
        <f>"INDIGENT HEALTH"</f>
        <v>INDIGENT HEALTH</v>
      </c>
    </row>
    <row r="808" spans="1:8" x14ac:dyDescent="0.25">
      <c r="A808" t="s">
        <v>253</v>
      </c>
      <c r="B808">
        <v>132257</v>
      </c>
      <c r="C808" s="5">
        <v>212.53</v>
      </c>
      <c r="D808" s="1">
        <v>44004</v>
      </c>
      <c r="E808" t="str">
        <f>"202006167353"</f>
        <v>202006167353</v>
      </c>
      <c r="F808" t="str">
        <f>"INDIGENT HEALTH"</f>
        <v>INDIGENT HEALTH</v>
      </c>
      <c r="G808" s="5">
        <v>212.53</v>
      </c>
      <c r="H808" t="str">
        <f>"INDIGENT HEALTH"</f>
        <v>INDIGENT HEALTH</v>
      </c>
    </row>
    <row r="809" spans="1:8" x14ac:dyDescent="0.25">
      <c r="A809" t="s">
        <v>254</v>
      </c>
      <c r="B809">
        <v>132102</v>
      </c>
      <c r="C809" s="5">
        <v>411.55</v>
      </c>
      <c r="D809" s="1">
        <v>43990</v>
      </c>
      <c r="E809" t="str">
        <f>"8058400676"</f>
        <v>8058400676</v>
      </c>
      <c r="F809" t="str">
        <f>"Bill"</f>
        <v>Bill</v>
      </c>
      <c r="G809" s="5">
        <v>411.55</v>
      </c>
      <c r="H809" t="str">
        <f>"3446948930"</f>
        <v>3446948930</v>
      </c>
    </row>
    <row r="810" spans="1:8" x14ac:dyDescent="0.25">
      <c r="E810" t="str">
        <f>""</f>
        <v/>
      </c>
      <c r="F810" t="str">
        <f>""</f>
        <v/>
      </c>
      <c r="H810" t="str">
        <f>"3446948931"</f>
        <v>3446948931</v>
      </c>
    </row>
    <row r="811" spans="1:8" x14ac:dyDescent="0.25">
      <c r="E811" t="str">
        <f>""</f>
        <v/>
      </c>
      <c r="F811" t="str">
        <f>""</f>
        <v/>
      </c>
      <c r="H811" t="str">
        <f>"3446948923"</f>
        <v>3446948923</v>
      </c>
    </row>
    <row r="812" spans="1:8" x14ac:dyDescent="0.25">
      <c r="E812" t="str">
        <f>""</f>
        <v/>
      </c>
      <c r="F812" t="str">
        <f>""</f>
        <v/>
      </c>
      <c r="H812" t="str">
        <f>"3446948925"</f>
        <v>3446948925</v>
      </c>
    </row>
    <row r="813" spans="1:8" x14ac:dyDescent="0.25">
      <c r="E813" t="str">
        <f>""</f>
        <v/>
      </c>
      <c r="F813" t="str">
        <f>""</f>
        <v/>
      </c>
      <c r="H813" t="str">
        <f>"3446948928"</f>
        <v>3446948928</v>
      </c>
    </row>
    <row r="814" spans="1:8" x14ac:dyDescent="0.25">
      <c r="A814" t="s">
        <v>255</v>
      </c>
      <c r="B814">
        <v>132103</v>
      </c>
      <c r="C814" s="5">
        <v>405</v>
      </c>
      <c r="D814" s="1">
        <v>43990</v>
      </c>
      <c r="E814" t="str">
        <f>"202006027058"</f>
        <v>202006027058</v>
      </c>
      <c r="F814" t="str">
        <f>"MONTH OF APRIL 2020"</f>
        <v>MONTH OF APRIL 2020</v>
      </c>
      <c r="G814" s="5">
        <v>405</v>
      </c>
      <c r="H814" t="str">
        <f>"MONTH OF APRIL 2020"</f>
        <v>MONTH OF APRIL 2020</v>
      </c>
    </row>
    <row r="815" spans="1:8" x14ac:dyDescent="0.25">
      <c r="A815" t="s">
        <v>255</v>
      </c>
      <c r="B815">
        <v>132258</v>
      </c>
      <c r="C815" s="5">
        <v>485.26</v>
      </c>
      <c r="D815" s="1">
        <v>44004</v>
      </c>
      <c r="E815" t="str">
        <f>"202006167319"</f>
        <v>202006167319</v>
      </c>
      <c r="F815" t="str">
        <f>"MONTH OF MAY 2020"</f>
        <v>MONTH OF MAY 2020</v>
      </c>
      <c r="G815" s="5">
        <v>485.26</v>
      </c>
      <c r="H815" t="str">
        <f>"MONTH OF MAY 2020"</f>
        <v>MONTH OF MAY 2020</v>
      </c>
    </row>
    <row r="816" spans="1:8" x14ac:dyDescent="0.25">
      <c r="A816" t="s">
        <v>256</v>
      </c>
      <c r="B816">
        <v>132104</v>
      </c>
      <c r="C816" s="5">
        <v>795.59</v>
      </c>
      <c r="D816" s="1">
        <v>43990</v>
      </c>
      <c r="E816" t="str">
        <f>"4009365939"</f>
        <v>4009365939</v>
      </c>
      <c r="F816" t="str">
        <f>"INV 4009365939"</f>
        <v>INV 4009365939</v>
      </c>
      <c r="G816" s="5">
        <v>795.59</v>
      </c>
      <c r="H816" t="str">
        <f>"INV 4009365939"</f>
        <v>INV 4009365939</v>
      </c>
    </row>
    <row r="817" spans="1:8" x14ac:dyDescent="0.25">
      <c r="A817" t="s">
        <v>257</v>
      </c>
      <c r="B817">
        <v>132105</v>
      </c>
      <c r="C817" s="5">
        <v>377</v>
      </c>
      <c r="D817" s="1">
        <v>43990</v>
      </c>
      <c r="E817" t="str">
        <f>"202006027087"</f>
        <v>202006027087</v>
      </c>
      <c r="F817" t="str">
        <f>"TRASH REMOVAL/PCT#4"</f>
        <v>TRASH REMOVAL/PCT#4</v>
      </c>
      <c r="G817" s="5">
        <v>221</v>
      </c>
      <c r="H817" t="str">
        <f>"TRASH REMOVAL/PCT#4"</f>
        <v>TRASH REMOVAL/PCT#4</v>
      </c>
    </row>
    <row r="818" spans="1:8" x14ac:dyDescent="0.25">
      <c r="E818" t="str">
        <f>"202006027088"</f>
        <v>202006027088</v>
      </c>
      <c r="F818" t="str">
        <f>"TRASH REMOVAL"</f>
        <v>TRASH REMOVAL</v>
      </c>
      <c r="G818" s="5">
        <v>156</v>
      </c>
      <c r="H818" t="str">
        <f>"TRASH REMOVAL"</f>
        <v>TRASH REMOVAL</v>
      </c>
    </row>
    <row r="819" spans="1:8" x14ac:dyDescent="0.25">
      <c r="A819" t="s">
        <v>257</v>
      </c>
      <c r="B819">
        <v>132259</v>
      </c>
      <c r="C819" s="5">
        <v>377</v>
      </c>
      <c r="D819" s="1">
        <v>44004</v>
      </c>
      <c r="E819" t="str">
        <f>"202006167322"</f>
        <v>202006167322</v>
      </c>
      <c r="F819" t="str">
        <f>"TRASH REMOVAL/JUNE8-20/PCT#4"</f>
        <v>TRASH REMOVAL/JUNE8-20/PCT#4</v>
      </c>
      <c r="G819" s="5">
        <v>377</v>
      </c>
      <c r="H819" t="str">
        <f>"TRASH REMOVAL/JUNE8-20/PCT#4"</f>
        <v>TRASH REMOVAL/JUNE8-20/PCT#4</v>
      </c>
    </row>
    <row r="820" spans="1:8" x14ac:dyDescent="0.25">
      <c r="A820" t="s">
        <v>258</v>
      </c>
      <c r="B820">
        <v>132260</v>
      </c>
      <c r="C820" s="5">
        <v>375</v>
      </c>
      <c r="D820" s="1">
        <v>44004</v>
      </c>
      <c r="E820" t="str">
        <f>"20200609B"</f>
        <v>20200609B</v>
      </c>
      <c r="F820" t="str">
        <f>"INV 20200609B"</f>
        <v>INV 20200609B</v>
      </c>
      <c r="G820" s="5">
        <v>375</v>
      </c>
      <c r="H820" t="str">
        <f>"INV 20200609B"</f>
        <v>INV 20200609B</v>
      </c>
    </row>
    <row r="821" spans="1:8" x14ac:dyDescent="0.25">
      <c r="A821" t="s">
        <v>259</v>
      </c>
      <c r="B821">
        <v>2681</v>
      </c>
      <c r="C821" s="5">
        <v>7800</v>
      </c>
      <c r="D821" s="1">
        <v>43991</v>
      </c>
      <c r="E821" t="str">
        <f>"420"</f>
        <v>420</v>
      </c>
      <c r="F821" t="str">
        <f>"SHREDDING/MOWING/PCT#2"</f>
        <v>SHREDDING/MOWING/PCT#2</v>
      </c>
      <c r="G821" s="5">
        <v>7800</v>
      </c>
      <c r="H821" t="str">
        <f>"SHREDDING/MOWING/PCT#2"</f>
        <v>SHREDDING/MOWING/PCT#2</v>
      </c>
    </row>
    <row r="822" spans="1:8" x14ac:dyDescent="0.25">
      <c r="A822" t="s">
        <v>260</v>
      </c>
      <c r="B822">
        <v>2687</v>
      </c>
      <c r="C822" s="5">
        <v>1441.01</v>
      </c>
      <c r="D822" s="1">
        <v>43991</v>
      </c>
      <c r="E822" t="str">
        <f>"95718041"</f>
        <v>95718041</v>
      </c>
      <c r="F822" t="str">
        <f>"ACCT#10187718/PCT#2"</f>
        <v>ACCT#10187718/PCT#2</v>
      </c>
      <c r="G822" s="5">
        <v>1441.01</v>
      </c>
      <c r="H822" t="str">
        <f>"ACCT#10187718/PCT#2"</f>
        <v>ACCT#10187718/PCT#2</v>
      </c>
    </row>
    <row r="823" spans="1:8" x14ac:dyDescent="0.25">
      <c r="A823" t="s">
        <v>260</v>
      </c>
      <c r="B823">
        <v>2749</v>
      </c>
      <c r="C823" s="5">
        <v>2661.87</v>
      </c>
      <c r="D823" s="1">
        <v>44005</v>
      </c>
      <c r="E823" t="str">
        <f>"95732838"</f>
        <v>95732838</v>
      </c>
      <c r="F823" t="str">
        <f>"ACCT#10187718/PCT#2"</f>
        <v>ACCT#10187718/PCT#2</v>
      </c>
      <c r="G823" s="5">
        <v>2661.87</v>
      </c>
      <c r="H823" t="str">
        <f>"ACCT#10187718/PCT#2"</f>
        <v>ACCT#10187718/PCT#2</v>
      </c>
    </row>
    <row r="824" spans="1:8" x14ac:dyDescent="0.25">
      <c r="A824" t="s">
        <v>261</v>
      </c>
      <c r="B824">
        <v>2678</v>
      </c>
      <c r="C824" s="5">
        <v>79.2</v>
      </c>
      <c r="D824" s="1">
        <v>43991</v>
      </c>
      <c r="E824" t="str">
        <f>"20060202"</f>
        <v>20060202</v>
      </c>
      <c r="F824" t="str">
        <f>"SVC CONTRACT/05/01/20-06/01/20"</f>
        <v>SVC CONTRACT/05/01/20-06/01/20</v>
      </c>
      <c r="G824" s="5">
        <v>79.2</v>
      </c>
      <c r="H824" t="str">
        <f>"SVC CONTRACT/05/01/20-06/01/20"</f>
        <v>SVC CONTRACT/05/01/20-06/01/20</v>
      </c>
    </row>
    <row r="825" spans="1:8" x14ac:dyDescent="0.25">
      <c r="A825" t="s">
        <v>262</v>
      </c>
      <c r="B825">
        <v>2778</v>
      </c>
      <c r="C825" s="5">
        <v>217</v>
      </c>
      <c r="D825" s="1">
        <v>44005</v>
      </c>
      <c r="E825" t="str">
        <f>"2007054"</f>
        <v>2007054</v>
      </c>
      <c r="F825" t="str">
        <f>"CUST ID:BASTROP COUNTY CT"</f>
        <v>CUST ID:BASTROP COUNTY CT</v>
      </c>
      <c r="G825" s="5">
        <v>217</v>
      </c>
      <c r="H825" t="str">
        <f>"CUST ID:BASTROP COUNTY CT"</f>
        <v>CUST ID:BASTROP COUNTY CT</v>
      </c>
    </row>
    <row r="826" spans="1:8" x14ac:dyDescent="0.25">
      <c r="A826" t="s">
        <v>263</v>
      </c>
      <c r="B826">
        <v>132106</v>
      </c>
      <c r="C826" s="5">
        <v>693</v>
      </c>
      <c r="D826" s="1">
        <v>43990</v>
      </c>
      <c r="E826" t="str">
        <f>"TD67380"</f>
        <v>TD67380</v>
      </c>
      <c r="F826" t="str">
        <f>"Green Valley"</f>
        <v>Green Valley</v>
      </c>
      <c r="G826" s="5">
        <v>693</v>
      </c>
      <c r="H826" t="str">
        <f>"Concrete Tech- OT"</f>
        <v>Concrete Tech- OT</v>
      </c>
    </row>
    <row r="827" spans="1:8" x14ac:dyDescent="0.25">
      <c r="E827" t="str">
        <f>""</f>
        <v/>
      </c>
      <c r="F827" t="str">
        <f>""</f>
        <v/>
      </c>
      <c r="H827" t="str">
        <f>"Concrete Tech"</f>
        <v>Concrete Tech</v>
      </c>
    </row>
    <row r="828" spans="1:8" x14ac:dyDescent="0.25">
      <c r="E828" t="str">
        <f>""</f>
        <v/>
      </c>
      <c r="F828" t="str">
        <f>""</f>
        <v/>
      </c>
      <c r="H828" t="str">
        <f>"Trip Charge"</f>
        <v>Trip Charge</v>
      </c>
    </row>
    <row r="829" spans="1:8" x14ac:dyDescent="0.25">
      <c r="E829" t="str">
        <f>""</f>
        <v/>
      </c>
      <c r="F829" t="str">
        <f>""</f>
        <v/>
      </c>
      <c r="H829" t="str">
        <f>"Compressive Strenght"</f>
        <v>Compressive Strenght</v>
      </c>
    </row>
    <row r="830" spans="1:8" x14ac:dyDescent="0.25">
      <c r="E830" t="str">
        <f>""</f>
        <v/>
      </c>
      <c r="F830" t="str">
        <f>""</f>
        <v/>
      </c>
      <c r="H830" t="str">
        <f>"Sample Pick"</f>
        <v>Sample Pick</v>
      </c>
    </row>
    <row r="831" spans="1:8" x14ac:dyDescent="0.25">
      <c r="E831" t="str">
        <f>""</f>
        <v/>
      </c>
      <c r="F831" t="str">
        <f>""</f>
        <v/>
      </c>
      <c r="H831" t="str">
        <f>"Trip Charge"</f>
        <v>Trip Charge</v>
      </c>
    </row>
    <row r="832" spans="1:8" x14ac:dyDescent="0.25">
      <c r="E832" t="str">
        <f>""</f>
        <v/>
      </c>
      <c r="F832" t="str">
        <f>""</f>
        <v/>
      </c>
      <c r="H832" t="str">
        <f>"Project Manager"</f>
        <v>Project Manager</v>
      </c>
    </row>
    <row r="833" spans="1:8" x14ac:dyDescent="0.25">
      <c r="A833" t="s">
        <v>264</v>
      </c>
      <c r="B833">
        <v>132107</v>
      </c>
      <c r="C833" s="5">
        <v>353.46</v>
      </c>
      <c r="D833" s="1">
        <v>43990</v>
      </c>
      <c r="E833" t="str">
        <f>"396317"</f>
        <v>396317</v>
      </c>
      <c r="F833" t="str">
        <f>"Air Fliters"</f>
        <v>Air Fliters</v>
      </c>
      <c r="G833" s="5">
        <v>353.46</v>
      </c>
      <c r="H833" t="str">
        <f>"16x20x1 Pleated Air"</f>
        <v>16x20x1 Pleated Air</v>
      </c>
    </row>
    <row r="834" spans="1:8" x14ac:dyDescent="0.25">
      <c r="E834" t="str">
        <f>""</f>
        <v/>
      </c>
      <c r="F834" t="str">
        <f>""</f>
        <v/>
      </c>
      <c r="H834" t="str">
        <f>"20x24x4 Pleated Air"</f>
        <v>20x24x4 Pleated Air</v>
      </c>
    </row>
    <row r="835" spans="1:8" x14ac:dyDescent="0.25">
      <c r="E835" t="str">
        <f>""</f>
        <v/>
      </c>
      <c r="F835" t="str">
        <f>""</f>
        <v/>
      </c>
      <c r="H835" t="str">
        <f>"16x25x2 Pleated Air"</f>
        <v>16x25x2 Pleated Air</v>
      </c>
    </row>
    <row r="836" spans="1:8" x14ac:dyDescent="0.25">
      <c r="E836" t="str">
        <f>""</f>
        <v/>
      </c>
      <c r="F836" t="str">
        <f>""</f>
        <v/>
      </c>
      <c r="H836" t="str">
        <f>"20x25x1 Pleated Air"</f>
        <v>20x25x1 Pleated Air</v>
      </c>
    </row>
    <row r="837" spans="1:8" x14ac:dyDescent="0.25">
      <c r="E837" t="str">
        <f>""</f>
        <v/>
      </c>
      <c r="F837" t="str">
        <f>""</f>
        <v/>
      </c>
      <c r="H837" t="str">
        <f>"20x30x1 Pleated Air"</f>
        <v>20x30x1 Pleated Air</v>
      </c>
    </row>
    <row r="838" spans="1:8" x14ac:dyDescent="0.25">
      <c r="A838" t="s">
        <v>265</v>
      </c>
      <c r="B838">
        <v>132108</v>
      </c>
      <c r="C838" s="5">
        <v>2398.11</v>
      </c>
      <c r="D838" s="1">
        <v>43990</v>
      </c>
      <c r="E838" t="str">
        <f>"0977264-IN"</f>
        <v>0977264-IN</v>
      </c>
      <c r="F838" t="str">
        <f>"ACCT#01-0112917/FUEL/PCT#3"</f>
        <v>ACCT#01-0112917/FUEL/PCT#3</v>
      </c>
      <c r="G838" s="5">
        <v>2398.11</v>
      </c>
      <c r="H838" t="str">
        <f>"ACCT#01-0112917/FUEL/PCT#3"</f>
        <v>ACCT#01-0112917/FUEL/PCT#3</v>
      </c>
    </row>
    <row r="839" spans="1:8" x14ac:dyDescent="0.25">
      <c r="A839" t="s">
        <v>265</v>
      </c>
      <c r="B839">
        <v>132261</v>
      </c>
      <c r="C839" s="5">
        <v>10084.94</v>
      </c>
      <c r="D839" s="1">
        <v>44004</v>
      </c>
      <c r="E839" t="str">
        <f>"0978807-IN"</f>
        <v>0978807-IN</v>
      </c>
      <c r="F839" t="str">
        <f>"ACCT#01-0112917/DIESEL/PCT#2"</f>
        <v>ACCT#01-0112917/DIESEL/PCT#2</v>
      </c>
      <c r="G839" s="5">
        <v>375</v>
      </c>
      <c r="H839" t="str">
        <f>"ACCT#01-0112917/DIESEL/PCT#2"</f>
        <v>ACCT#01-0112917/DIESEL/PCT#2</v>
      </c>
    </row>
    <row r="840" spans="1:8" x14ac:dyDescent="0.25">
      <c r="E840" t="str">
        <f>"0979902-IN"</f>
        <v>0979902-IN</v>
      </c>
      <c r="F840" t="str">
        <f>"INV 0979902-IN"</f>
        <v>INV 0979902-IN</v>
      </c>
      <c r="G840" s="5">
        <v>363.37</v>
      </c>
      <c r="H840" t="str">
        <f>"INV 0979902-IN"</f>
        <v>INV 0979902-IN</v>
      </c>
    </row>
    <row r="841" spans="1:8" x14ac:dyDescent="0.25">
      <c r="E841" t="str">
        <f>"0980041-IN"</f>
        <v>0980041-IN</v>
      </c>
      <c r="F841" t="str">
        <f>"ACCT#01-0112917/MULTIPLEX/P1"</f>
        <v>ACCT#01-0112917/MULTIPLEX/P1</v>
      </c>
      <c r="G841" s="5">
        <v>311.7</v>
      </c>
      <c r="H841" t="str">
        <f>"ACCT#01-0112917/MULTIPLEX/P1"</f>
        <v>ACCT#01-0112917/MULTIPLEX/P1</v>
      </c>
    </row>
    <row r="842" spans="1:8" x14ac:dyDescent="0.25">
      <c r="E842" t="str">
        <f>"0980426-IN"</f>
        <v>0980426-IN</v>
      </c>
      <c r="F842" t="str">
        <f>"ACCT#01-0112917/PCT#3"</f>
        <v>ACCT#01-0112917/PCT#3</v>
      </c>
      <c r="G842" s="5">
        <v>2514.4499999999998</v>
      </c>
      <c r="H842" t="str">
        <f>"ACCT#01-0112917/PCT#3"</f>
        <v>ACCT#01-0112917/PCT#3</v>
      </c>
    </row>
    <row r="843" spans="1:8" x14ac:dyDescent="0.25">
      <c r="E843" t="str">
        <f>"0980476-IN"</f>
        <v>0980476-IN</v>
      </c>
      <c r="F843" t="str">
        <f>"ACCT#01-0112917/EX FLUID/PCT#1"</f>
        <v>ACCT#01-0112917/EX FLUID/PCT#1</v>
      </c>
      <c r="G843" s="5">
        <v>240.12</v>
      </c>
      <c r="H843" t="str">
        <f>"ACCT#01-0112917/EX FLUID/PCT#1"</f>
        <v>ACCT#01-0112917/EX FLUID/PCT#1</v>
      </c>
    </row>
    <row r="844" spans="1:8" x14ac:dyDescent="0.25">
      <c r="E844" t="str">
        <f>"0980722-IN"</f>
        <v>0980722-IN</v>
      </c>
      <c r="F844" t="str">
        <f>"ACCT#01-0112917/DIESEL/PCT#1"</f>
        <v>ACCT#01-0112917/DIESEL/PCT#1</v>
      </c>
      <c r="G844" s="5">
        <v>3641.52</v>
      </c>
      <c r="H844" t="str">
        <f>"ACCT#01-0112917/DIESEL/PCT#1"</f>
        <v>ACCT#01-0112917/DIESEL/PCT#1</v>
      </c>
    </row>
    <row r="845" spans="1:8" x14ac:dyDescent="0.25">
      <c r="E845" t="str">
        <f>"0982029-IN"</f>
        <v>0982029-IN</v>
      </c>
      <c r="F845" t="str">
        <f>"ACCT#01-0112917/FLUID/PCT#1"</f>
        <v>ACCT#01-0112917/FLUID/PCT#1</v>
      </c>
      <c r="G845" s="5">
        <v>225.12</v>
      </c>
      <c r="H845" t="str">
        <f>"ACCT#01-0112917/FLUID/PCT#1"</f>
        <v>ACCT#01-0112917/FLUID/PCT#1</v>
      </c>
    </row>
    <row r="846" spans="1:8" x14ac:dyDescent="0.25">
      <c r="E846" t="str">
        <f>"0982087-IN"</f>
        <v>0982087-IN</v>
      </c>
      <c r="F846" t="str">
        <f>"ACCT#01-0112917/PCT#4"</f>
        <v>ACCT#01-0112917/PCT#4</v>
      </c>
      <c r="G846" s="5">
        <v>2413.66</v>
      </c>
      <c r="H846" t="str">
        <f>"ACCT#01-0112917/PCT#4"</f>
        <v>ACCT#01-0112917/PCT#4</v>
      </c>
    </row>
    <row r="847" spans="1:8" x14ac:dyDescent="0.25">
      <c r="A847" t="s">
        <v>266</v>
      </c>
      <c r="B847">
        <v>132109</v>
      </c>
      <c r="C847" s="5">
        <v>1040.2</v>
      </c>
      <c r="D847" s="1">
        <v>43990</v>
      </c>
      <c r="E847" t="str">
        <f>"6196"</f>
        <v>6196</v>
      </c>
      <c r="F847" t="str">
        <f>"BULLROCK/PCT#1"</f>
        <v>BULLROCK/PCT#1</v>
      </c>
      <c r="G847" s="5">
        <v>1040.2</v>
      </c>
      <c r="H847" t="str">
        <f>"BULLROCK/PCT#1"</f>
        <v>BULLROCK/PCT#1</v>
      </c>
    </row>
    <row r="848" spans="1:8" x14ac:dyDescent="0.25">
      <c r="A848" t="s">
        <v>267</v>
      </c>
      <c r="B848">
        <v>132262</v>
      </c>
      <c r="C848" s="5">
        <v>121</v>
      </c>
      <c r="D848" s="1">
        <v>44004</v>
      </c>
      <c r="E848" t="str">
        <f>"5309"</f>
        <v>5309</v>
      </c>
      <c r="F848" t="str">
        <f>"INV 5309"</f>
        <v>INV 5309</v>
      </c>
      <c r="G848" s="5">
        <v>50</v>
      </c>
      <c r="H848" t="str">
        <f>"INV 5309"</f>
        <v>INV 5309</v>
      </c>
    </row>
    <row r="849" spans="1:8" x14ac:dyDescent="0.25">
      <c r="E849" t="str">
        <f>"5315"</f>
        <v>5315</v>
      </c>
      <c r="F849" t="str">
        <f>"INV 5315"</f>
        <v>INV 5315</v>
      </c>
      <c r="G849" s="5">
        <v>71</v>
      </c>
      <c r="H849" t="str">
        <f>"INV 5315"</f>
        <v>INV 5315</v>
      </c>
    </row>
    <row r="850" spans="1:8" x14ac:dyDescent="0.25">
      <c r="A850" t="s">
        <v>268</v>
      </c>
      <c r="B850">
        <v>132110</v>
      </c>
      <c r="C850" s="5">
        <v>75</v>
      </c>
      <c r="D850" s="1">
        <v>43990</v>
      </c>
      <c r="E850" t="str">
        <f>"01816"</f>
        <v>01816</v>
      </c>
      <c r="F850" t="str">
        <f>"MEMBERSHIP RENEWAL-D. SHIROCKY"</f>
        <v>MEMBERSHIP RENEWAL-D. SHIROCKY</v>
      </c>
      <c r="G850" s="5">
        <v>75</v>
      </c>
      <c r="H850" t="str">
        <f>"MEMBERSHIP RENEWAL-D. SHIROCKY"</f>
        <v>MEMBERSHIP RENEWAL-D. SHIROCKY</v>
      </c>
    </row>
    <row r="851" spans="1:8" x14ac:dyDescent="0.25">
      <c r="A851" t="s">
        <v>269</v>
      </c>
      <c r="B851">
        <v>132111</v>
      </c>
      <c r="C851" s="5">
        <v>35</v>
      </c>
      <c r="D851" s="1">
        <v>43990</v>
      </c>
      <c r="E851" t="str">
        <f>"63794"</f>
        <v>63794</v>
      </c>
      <c r="F851" t="str">
        <f>"ACCT#250078/JPCA-DIANE MONTOYA"</f>
        <v>ACCT#250078/JPCA-DIANE MONTOYA</v>
      </c>
      <c r="G851" s="5">
        <v>35</v>
      </c>
      <c r="H851" t="str">
        <f>"ACCT#250078/JPCA-DIANE MONTOYA"</f>
        <v>ACCT#250078/JPCA-DIANE MONTOYA</v>
      </c>
    </row>
    <row r="852" spans="1:8" x14ac:dyDescent="0.25">
      <c r="A852" t="s">
        <v>269</v>
      </c>
      <c r="B852">
        <v>132263</v>
      </c>
      <c r="C852" s="5">
        <v>83480.59</v>
      </c>
      <c r="D852" s="1">
        <v>44004</v>
      </c>
      <c r="E852" t="str">
        <f>"27081-WC3"</f>
        <v>27081-WC3</v>
      </c>
      <c r="F852" t="str">
        <f>"3RD QTR 2020 WRKRS COMP/#0110"</f>
        <v>3RD QTR 2020 WRKRS COMP/#0110</v>
      </c>
      <c r="G852" s="5">
        <v>83480.59</v>
      </c>
      <c r="H852" t="str">
        <f t="shared" ref="H852:H894" si="12">"3RD QTR 2020 WRKRS COMP/#0110"</f>
        <v>3RD QTR 2020 WRKRS COMP/#0110</v>
      </c>
    </row>
    <row r="853" spans="1:8" x14ac:dyDescent="0.25">
      <c r="E853" t="str">
        <f>""</f>
        <v/>
      </c>
      <c r="F853" t="str">
        <f>""</f>
        <v/>
      </c>
      <c r="H853" t="str">
        <f t="shared" si="12"/>
        <v>3RD QTR 2020 WRKRS COMP/#0110</v>
      </c>
    </row>
    <row r="854" spans="1:8" x14ac:dyDescent="0.25">
      <c r="E854" t="str">
        <f>""</f>
        <v/>
      </c>
      <c r="F854" t="str">
        <f>""</f>
        <v/>
      </c>
      <c r="H854" t="str">
        <f t="shared" si="12"/>
        <v>3RD QTR 2020 WRKRS COMP/#0110</v>
      </c>
    </row>
    <row r="855" spans="1:8" x14ac:dyDescent="0.25">
      <c r="E855" t="str">
        <f>""</f>
        <v/>
      </c>
      <c r="F855" t="str">
        <f>""</f>
        <v/>
      </c>
      <c r="H855" t="str">
        <f t="shared" si="12"/>
        <v>3RD QTR 2020 WRKRS COMP/#0110</v>
      </c>
    </row>
    <row r="856" spans="1:8" x14ac:dyDescent="0.25">
      <c r="E856" t="str">
        <f>""</f>
        <v/>
      </c>
      <c r="F856" t="str">
        <f>""</f>
        <v/>
      </c>
      <c r="H856" t="str">
        <f t="shared" si="12"/>
        <v>3RD QTR 2020 WRKRS COMP/#0110</v>
      </c>
    </row>
    <row r="857" spans="1:8" x14ac:dyDescent="0.25">
      <c r="E857" t="str">
        <f>""</f>
        <v/>
      </c>
      <c r="F857" t="str">
        <f>""</f>
        <v/>
      </c>
      <c r="H857" t="str">
        <f t="shared" si="12"/>
        <v>3RD QTR 2020 WRKRS COMP/#0110</v>
      </c>
    </row>
    <row r="858" spans="1:8" x14ac:dyDescent="0.25">
      <c r="E858" t="str">
        <f>""</f>
        <v/>
      </c>
      <c r="F858" t="str">
        <f>""</f>
        <v/>
      </c>
      <c r="H858" t="str">
        <f t="shared" si="12"/>
        <v>3RD QTR 2020 WRKRS COMP/#0110</v>
      </c>
    </row>
    <row r="859" spans="1:8" x14ac:dyDescent="0.25">
      <c r="E859" t="str">
        <f>""</f>
        <v/>
      </c>
      <c r="F859" t="str">
        <f>""</f>
        <v/>
      </c>
      <c r="H859" t="str">
        <f t="shared" si="12"/>
        <v>3RD QTR 2020 WRKRS COMP/#0110</v>
      </c>
    </row>
    <row r="860" spans="1:8" x14ac:dyDescent="0.25">
      <c r="E860" t="str">
        <f>""</f>
        <v/>
      </c>
      <c r="F860" t="str">
        <f>""</f>
        <v/>
      </c>
      <c r="H860" t="str">
        <f t="shared" si="12"/>
        <v>3RD QTR 2020 WRKRS COMP/#0110</v>
      </c>
    </row>
    <row r="861" spans="1:8" x14ac:dyDescent="0.25">
      <c r="E861" t="str">
        <f>""</f>
        <v/>
      </c>
      <c r="F861" t="str">
        <f>""</f>
        <v/>
      </c>
      <c r="H861" t="str">
        <f t="shared" si="12"/>
        <v>3RD QTR 2020 WRKRS COMP/#0110</v>
      </c>
    </row>
    <row r="862" spans="1:8" x14ac:dyDescent="0.25">
      <c r="E862" t="str">
        <f>""</f>
        <v/>
      </c>
      <c r="F862" t="str">
        <f>""</f>
        <v/>
      </c>
      <c r="H862" t="str">
        <f t="shared" si="12"/>
        <v>3RD QTR 2020 WRKRS COMP/#0110</v>
      </c>
    </row>
    <row r="863" spans="1:8" x14ac:dyDescent="0.25">
      <c r="E863" t="str">
        <f>""</f>
        <v/>
      </c>
      <c r="F863" t="str">
        <f>""</f>
        <v/>
      </c>
      <c r="H863" t="str">
        <f t="shared" si="12"/>
        <v>3RD QTR 2020 WRKRS COMP/#0110</v>
      </c>
    </row>
    <row r="864" spans="1:8" x14ac:dyDescent="0.25">
      <c r="E864" t="str">
        <f>""</f>
        <v/>
      </c>
      <c r="F864" t="str">
        <f>""</f>
        <v/>
      </c>
      <c r="H864" t="str">
        <f t="shared" si="12"/>
        <v>3RD QTR 2020 WRKRS COMP/#0110</v>
      </c>
    </row>
    <row r="865" spans="5:8" x14ac:dyDescent="0.25">
      <c r="E865" t="str">
        <f>""</f>
        <v/>
      </c>
      <c r="F865" t="str">
        <f>""</f>
        <v/>
      </c>
      <c r="H865" t="str">
        <f t="shared" si="12"/>
        <v>3RD QTR 2020 WRKRS COMP/#0110</v>
      </c>
    </row>
    <row r="866" spans="5:8" x14ac:dyDescent="0.25">
      <c r="E866" t="str">
        <f>""</f>
        <v/>
      </c>
      <c r="F866" t="str">
        <f>""</f>
        <v/>
      </c>
      <c r="H866" t="str">
        <f t="shared" si="12"/>
        <v>3RD QTR 2020 WRKRS COMP/#0110</v>
      </c>
    </row>
    <row r="867" spans="5:8" x14ac:dyDescent="0.25">
      <c r="E867" t="str">
        <f>""</f>
        <v/>
      </c>
      <c r="F867" t="str">
        <f>""</f>
        <v/>
      </c>
      <c r="H867" t="str">
        <f t="shared" si="12"/>
        <v>3RD QTR 2020 WRKRS COMP/#0110</v>
      </c>
    </row>
    <row r="868" spans="5:8" x14ac:dyDescent="0.25">
      <c r="E868" t="str">
        <f>""</f>
        <v/>
      </c>
      <c r="F868" t="str">
        <f>""</f>
        <v/>
      </c>
      <c r="H868" t="str">
        <f t="shared" si="12"/>
        <v>3RD QTR 2020 WRKRS COMP/#0110</v>
      </c>
    </row>
    <row r="869" spans="5:8" x14ac:dyDescent="0.25">
      <c r="E869" t="str">
        <f>""</f>
        <v/>
      </c>
      <c r="F869" t="str">
        <f>""</f>
        <v/>
      </c>
      <c r="H869" t="str">
        <f t="shared" si="12"/>
        <v>3RD QTR 2020 WRKRS COMP/#0110</v>
      </c>
    </row>
    <row r="870" spans="5:8" x14ac:dyDescent="0.25">
      <c r="E870" t="str">
        <f>""</f>
        <v/>
      </c>
      <c r="F870" t="str">
        <f>""</f>
        <v/>
      </c>
      <c r="H870" t="str">
        <f t="shared" si="12"/>
        <v>3RD QTR 2020 WRKRS COMP/#0110</v>
      </c>
    </row>
    <row r="871" spans="5:8" x14ac:dyDescent="0.25">
      <c r="E871" t="str">
        <f>""</f>
        <v/>
      </c>
      <c r="F871" t="str">
        <f>""</f>
        <v/>
      </c>
      <c r="H871" t="str">
        <f t="shared" si="12"/>
        <v>3RD QTR 2020 WRKRS COMP/#0110</v>
      </c>
    </row>
    <row r="872" spans="5:8" x14ac:dyDescent="0.25">
      <c r="E872" t="str">
        <f>""</f>
        <v/>
      </c>
      <c r="F872" t="str">
        <f>""</f>
        <v/>
      </c>
      <c r="H872" t="str">
        <f t="shared" si="12"/>
        <v>3RD QTR 2020 WRKRS COMP/#0110</v>
      </c>
    </row>
    <row r="873" spans="5:8" x14ac:dyDescent="0.25">
      <c r="E873" t="str">
        <f>""</f>
        <v/>
      </c>
      <c r="F873" t="str">
        <f>""</f>
        <v/>
      </c>
      <c r="H873" t="str">
        <f t="shared" si="12"/>
        <v>3RD QTR 2020 WRKRS COMP/#0110</v>
      </c>
    </row>
    <row r="874" spans="5:8" x14ac:dyDescent="0.25">
      <c r="E874" t="str">
        <f>""</f>
        <v/>
      </c>
      <c r="F874" t="str">
        <f>""</f>
        <v/>
      </c>
      <c r="H874" t="str">
        <f t="shared" si="12"/>
        <v>3RD QTR 2020 WRKRS COMP/#0110</v>
      </c>
    </row>
    <row r="875" spans="5:8" x14ac:dyDescent="0.25">
      <c r="E875" t="str">
        <f>""</f>
        <v/>
      </c>
      <c r="F875" t="str">
        <f>""</f>
        <v/>
      </c>
      <c r="H875" t="str">
        <f t="shared" si="12"/>
        <v>3RD QTR 2020 WRKRS COMP/#0110</v>
      </c>
    </row>
    <row r="876" spans="5:8" x14ac:dyDescent="0.25">
      <c r="E876" t="str">
        <f>""</f>
        <v/>
      </c>
      <c r="F876" t="str">
        <f>""</f>
        <v/>
      </c>
      <c r="H876" t="str">
        <f t="shared" si="12"/>
        <v>3RD QTR 2020 WRKRS COMP/#0110</v>
      </c>
    </row>
    <row r="877" spans="5:8" x14ac:dyDescent="0.25">
      <c r="E877" t="str">
        <f>""</f>
        <v/>
      </c>
      <c r="F877" t="str">
        <f>""</f>
        <v/>
      </c>
      <c r="H877" t="str">
        <f t="shared" si="12"/>
        <v>3RD QTR 2020 WRKRS COMP/#0110</v>
      </c>
    </row>
    <row r="878" spans="5:8" x14ac:dyDescent="0.25">
      <c r="E878" t="str">
        <f>""</f>
        <v/>
      </c>
      <c r="F878" t="str">
        <f>""</f>
        <v/>
      </c>
      <c r="H878" t="str">
        <f t="shared" si="12"/>
        <v>3RD QTR 2020 WRKRS COMP/#0110</v>
      </c>
    </row>
    <row r="879" spans="5:8" x14ac:dyDescent="0.25">
      <c r="E879" t="str">
        <f>""</f>
        <v/>
      </c>
      <c r="F879" t="str">
        <f>""</f>
        <v/>
      </c>
      <c r="H879" t="str">
        <f t="shared" si="12"/>
        <v>3RD QTR 2020 WRKRS COMP/#0110</v>
      </c>
    </row>
    <row r="880" spans="5:8" x14ac:dyDescent="0.25">
      <c r="E880" t="str">
        <f>""</f>
        <v/>
      </c>
      <c r="F880" t="str">
        <f>""</f>
        <v/>
      </c>
      <c r="H880" t="str">
        <f t="shared" si="12"/>
        <v>3RD QTR 2020 WRKRS COMP/#0110</v>
      </c>
    </row>
    <row r="881" spans="1:8" x14ac:dyDescent="0.25">
      <c r="E881" t="str">
        <f>""</f>
        <v/>
      </c>
      <c r="F881" t="str">
        <f>""</f>
        <v/>
      </c>
      <c r="H881" t="str">
        <f t="shared" si="12"/>
        <v>3RD QTR 2020 WRKRS COMP/#0110</v>
      </c>
    </row>
    <row r="882" spans="1:8" x14ac:dyDescent="0.25">
      <c r="E882" t="str">
        <f>""</f>
        <v/>
      </c>
      <c r="F882" t="str">
        <f>""</f>
        <v/>
      </c>
      <c r="H882" t="str">
        <f t="shared" si="12"/>
        <v>3RD QTR 2020 WRKRS COMP/#0110</v>
      </c>
    </row>
    <row r="883" spans="1:8" x14ac:dyDescent="0.25">
      <c r="E883" t="str">
        <f>""</f>
        <v/>
      </c>
      <c r="F883" t="str">
        <f>""</f>
        <v/>
      </c>
      <c r="H883" t="str">
        <f t="shared" si="12"/>
        <v>3RD QTR 2020 WRKRS COMP/#0110</v>
      </c>
    </row>
    <row r="884" spans="1:8" x14ac:dyDescent="0.25">
      <c r="E884" t="str">
        <f>""</f>
        <v/>
      </c>
      <c r="F884" t="str">
        <f>""</f>
        <v/>
      </c>
      <c r="H884" t="str">
        <f t="shared" si="12"/>
        <v>3RD QTR 2020 WRKRS COMP/#0110</v>
      </c>
    </row>
    <row r="885" spans="1:8" x14ac:dyDescent="0.25">
      <c r="E885" t="str">
        <f>""</f>
        <v/>
      </c>
      <c r="F885" t="str">
        <f>""</f>
        <v/>
      </c>
      <c r="H885" t="str">
        <f t="shared" si="12"/>
        <v>3RD QTR 2020 WRKRS COMP/#0110</v>
      </c>
    </row>
    <row r="886" spans="1:8" x14ac:dyDescent="0.25">
      <c r="E886" t="str">
        <f>""</f>
        <v/>
      </c>
      <c r="F886" t="str">
        <f>""</f>
        <v/>
      </c>
      <c r="H886" t="str">
        <f t="shared" si="12"/>
        <v>3RD QTR 2020 WRKRS COMP/#0110</v>
      </c>
    </row>
    <row r="887" spans="1:8" x14ac:dyDescent="0.25">
      <c r="E887" t="str">
        <f>""</f>
        <v/>
      </c>
      <c r="F887" t="str">
        <f>""</f>
        <v/>
      </c>
      <c r="H887" t="str">
        <f t="shared" si="12"/>
        <v>3RD QTR 2020 WRKRS COMP/#0110</v>
      </c>
    </row>
    <row r="888" spans="1:8" x14ac:dyDescent="0.25">
      <c r="E888" t="str">
        <f>""</f>
        <v/>
      </c>
      <c r="F888" t="str">
        <f>""</f>
        <v/>
      </c>
      <c r="H888" t="str">
        <f t="shared" si="12"/>
        <v>3RD QTR 2020 WRKRS COMP/#0110</v>
      </c>
    </row>
    <row r="889" spans="1:8" x14ac:dyDescent="0.25">
      <c r="E889" t="str">
        <f>""</f>
        <v/>
      </c>
      <c r="F889" t="str">
        <f>""</f>
        <v/>
      </c>
      <c r="H889" t="str">
        <f t="shared" si="12"/>
        <v>3RD QTR 2020 WRKRS COMP/#0110</v>
      </c>
    </row>
    <row r="890" spans="1:8" x14ac:dyDescent="0.25">
      <c r="E890" t="str">
        <f>""</f>
        <v/>
      </c>
      <c r="F890" t="str">
        <f>""</f>
        <v/>
      </c>
      <c r="H890" t="str">
        <f t="shared" si="12"/>
        <v>3RD QTR 2020 WRKRS COMP/#0110</v>
      </c>
    </row>
    <row r="891" spans="1:8" x14ac:dyDescent="0.25">
      <c r="E891" t="str">
        <f>""</f>
        <v/>
      </c>
      <c r="F891" t="str">
        <f>""</f>
        <v/>
      </c>
      <c r="H891" t="str">
        <f t="shared" si="12"/>
        <v>3RD QTR 2020 WRKRS COMP/#0110</v>
      </c>
    </row>
    <row r="892" spans="1:8" x14ac:dyDescent="0.25">
      <c r="E892" t="str">
        <f>""</f>
        <v/>
      </c>
      <c r="F892" t="str">
        <f>""</f>
        <v/>
      </c>
      <c r="H892" t="str">
        <f t="shared" si="12"/>
        <v>3RD QTR 2020 WRKRS COMP/#0110</v>
      </c>
    </row>
    <row r="893" spans="1:8" x14ac:dyDescent="0.25">
      <c r="E893" t="str">
        <f>""</f>
        <v/>
      </c>
      <c r="F893" t="str">
        <f>""</f>
        <v/>
      </c>
      <c r="H893" t="str">
        <f t="shared" si="12"/>
        <v>3RD QTR 2020 WRKRS COMP/#0110</v>
      </c>
    </row>
    <row r="894" spans="1:8" x14ac:dyDescent="0.25">
      <c r="E894" t="str">
        <f>""</f>
        <v/>
      </c>
      <c r="F894" t="str">
        <f>""</f>
        <v/>
      </c>
      <c r="H894" t="str">
        <f t="shared" si="12"/>
        <v>3RD QTR 2020 WRKRS COMP/#0110</v>
      </c>
    </row>
    <row r="895" spans="1:8" x14ac:dyDescent="0.25">
      <c r="A895" t="s">
        <v>270</v>
      </c>
      <c r="B895">
        <v>132264</v>
      </c>
      <c r="C895" s="5">
        <v>3240</v>
      </c>
      <c r="D895" s="1">
        <v>44004</v>
      </c>
      <c r="E895" t="str">
        <f>"202006167327"</f>
        <v>202006167327</v>
      </c>
      <c r="F895" t="str">
        <f>"ACCT#0620010"</f>
        <v>ACCT#0620010</v>
      </c>
      <c r="G895" s="5">
        <v>3240</v>
      </c>
      <c r="H895" t="str">
        <f>"ACCT#0620010"</f>
        <v>ACCT#0620010</v>
      </c>
    </row>
    <row r="896" spans="1:8" x14ac:dyDescent="0.25">
      <c r="A896" t="s">
        <v>271</v>
      </c>
      <c r="B896">
        <v>132112</v>
      </c>
      <c r="C896" s="5">
        <v>155</v>
      </c>
      <c r="D896" s="1">
        <v>43990</v>
      </c>
      <c r="E896" t="str">
        <f>"5417033"</f>
        <v>5417033</v>
      </c>
      <c r="F896" t="str">
        <f>"CUST#1-238865/TAHITIAN VILLAGE"</f>
        <v>CUST#1-238865/TAHITIAN VILLAGE</v>
      </c>
      <c r="G896" s="5">
        <v>155</v>
      </c>
      <c r="H896" t="str">
        <f>"CUST#1-238865/TAHITIAN VILLAGE"</f>
        <v>CUST#1-238865/TAHITIAN VILLAGE</v>
      </c>
    </row>
    <row r="897" spans="1:8" x14ac:dyDescent="0.25">
      <c r="A897" t="s">
        <v>272</v>
      </c>
      <c r="B897">
        <v>132113</v>
      </c>
      <c r="C897" s="5">
        <v>450</v>
      </c>
      <c r="D897" s="1">
        <v>43990</v>
      </c>
      <c r="E897" t="str">
        <f>"13224"</f>
        <v>13224</v>
      </c>
      <c r="F897" t="str">
        <f>"GOVERNMENT 50K TO 100K POP"</f>
        <v>GOVERNMENT 50K TO 100K POP</v>
      </c>
      <c r="G897" s="5">
        <v>450</v>
      </c>
      <c r="H897" t="str">
        <f>"GOVERNMENT 50K TO 100K POP"</f>
        <v>GOVERNMENT 50K TO 100K POP</v>
      </c>
    </row>
    <row r="898" spans="1:8" x14ac:dyDescent="0.25">
      <c r="A898" t="s">
        <v>273</v>
      </c>
      <c r="B898">
        <v>132114</v>
      </c>
      <c r="C898" s="5">
        <v>2393.0500000000002</v>
      </c>
      <c r="D898" s="1">
        <v>43990</v>
      </c>
      <c r="E898" t="str">
        <f>"200872741"</f>
        <v>200872741</v>
      </c>
      <c r="F898" t="str">
        <f>"CUST#255120/PCT#2"</f>
        <v>CUST#255120/PCT#2</v>
      </c>
      <c r="G898" s="5">
        <v>2393.0500000000002</v>
      </c>
      <c r="H898" t="str">
        <f>"CUST#255120/PCT#2"</f>
        <v>CUST#255120/PCT#2</v>
      </c>
    </row>
    <row r="899" spans="1:8" x14ac:dyDescent="0.25">
      <c r="A899" t="s">
        <v>274</v>
      </c>
      <c r="B899">
        <v>132265</v>
      </c>
      <c r="C899" s="5">
        <v>1537.55</v>
      </c>
      <c r="D899" s="1">
        <v>44004</v>
      </c>
      <c r="E899" t="str">
        <f>"J2-65899"</f>
        <v>J2-65899</v>
      </c>
      <c r="F899" t="str">
        <f>"A8286586 - MELINDA L. ALISON"</f>
        <v>A8286586 - MELINDA L. ALISON</v>
      </c>
      <c r="G899" s="5">
        <v>368.05</v>
      </c>
      <c r="H899" t="str">
        <f>"A8286586 - MELINDA L. ALISON"</f>
        <v>A8286586 - MELINDA L. ALISON</v>
      </c>
    </row>
    <row r="900" spans="1:8" x14ac:dyDescent="0.25">
      <c r="E900" t="str">
        <f>"J2-65905"</f>
        <v>J2-65905</v>
      </c>
      <c r="F900" t="str">
        <f>"A8286587 - MITCH G. ALISON"</f>
        <v>A8286587 - MITCH G. ALISON</v>
      </c>
      <c r="G900" s="5">
        <v>425</v>
      </c>
      <c r="H900" t="str">
        <f>"A8286587 - MITCH G. ALISON"</f>
        <v>A8286587 - MITCH G. ALISON</v>
      </c>
    </row>
    <row r="901" spans="1:8" x14ac:dyDescent="0.25">
      <c r="E901" t="str">
        <f>"J2-67567"</f>
        <v>J2-67567</v>
      </c>
      <c r="F901" t="str">
        <f>"A8303709 - REGINA A MEADOR"</f>
        <v>A8303709 - REGINA A MEADOR</v>
      </c>
      <c r="G901" s="5">
        <v>114.75</v>
      </c>
      <c r="H901" t="str">
        <f>"A8303709 - REGINA A MEADOR"</f>
        <v>A8303709 - REGINA A MEADOR</v>
      </c>
    </row>
    <row r="902" spans="1:8" x14ac:dyDescent="0.25">
      <c r="E902" t="str">
        <f>"J2-67719"</f>
        <v>J2-67719</v>
      </c>
      <c r="F902" t="str">
        <f>"A8286631 - JOE S. BRADY"</f>
        <v>A8286631 - JOE S. BRADY</v>
      </c>
      <c r="G902" s="5">
        <v>114.75</v>
      </c>
      <c r="H902" t="str">
        <f>"A8286631 - JOE S. BRADY"</f>
        <v>A8286631 - JOE S. BRADY</v>
      </c>
    </row>
    <row r="903" spans="1:8" x14ac:dyDescent="0.25">
      <c r="E903" t="str">
        <f>"J2-67962"</f>
        <v>J2-67962</v>
      </c>
      <c r="F903" t="str">
        <f>"A8286511 - MATTHEW MCCALL"</f>
        <v>A8286511 - MATTHEW MCCALL</v>
      </c>
      <c r="G903" s="5">
        <v>114.75</v>
      </c>
      <c r="H903" t="str">
        <f>"A8286511 - MATTHEW MCCALL"</f>
        <v>A8286511 - MATTHEW MCCALL</v>
      </c>
    </row>
    <row r="904" spans="1:8" x14ac:dyDescent="0.25">
      <c r="E904" t="str">
        <f>"J2-68062"</f>
        <v>J2-68062</v>
      </c>
      <c r="F904" t="str">
        <f>"A-16285 - A.R. MCQUISTAN"</f>
        <v>A-16285 - A.R. MCQUISTAN</v>
      </c>
      <c r="G904" s="5">
        <v>81</v>
      </c>
      <c r="H904" t="str">
        <f>"A-16285 - A.R. MCQUISTAN"</f>
        <v>A-16285 - A.R. MCQUISTAN</v>
      </c>
    </row>
    <row r="905" spans="1:8" x14ac:dyDescent="0.25">
      <c r="E905" t="str">
        <f>"J2-68124"</f>
        <v>J2-68124</v>
      </c>
      <c r="F905" t="str">
        <f>"A-12619 - M.M. SHERMAN"</f>
        <v>A-12619 - M.M. SHERMAN</v>
      </c>
      <c r="G905" s="5">
        <v>81</v>
      </c>
      <c r="H905" t="str">
        <f>"A-12619 - M.M. SHERMAN"</f>
        <v>A-12619 - M.M. SHERMAN</v>
      </c>
    </row>
    <row r="906" spans="1:8" x14ac:dyDescent="0.25">
      <c r="E906" t="str">
        <f>"J2-68125"</f>
        <v>J2-68125</v>
      </c>
      <c r="F906" t="str">
        <f>"A-12620 - G.J. BOWER"</f>
        <v>A-12620 - G.J. BOWER</v>
      </c>
      <c r="G906" s="5">
        <v>81</v>
      </c>
      <c r="H906" t="str">
        <f>"A-12620 - G.J. BOWER"</f>
        <v>A-12620 - G.J. BOWER</v>
      </c>
    </row>
    <row r="907" spans="1:8" x14ac:dyDescent="0.25">
      <c r="E907" t="str">
        <f>"J2-68142"</f>
        <v>J2-68142</v>
      </c>
      <c r="F907" t="str">
        <f>"A8286541 - LUKE M BALSAM"</f>
        <v>A8286541 - LUKE M BALSAM</v>
      </c>
      <c r="G907" s="5">
        <v>157.25</v>
      </c>
      <c r="H907" t="str">
        <f>"A8286541 - LUKE M BALSAM"</f>
        <v>A8286541 - LUKE M BALSAM</v>
      </c>
    </row>
    <row r="908" spans="1:8" x14ac:dyDescent="0.25">
      <c r="A908" t="s">
        <v>275</v>
      </c>
      <c r="B908">
        <v>132266</v>
      </c>
      <c r="C908" s="5">
        <v>465</v>
      </c>
      <c r="D908" s="1">
        <v>44004</v>
      </c>
      <c r="E908" t="str">
        <f>"20-06-25670"</f>
        <v>20-06-25670</v>
      </c>
      <c r="F908" t="str">
        <f>"INV 20-06-25670"</f>
        <v>INV 20-06-25670</v>
      </c>
      <c r="G908" s="5">
        <v>465</v>
      </c>
      <c r="H908" t="str">
        <f>"INV 20-06-25670"</f>
        <v>INV 20-06-25670</v>
      </c>
    </row>
    <row r="909" spans="1:8" x14ac:dyDescent="0.25">
      <c r="A909" t="s">
        <v>276</v>
      </c>
      <c r="B909">
        <v>132131</v>
      </c>
      <c r="C909" s="5">
        <v>5043.6499999999996</v>
      </c>
      <c r="D909" s="1">
        <v>43990</v>
      </c>
      <c r="E909" t="str">
        <f>"9-4034"</f>
        <v>9-4034</v>
      </c>
      <c r="F909" t="str">
        <f>"O'GRADY / TASK #2 / PCT #2"</f>
        <v>O'GRADY / TASK #2 / PCT #2</v>
      </c>
      <c r="G909" s="5">
        <v>5043.6499999999996</v>
      </c>
      <c r="H909" t="str">
        <f>"O'GRADY / TASK #2 / PCT #2"</f>
        <v>O'GRADY / TASK #2 / PCT #2</v>
      </c>
    </row>
    <row r="910" spans="1:8" x14ac:dyDescent="0.25">
      <c r="A910" t="s">
        <v>276</v>
      </c>
      <c r="B910">
        <v>132137</v>
      </c>
      <c r="C910" s="5">
        <v>520.05999999999995</v>
      </c>
      <c r="D910" s="1">
        <v>43993</v>
      </c>
      <c r="E910" t="str">
        <f>"9-4049"</f>
        <v>9-4049</v>
      </c>
      <c r="F910" t="str">
        <f>"BOWIE / TASK #3 / PCT #2"</f>
        <v>BOWIE / TASK #3 / PCT #2</v>
      </c>
      <c r="G910" s="5">
        <v>520.05999999999995</v>
      </c>
      <c r="H910" t="str">
        <f>"BOWIE / TASK #3 / PCT #2"</f>
        <v>BOWIE / TASK #3 / PCT #2</v>
      </c>
    </row>
    <row r="911" spans="1:8" x14ac:dyDescent="0.25">
      <c r="A911" t="s">
        <v>277</v>
      </c>
      <c r="B911">
        <v>2750</v>
      </c>
      <c r="C911" s="5">
        <v>197.15</v>
      </c>
      <c r="D911" s="1">
        <v>44005</v>
      </c>
      <c r="E911" t="str">
        <f>"202006167354"</f>
        <v>202006167354</v>
      </c>
      <c r="F911" t="str">
        <f>"INDIGENT HEALTH"</f>
        <v>INDIGENT HEALTH</v>
      </c>
      <c r="G911" s="5">
        <v>197.15</v>
      </c>
      <c r="H911" t="str">
        <f>"INDIGENT HEALTH"</f>
        <v>INDIGENT HEALTH</v>
      </c>
    </row>
    <row r="912" spans="1:8" x14ac:dyDescent="0.25">
      <c r="A912" t="s">
        <v>278</v>
      </c>
      <c r="B912">
        <v>132115</v>
      </c>
      <c r="C912" s="5">
        <v>1770.65</v>
      </c>
      <c r="D912" s="1">
        <v>43990</v>
      </c>
      <c r="E912" t="str">
        <f>"159521"</f>
        <v>159521</v>
      </c>
      <c r="F912" t="str">
        <f>"ACCT#188757/RD&amp;BRIDGE/SIGN SHP"</f>
        <v>ACCT#188757/RD&amp;BRIDGE/SIGN SHP</v>
      </c>
      <c r="G912" s="5">
        <v>95</v>
      </c>
      <c r="H912" t="str">
        <f>"ACCT#188757/RD&amp;BRIDGE/SIGN SHP"</f>
        <v>ACCT#188757/RD&amp;BRIDGE/SIGN SHP</v>
      </c>
    </row>
    <row r="913" spans="1:8" x14ac:dyDescent="0.25">
      <c r="E913" t="str">
        <f>"159727"</f>
        <v>159727</v>
      </c>
      <c r="F913" t="str">
        <f>"ACCT#188757/MIKE FISHER BLDG"</f>
        <v>ACCT#188757/MIKE FISHER BLDG</v>
      </c>
      <c r="G913" s="5">
        <v>112</v>
      </c>
      <c r="H913" t="str">
        <f>"ACCT#188757/MIKE FISHER BLDG"</f>
        <v>ACCT#188757/MIKE FISHER BLDG</v>
      </c>
    </row>
    <row r="914" spans="1:8" x14ac:dyDescent="0.25">
      <c r="E914" t="str">
        <f>"160356"</f>
        <v>160356</v>
      </c>
      <c r="F914" t="str">
        <f>"ACCT#188757/AT RISK JUVENILE B"</f>
        <v>ACCT#188757/AT RISK JUVENILE B</v>
      </c>
      <c r="G914" s="5">
        <v>454.65</v>
      </c>
      <c r="H914" t="str">
        <f>"ACCT#188757/AT RISK JUVENILE B"</f>
        <v>ACCT#188757/AT RISK JUVENILE B</v>
      </c>
    </row>
    <row r="915" spans="1:8" x14ac:dyDescent="0.25">
      <c r="E915" t="str">
        <f>"160614"</f>
        <v>160614</v>
      </c>
      <c r="F915" t="str">
        <f>"ACCT#188757/PCT#4 RD &amp; BRIDGE"</f>
        <v>ACCT#188757/PCT#4 RD &amp; BRIDGE</v>
      </c>
      <c r="G915" s="5">
        <v>95.5</v>
      </c>
      <c r="H915" t="str">
        <f>"ACCT#188757/PCT#4 RD &amp; BRIDGE"</f>
        <v>ACCT#188757/PCT#4 RD &amp; BRIDGE</v>
      </c>
    </row>
    <row r="916" spans="1:8" x14ac:dyDescent="0.25">
      <c r="E916" t="str">
        <f>"160624"</f>
        <v>160624</v>
      </c>
      <c r="F916" t="str">
        <f>"ACCT#188757/LBJ BLDG/HLTH DPT"</f>
        <v>ACCT#188757/LBJ BLDG/HLTH DPT</v>
      </c>
      <c r="G916" s="5">
        <v>69</v>
      </c>
      <c r="H916" t="str">
        <f>"ACCT#188757/LBJ BLDG/HLTH DPT"</f>
        <v>ACCT#188757/LBJ BLDG/HLTH DPT</v>
      </c>
    </row>
    <row r="917" spans="1:8" x14ac:dyDescent="0.25">
      <c r="E917" t="str">
        <f>"160644"</f>
        <v>160644</v>
      </c>
      <c r="F917" t="str">
        <f>"ACCT#188757/TAX OFFICE"</f>
        <v>ACCT#188757/TAX OFFICE</v>
      </c>
      <c r="G917" s="5">
        <v>102</v>
      </c>
      <c r="H917" t="str">
        <f>"ACCT#188757/TAX OFFICE"</f>
        <v>ACCT#188757/TAX OFFICE</v>
      </c>
    </row>
    <row r="918" spans="1:8" x14ac:dyDescent="0.25">
      <c r="E918" t="str">
        <f>"160696"</f>
        <v>160696</v>
      </c>
      <c r="F918" t="str">
        <f>"ACCT#188757/JUVENILE PROBATION"</f>
        <v>ACCT#188757/JUVENILE PROBATION</v>
      </c>
      <c r="G918" s="5">
        <v>132</v>
      </c>
      <c r="H918" t="str">
        <f>"ACCT#188757/JUVENILE PROBATION"</f>
        <v>ACCT#188757/JUVENILE PROBATION</v>
      </c>
    </row>
    <row r="919" spans="1:8" x14ac:dyDescent="0.25">
      <c r="E919" t="str">
        <f>"160703"</f>
        <v>160703</v>
      </c>
      <c r="F919" t="str">
        <f>"ACCT#188757/COURTHOUSE MAIN AN"</f>
        <v>ACCT#188757/COURTHOUSE MAIN AN</v>
      </c>
      <c r="G919" s="5">
        <v>137</v>
      </c>
      <c r="H919" t="str">
        <f>"ACCT#188757/COURTHOUSE MAIN AN"</f>
        <v>ACCT#188757/COURTHOUSE MAIN AN</v>
      </c>
    </row>
    <row r="920" spans="1:8" x14ac:dyDescent="0.25">
      <c r="E920" t="str">
        <f>"160704"</f>
        <v>160704</v>
      </c>
      <c r="F920" t="str">
        <f>"ACCT#188757/HISTORIC JAIL"</f>
        <v>ACCT#188757/HISTORIC JAIL</v>
      </c>
      <c r="G920" s="5">
        <v>76</v>
      </c>
      <c r="H920" t="str">
        <f>"ACCT#188757/HISTORIC JAIL"</f>
        <v>ACCT#188757/HISTORIC JAIL</v>
      </c>
    </row>
    <row r="921" spans="1:8" x14ac:dyDescent="0.25">
      <c r="E921" t="str">
        <f>"160711"</f>
        <v>160711</v>
      </c>
      <c r="F921" t="str">
        <f>"ACCT#188757/EXT HABITAT OFFICE"</f>
        <v>ACCT#188757/EXT HABITAT OFFICE</v>
      </c>
      <c r="G921" s="5">
        <v>89</v>
      </c>
      <c r="H921" t="str">
        <f>"ACCT#188757/EXT HABITAT OFFICE"</f>
        <v>ACCT#188757/EXT HABITAT OFFICE</v>
      </c>
    </row>
    <row r="922" spans="1:8" x14ac:dyDescent="0.25">
      <c r="E922" t="str">
        <f>"161207"</f>
        <v>161207</v>
      </c>
      <c r="F922" t="str">
        <f>"ACCT#188757/ANIMAL SHELTER"</f>
        <v>ACCT#188757/ANIMAL SHELTER</v>
      </c>
      <c r="G922" s="5">
        <v>290</v>
      </c>
      <c r="H922" t="str">
        <f>"ACCT#188757/ANIMAL SHELTER"</f>
        <v>ACCT#188757/ANIMAL SHELTER</v>
      </c>
    </row>
    <row r="923" spans="1:8" x14ac:dyDescent="0.25">
      <c r="E923" t="str">
        <f>"161215"</f>
        <v>161215</v>
      </c>
      <c r="F923" t="str">
        <f>"ACCT#188757/COM CT JUVE BOOT C"</f>
        <v>ACCT#188757/COM CT JUVE BOOT C</v>
      </c>
      <c r="G923" s="5">
        <v>118.5</v>
      </c>
      <c r="H923" t="str">
        <f>"ACCT#188757/COM CT JUVE BOOT C"</f>
        <v>ACCT#188757/COM CT JUVE BOOT C</v>
      </c>
    </row>
    <row r="924" spans="1:8" x14ac:dyDescent="0.25">
      <c r="A924" t="s">
        <v>278</v>
      </c>
      <c r="B924">
        <v>132267</v>
      </c>
      <c r="C924" s="5">
        <v>696</v>
      </c>
      <c r="D924" s="1">
        <v>44004</v>
      </c>
      <c r="E924" t="str">
        <f>"162582"</f>
        <v>162582</v>
      </c>
      <c r="F924" t="str">
        <f>"ACCT#188757/CEDAR CREEK PARK"</f>
        <v>ACCT#188757/CEDAR CREEK PARK</v>
      </c>
      <c r="G924" s="5">
        <v>125</v>
      </c>
      <c r="H924" t="str">
        <f>"ACCT#188757/CEDAR CREEK PARK"</f>
        <v>ACCT#188757/CEDAR CREEK PARK</v>
      </c>
    </row>
    <row r="925" spans="1:8" x14ac:dyDescent="0.25">
      <c r="E925" t="str">
        <f>"163193"</f>
        <v>163193</v>
      </c>
      <c r="F925" t="str">
        <f>"ACCT#188757/DPS/TDL"</f>
        <v>ACCT#188757/DPS/TDL</v>
      </c>
      <c r="G925" s="5">
        <v>76</v>
      </c>
      <c r="H925" t="str">
        <f>"ACCT#188757/DPS/TDL"</f>
        <v>ACCT#188757/DPS/TDL</v>
      </c>
    </row>
    <row r="926" spans="1:8" x14ac:dyDescent="0.25">
      <c r="E926" t="str">
        <f>"163329"</f>
        <v>163329</v>
      </c>
      <c r="F926" t="str">
        <f>"ACCT#188757/LOST PINES PARK"</f>
        <v>ACCT#188757/LOST PINES PARK</v>
      </c>
      <c r="G926" s="5">
        <v>75</v>
      </c>
      <c r="H926" t="str">
        <f>"ACCT#188757/LOST PINES PARK"</f>
        <v>ACCT#188757/LOST PINES PARK</v>
      </c>
    </row>
    <row r="927" spans="1:8" x14ac:dyDescent="0.25">
      <c r="E927" t="str">
        <f>"163864"</f>
        <v>163864</v>
      </c>
      <c r="F927" t="str">
        <f>"ACCT#188757/EXT HABITAT OFFICE"</f>
        <v>ACCT#188757/EXT HABITAT OFFICE</v>
      </c>
      <c r="G927" s="5">
        <v>420</v>
      </c>
      <c r="H927" t="str">
        <f>"ACCT#188757/EXT HABITAT OFFICE"</f>
        <v>ACCT#188757/EXT HABITAT OFFICE</v>
      </c>
    </row>
    <row r="928" spans="1:8" x14ac:dyDescent="0.25">
      <c r="A928" t="s">
        <v>279</v>
      </c>
      <c r="B928">
        <v>2735</v>
      </c>
      <c r="C928" s="5">
        <v>500</v>
      </c>
      <c r="D928" s="1">
        <v>44005</v>
      </c>
      <c r="E928" t="str">
        <f>"202006107253"</f>
        <v>202006107253</v>
      </c>
      <c r="F928" t="str">
        <f>"51 744"</f>
        <v>51 744</v>
      </c>
      <c r="G928" s="5">
        <v>250</v>
      </c>
      <c r="H928" t="str">
        <f>"51 744"</f>
        <v>51 744</v>
      </c>
    </row>
    <row r="929" spans="1:8" x14ac:dyDescent="0.25">
      <c r="E929" t="str">
        <f>"202006107254"</f>
        <v>202006107254</v>
      </c>
      <c r="F929" t="str">
        <f>"BC20191224B"</f>
        <v>BC20191224B</v>
      </c>
      <c r="G929" s="5">
        <v>250</v>
      </c>
      <c r="H929" t="str">
        <f>"BC20191224B"</f>
        <v>BC20191224B</v>
      </c>
    </row>
    <row r="930" spans="1:8" x14ac:dyDescent="0.25">
      <c r="A930" t="s">
        <v>280</v>
      </c>
      <c r="B930">
        <v>2673</v>
      </c>
      <c r="C930" s="5">
        <v>575</v>
      </c>
      <c r="D930" s="1">
        <v>43991</v>
      </c>
      <c r="E930" t="str">
        <f>"202005287017"</f>
        <v>202005287017</v>
      </c>
      <c r="F930" t="str">
        <f>"1519-21"</f>
        <v>1519-21</v>
      </c>
      <c r="G930" s="5">
        <v>100</v>
      </c>
      <c r="H930" t="str">
        <f>"1519-21"</f>
        <v>1519-21</v>
      </c>
    </row>
    <row r="931" spans="1:8" x14ac:dyDescent="0.25">
      <c r="E931" t="str">
        <f>"202005287018"</f>
        <v>202005287018</v>
      </c>
      <c r="F931" t="str">
        <f>"1524-335"</f>
        <v>1524-335</v>
      </c>
      <c r="G931" s="5">
        <v>100</v>
      </c>
      <c r="H931" t="str">
        <f>"1524-335"</f>
        <v>1524-335</v>
      </c>
    </row>
    <row r="932" spans="1:8" x14ac:dyDescent="0.25">
      <c r="E932" t="str">
        <f>"202006027079"</f>
        <v>202006027079</v>
      </c>
      <c r="F932" t="str">
        <f>"57 177  57 178"</f>
        <v>57 177  57 178</v>
      </c>
      <c r="G932" s="5">
        <v>375</v>
      </c>
      <c r="H932" t="str">
        <f>"57 177  57 178"</f>
        <v>57 177  57 178</v>
      </c>
    </row>
    <row r="933" spans="1:8" x14ac:dyDescent="0.25">
      <c r="A933" t="s">
        <v>280</v>
      </c>
      <c r="B933">
        <v>2728</v>
      </c>
      <c r="C933" s="5">
        <v>1400</v>
      </c>
      <c r="D933" s="1">
        <v>44005</v>
      </c>
      <c r="E933" t="str">
        <f>"202006107258"</f>
        <v>202006107258</v>
      </c>
      <c r="F933" t="str">
        <f>"JP104042020-A"</f>
        <v>JP104042020-A</v>
      </c>
      <c r="G933" s="5">
        <v>250</v>
      </c>
      <c r="H933" t="str">
        <f>"JP104042020-A"</f>
        <v>JP104042020-A</v>
      </c>
    </row>
    <row r="934" spans="1:8" x14ac:dyDescent="0.25">
      <c r="E934" t="str">
        <f>"202006107259"</f>
        <v>202006107259</v>
      </c>
      <c r="F934" t="str">
        <f>"19-19711"</f>
        <v>19-19711</v>
      </c>
      <c r="G934" s="5">
        <v>150</v>
      </c>
      <c r="H934" t="str">
        <f>"19-19711"</f>
        <v>19-19711</v>
      </c>
    </row>
    <row r="935" spans="1:8" x14ac:dyDescent="0.25">
      <c r="E935" t="str">
        <f>"202006107278"</f>
        <v>202006107278</v>
      </c>
      <c r="F935" t="str">
        <f>"16.755"</f>
        <v>16.755</v>
      </c>
      <c r="G935" s="5">
        <v>1000</v>
      </c>
      <c r="H935" t="str">
        <f>"16.755"</f>
        <v>16.755</v>
      </c>
    </row>
    <row r="936" spans="1:8" x14ac:dyDescent="0.25">
      <c r="A936" t="s">
        <v>281</v>
      </c>
      <c r="B936">
        <v>132116</v>
      </c>
      <c r="C936" s="5">
        <v>366.89</v>
      </c>
      <c r="D936" s="1">
        <v>43990</v>
      </c>
      <c r="E936" t="str">
        <f>"33174903"</f>
        <v>33174903</v>
      </c>
      <c r="F936" t="str">
        <f>"INV 33174903"</f>
        <v>INV 33174903</v>
      </c>
      <c r="G936" s="5">
        <v>366.89</v>
      </c>
      <c r="H936" t="str">
        <f>"INV 33174903"</f>
        <v>INV 33174903</v>
      </c>
    </row>
    <row r="937" spans="1:8" x14ac:dyDescent="0.25">
      <c r="A937" t="s">
        <v>282</v>
      </c>
      <c r="B937">
        <v>132268</v>
      </c>
      <c r="C937" s="5">
        <v>150</v>
      </c>
      <c r="D937" s="1">
        <v>44004</v>
      </c>
      <c r="E937" t="str">
        <f>"202006097223"</f>
        <v>202006097223</v>
      </c>
      <c r="F937" t="str">
        <f>"REIMBURSE - INTERNET OVERAGE"</f>
        <v>REIMBURSE - INTERNET OVERAGE</v>
      </c>
      <c r="G937" s="5">
        <v>150</v>
      </c>
      <c r="H937" t="str">
        <f>"REIMBURSE - INTERNET OVERAGE"</f>
        <v>REIMBURSE - INTERNET OVERAGE</v>
      </c>
    </row>
    <row r="938" spans="1:8" x14ac:dyDescent="0.25">
      <c r="A938" t="s">
        <v>283</v>
      </c>
      <c r="B938">
        <v>132269</v>
      </c>
      <c r="C938" s="5">
        <v>1524</v>
      </c>
      <c r="D938" s="1">
        <v>44004</v>
      </c>
      <c r="E938" t="str">
        <f>"842395087"</f>
        <v>842395087</v>
      </c>
      <c r="F938" t="str">
        <f>"ACCT#1000648597/WEST INFO CHRG"</f>
        <v>ACCT#1000648597/WEST INFO CHRG</v>
      </c>
      <c r="G938" s="5">
        <v>572</v>
      </c>
      <c r="H938" t="str">
        <f>"ACCT#1000648597/WEST INFO CHRG"</f>
        <v>ACCT#1000648597/WEST INFO CHRG</v>
      </c>
    </row>
    <row r="939" spans="1:8" x14ac:dyDescent="0.25">
      <c r="E939" t="str">
        <f>"842406259"</f>
        <v>842406259</v>
      </c>
      <c r="F939" t="str">
        <f>"ACCT#1000310962/WEST INFO CHRG"</f>
        <v>ACCT#1000310962/WEST INFO CHRG</v>
      </c>
      <c r="G939" s="5">
        <v>952</v>
      </c>
      <c r="H939" t="str">
        <f>"ACCT#1000310962/WEST INFO CHRG"</f>
        <v>ACCT#1000310962/WEST INFO CHRG</v>
      </c>
    </row>
    <row r="940" spans="1:8" x14ac:dyDescent="0.25">
      <c r="A940" t="s">
        <v>284</v>
      </c>
      <c r="B940">
        <v>132117</v>
      </c>
      <c r="C940" s="5">
        <v>1778</v>
      </c>
      <c r="D940" s="1">
        <v>43990</v>
      </c>
      <c r="E940" t="str">
        <f>"202006017036"</f>
        <v>202006017036</v>
      </c>
      <c r="F940" t="str">
        <f>"423-6426"</f>
        <v>423-6426</v>
      </c>
      <c r="G940" s="5">
        <v>764</v>
      </c>
      <c r="H940" t="str">
        <f>"423-6426"</f>
        <v>423-6426</v>
      </c>
    </row>
    <row r="941" spans="1:8" x14ac:dyDescent="0.25">
      <c r="E941" t="str">
        <f>"202006017045"</f>
        <v>202006017045</v>
      </c>
      <c r="F941" t="str">
        <f>"423-6426"</f>
        <v>423-6426</v>
      </c>
      <c r="G941" s="5">
        <v>1014</v>
      </c>
      <c r="H941" t="str">
        <f>"423-6426"</f>
        <v>423-6426</v>
      </c>
    </row>
    <row r="942" spans="1:8" x14ac:dyDescent="0.25">
      <c r="A942" t="s">
        <v>285</v>
      </c>
      <c r="B942">
        <v>132270</v>
      </c>
      <c r="C942" s="5">
        <v>12.77</v>
      </c>
      <c r="D942" s="1">
        <v>44004</v>
      </c>
      <c r="E942" t="str">
        <f>"20076902 200570859"</f>
        <v>20076902 200570859</v>
      </c>
      <c r="F942" t="str">
        <f>"acct# 6035301200160982"</f>
        <v>acct# 6035301200160982</v>
      </c>
      <c r="G942" s="5">
        <v>12.77</v>
      </c>
      <c r="H942" t="str">
        <f>"inv# 200076902"</f>
        <v>inv# 200076902</v>
      </c>
    </row>
    <row r="943" spans="1:8" x14ac:dyDescent="0.25">
      <c r="E943" t="str">
        <f>""</f>
        <v/>
      </c>
      <c r="F943" t="str">
        <f>""</f>
        <v/>
      </c>
      <c r="H943" t="str">
        <f>"Inv# 200570859"</f>
        <v>Inv# 200570859</v>
      </c>
    </row>
    <row r="944" spans="1:8" x14ac:dyDescent="0.25">
      <c r="A944" t="s">
        <v>286</v>
      </c>
      <c r="B944">
        <v>132271</v>
      </c>
      <c r="C944" s="5">
        <v>160</v>
      </c>
      <c r="D944" s="1">
        <v>44004</v>
      </c>
      <c r="E944" t="str">
        <f>"13409"</f>
        <v>13409</v>
      </c>
      <c r="F944" t="str">
        <f>"SERVICE"</f>
        <v>SERVICE</v>
      </c>
      <c r="G944" s="5">
        <v>80</v>
      </c>
      <c r="H944" t="str">
        <f>"SERVICE"</f>
        <v>SERVICE</v>
      </c>
    </row>
    <row r="945" spans="1:8" x14ac:dyDescent="0.25">
      <c r="E945" t="str">
        <f>"13415"</f>
        <v>13415</v>
      </c>
      <c r="F945" t="str">
        <f>"SERVICE"</f>
        <v>SERVICE</v>
      </c>
      <c r="G945" s="5">
        <v>80</v>
      </c>
      <c r="H945" t="str">
        <f>"SERVICE"</f>
        <v>SERVICE</v>
      </c>
    </row>
    <row r="946" spans="1:8" x14ac:dyDescent="0.25">
      <c r="A946" t="s">
        <v>287</v>
      </c>
      <c r="B946">
        <v>132118</v>
      </c>
      <c r="C946" s="5">
        <v>20300</v>
      </c>
      <c r="D946" s="1">
        <v>43990</v>
      </c>
      <c r="E946" t="str">
        <f>"3300003407"</f>
        <v>3300003407</v>
      </c>
      <c r="F946" t="str">
        <f>"CUST#100733/INV#3300003407"</f>
        <v>CUST#100733/INV#3300003407</v>
      </c>
      <c r="G946" s="5">
        <v>11600</v>
      </c>
      <c r="H946" t="str">
        <f>"CUST#100733/INV#3300003407"</f>
        <v>CUST#100733/INV#3300003407</v>
      </c>
    </row>
    <row r="947" spans="1:8" x14ac:dyDescent="0.25">
      <c r="E947" t="str">
        <f>"3300003409"</f>
        <v>3300003409</v>
      </c>
      <c r="F947" t="str">
        <f>"CUST#100011/INV#3300003409"</f>
        <v>CUST#100011/INV#3300003409</v>
      </c>
      <c r="G947" s="5">
        <v>8700</v>
      </c>
      <c r="H947" t="str">
        <f>"CUST#100011/INV#3300003409"</f>
        <v>CUST#100011/INV#3300003409</v>
      </c>
    </row>
    <row r="948" spans="1:8" x14ac:dyDescent="0.25">
      <c r="A948" t="s">
        <v>288</v>
      </c>
      <c r="B948">
        <v>2675</v>
      </c>
      <c r="C948" s="5">
        <v>841.66</v>
      </c>
      <c r="D948" s="1">
        <v>43991</v>
      </c>
      <c r="E948" t="str">
        <f>"811027"</f>
        <v>811027</v>
      </c>
      <c r="F948" t="str">
        <f>"INV 811027 / UNIT 8382"</f>
        <v>INV 811027 / UNIT 8382</v>
      </c>
      <c r="G948" s="5">
        <v>568.44000000000005</v>
      </c>
      <c r="H948" t="str">
        <f>"INV 811027 / UNIT 8382"</f>
        <v>INV 811027 / UNIT 8382</v>
      </c>
    </row>
    <row r="949" spans="1:8" x14ac:dyDescent="0.25">
      <c r="E949" t="str">
        <f>"812286"</f>
        <v>812286</v>
      </c>
      <c r="F949" t="str">
        <f>"INV 812286 / UNIT 124"</f>
        <v>INV 812286 / UNIT 124</v>
      </c>
      <c r="G949" s="5">
        <v>273.22000000000003</v>
      </c>
      <c r="H949" t="str">
        <f>"INV 812286 / UNIT 124"</f>
        <v>INV 812286 / UNIT 124</v>
      </c>
    </row>
    <row r="950" spans="1:8" x14ac:dyDescent="0.25">
      <c r="A950" t="s">
        <v>289</v>
      </c>
      <c r="B950">
        <v>132272</v>
      </c>
      <c r="C950" s="5">
        <v>124.99</v>
      </c>
      <c r="D950" s="1">
        <v>44004</v>
      </c>
      <c r="E950" t="str">
        <f>"202006167349"</f>
        <v>202006167349</v>
      </c>
      <c r="F950" t="str">
        <f>"INDIGENT HEALTH"</f>
        <v>INDIGENT HEALTH</v>
      </c>
      <c r="G950" s="5">
        <v>124.99</v>
      </c>
      <c r="H950" t="str">
        <f>"INDIGENT HEALTH"</f>
        <v>INDIGENT HEALTH</v>
      </c>
    </row>
    <row r="951" spans="1:8" x14ac:dyDescent="0.25">
      <c r="E951" t="str">
        <f>""</f>
        <v/>
      </c>
      <c r="F951" t="str">
        <f>""</f>
        <v/>
      </c>
      <c r="H951" t="str">
        <f>"INDIGENT HEALTH"</f>
        <v>INDIGENT HEALTH</v>
      </c>
    </row>
    <row r="952" spans="1:8" x14ac:dyDescent="0.25">
      <c r="A952" t="s">
        <v>290</v>
      </c>
      <c r="B952">
        <v>2664</v>
      </c>
      <c r="C952" s="5">
        <v>2079.29</v>
      </c>
      <c r="D952" s="1">
        <v>43991</v>
      </c>
      <c r="E952" t="str">
        <f>"202006027101"</f>
        <v>202006027101</v>
      </c>
      <c r="F952" t="str">
        <f>"INV 255533/256435/256975/"</f>
        <v>INV 255533/256435/256975/</v>
      </c>
      <c r="G952" s="5">
        <v>2079.29</v>
      </c>
      <c r="H952" t="str">
        <f>"INV 255533"</f>
        <v>INV 255533</v>
      </c>
    </row>
    <row r="953" spans="1:8" x14ac:dyDescent="0.25">
      <c r="E953" t="str">
        <f>""</f>
        <v/>
      </c>
      <c r="F953" t="str">
        <f>""</f>
        <v/>
      </c>
      <c r="H953" t="str">
        <f>"INV 256435"</f>
        <v>INV 256435</v>
      </c>
    </row>
    <row r="954" spans="1:8" x14ac:dyDescent="0.25">
      <c r="E954" t="str">
        <f>""</f>
        <v/>
      </c>
      <c r="F954" t="str">
        <f>""</f>
        <v/>
      </c>
      <c r="H954" t="str">
        <f>"INV 256975"</f>
        <v>INV 256975</v>
      </c>
    </row>
    <row r="955" spans="1:8" x14ac:dyDescent="0.25">
      <c r="E955" t="str">
        <f>""</f>
        <v/>
      </c>
      <c r="F955" t="str">
        <f>""</f>
        <v/>
      </c>
      <c r="H955" t="str">
        <f>"INV 265014"</f>
        <v>INV 265014</v>
      </c>
    </row>
    <row r="956" spans="1:8" x14ac:dyDescent="0.25">
      <c r="A956" t="s">
        <v>291</v>
      </c>
      <c r="B956">
        <v>132273</v>
      </c>
      <c r="C956" s="5">
        <v>4700</v>
      </c>
      <c r="D956" s="1">
        <v>44004</v>
      </c>
      <c r="E956" t="str">
        <f>"000081"</f>
        <v>000081</v>
      </c>
      <c r="F956" t="str">
        <f>"FOREST LAKE/THOUSAND OAKS/P3"</f>
        <v>FOREST LAKE/THOUSAND OAKS/P3</v>
      </c>
      <c r="G956" s="5">
        <v>4700</v>
      </c>
      <c r="H956" t="str">
        <f>"FOREST LAKE/THOUSAND OAKS/P3"</f>
        <v>FOREST LAKE/THOUSAND OAKS/P3</v>
      </c>
    </row>
    <row r="957" spans="1:8" x14ac:dyDescent="0.25">
      <c r="A957" t="s">
        <v>292</v>
      </c>
      <c r="B957">
        <v>2781</v>
      </c>
      <c r="C957" s="5">
        <v>1200</v>
      </c>
      <c r="D957" s="1">
        <v>44005</v>
      </c>
      <c r="E957" t="str">
        <f>"202006097215"</f>
        <v>202006097215</v>
      </c>
      <c r="F957" t="str">
        <f>"AC-2019-0819"</f>
        <v>AC-2019-0819</v>
      </c>
      <c r="G957" s="5">
        <v>400</v>
      </c>
      <c r="H957" t="str">
        <f>"AC-2019-0819"</f>
        <v>AC-2019-0819</v>
      </c>
    </row>
    <row r="958" spans="1:8" x14ac:dyDescent="0.25">
      <c r="E958" t="str">
        <f>"202006097216"</f>
        <v>202006097216</v>
      </c>
      <c r="F958" t="str">
        <f>"DCPC-20-064"</f>
        <v>DCPC-20-064</v>
      </c>
      <c r="G958" s="5">
        <v>400</v>
      </c>
      <c r="H958" t="str">
        <f>"DCPC-20-064"</f>
        <v>DCPC-20-064</v>
      </c>
    </row>
    <row r="959" spans="1:8" x14ac:dyDescent="0.25">
      <c r="E959" t="str">
        <f>"202006097217"</f>
        <v>202006097217</v>
      </c>
      <c r="F959" t="str">
        <f>"17 010"</f>
        <v>17 010</v>
      </c>
      <c r="G959" s="5">
        <v>400</v>
      </c>
      <c r="H959" t="str">
        <f>"17 010"</f>
        <v>17 010</v>
      </c>
    </row>
    <row r="960" spans="1:8" x14ac:dyDescent="0.25">
      <c r="A960" t="s">
        <v>293</v>
      </c>
      <c r="B960">
        <v>132274</v>
      </c>
      <c r="C960" s="5">
        <v>40266.160000000003</v>
      </c>
      <c r="D960" s="1">
        <v>44004</v>
      </c>
      <c r="E960" t="str">
        <f>"020-24628"</f>
        <v>020-24628</v>
      </c>
      <c r="F960" t="str">
        <f>"CUST#42161/ORD#100683"</f>
        <v>CUST#42161/ORD#100683</v>
      </c>
      <c r="G960" s="5">
        <v>37068.25</v>
      </c>
      <c r="H960" t="str">
        <f>"CUST#42161/ORD#100683"</f>
        <v>CUST#42161/ORD#100683</v>
      </c>
    </row>
    <row r="961" spans="1:8" x14ac:dyDescent="0.25">
      <c r="E961" t="str">
        <f>"020-24629"</f>
        <v>020-24629</v>
      </c>
      <c r="F961" t="str">
        <f>"CUST#42161/ORD#100684"</f>
        <v>CUST#42161/ORD#100684</v>
      </c>
      <c r="G961" s="5">
        <v>573.67999999999995</v>
      </c>
      <c r="H961" t="str">
        <f>"CUST#42161/ORD#100684"</f>
        <v>CUST#42161/ORD#100684</v>
      </c>
    </row>
    <row r="962" spans="1:8" x14ac:dyDescent="0.25">
      <c r="E962" t="str">
        <f>"025-297341"</f>
        <v>025-297341</v>
      </c>
      <c r="F962" t="str">
        <f>"CUST#42161/ORD#126072"</f>
        <v>CUST#42161/ORD#126072</v>
      </c>
      <c r="G962" s="5">
        <v>197.51</v>
      </c>
      <c r="H962" t="str">
        <f>"CUST#42161/ORD#126072"</f>
        <v>CUST#42161/ORD#126072</v>
      </c>
    </row>
    <row r="963" spans="1:8" x14ac:dyDescent="0.25">
      <c r="E963" t="str">
        <f>"130-14533"</f>
        <v>130-14533</v>
      </c>
      <c r="F963" t="str">
        <f>"CUST#42161-14173/ORD#10494"</f>
        <v>CUST#42161-14173/ORD#10494</v>
      </c>
      <c r="G963" s="5">
        <v>2426.7199999999998</v>
      </c>
      <c r="H963" t="str">
        <f>"CUST#42161-14173/ORD#10494"</f>
        <v>CUST#42161-14173/ORD#10494</v>
      </c>
    </row>
    <row r="964" spans="1:8" x14ac:dyDescent="0.25">
      <c r="E964" t="str">
        <f>""</f>
        <v/>
      </c>
      <c r="F964" t="str">
        <f>""</f>
        <v/>
      </c>
      <c r="H964" t="str">
        <f>"CUST#42161-14173/ORD#10494"</f>
        <v>CUST#42161-14173/ORD#10494</v>
      </c>
    </row>
    <row r="965" spans="1:8" x14ac:dyDescent="0.25">
      <c r="A965" t="s">
        <v>294</v>
      </c>
      <c r="B965">
        <v>2682</v>
      </c>
      <c r="C965" s="5">
        <v>37387.5</v>
      </c>
      <c r="D965" s="1">
        <v>43991</v>
      </c>
      <c r="E965" t="str">
        <f>"202006017038"</f>
        <v>202006017038</v>
      </c>
      <c r="F965" t="str">
        <f>"15 934"</f>
        <v>15 934</v>
      </c>
      <c r="G965" s="5">
        <v>37387.5</v>
      </c>
      <c r="H965" t="str">
        <f>"15 934"</f>
        <v>15 934</v>
      </c>
    </row>
    <row r="966" spans="1:8" x14ac:dyDescent="0.25">
      <c r="A966" t="s">
        <v>295</v>
      </c>
      <c r="B966">
        <v>2667</v>
      </c>
      <c r="C966" s="5">
        <v>175.25</v>
      </c>
      <c r="D966" s="1">
        <v>43991</v>
      </c>
      <c r="E966" t="str">
        <f>"120042622"</f>
        <v>120042622</v>
      </c>
      <c r="F966" t="str">
        <f>"INV 120042622"</f>
        <v>INV 120042622</v>
      </c>
      <c r="G966" s="5">
        <v>175.25</v>
      </c>
      <c r="H966" t="str">
        <f>"INV 120042622"</f>
        <v>INV 120042622</v>
      </c>
    </row>
    <row r="967" spans="1:8" x14ac:dyDescent="0.25">
      <c r="A967" t="s">
        <v>296</v>
      </c>
      <c r="B967">
        <v>2725</v>
      </c>
      <c r="C967" s="5">
        <v>461.06</v>
      </c>
      <c r="D967" s="1">
        <v>44005</v>
      </c>
      <c r="E967" t="str">
        <f>"10981602"</f>
        <v>10981602</v>
      </c>
      <c r="F967" t="str">
        <f>"ACCT#38049/PCT#4"</f>
        <v>ACCT#38049/PCT#4</v>
      </c>
      <c r="G967" s="5">
        <v>251.91</v>
      </c>
      <c r="H967" t="str">
        <f>"ACCT#38049/PCT#4"</f>
        <v>ACCT#38049/PCT#4</v>
      </c>
    </row>
    <row r="968" spans="1:8" x14ac:dyDescent="0.25">
      <c r="E968" t="str">
        <f>"11000169"</f>
        <v>11000169</v>
      </c>
      <c r="F968" t="str">
        <f>"ACCT#38049/PCT#4"</f>
        <v>ACCT#38049/PCT#4</v>
      </c>
      <c r="G968" s="5">
        <v>209.15</v>
      </c>
      <c r="H968" t="str">
        <f>"ACCT#38049/PCT#4"</f>
        <v>ACCT#38049/PCT#4</v>
      </c>
    </row>
    <row r="969" spans="1:8" x14ac:dyDescent="0.25">
      <c r="A969" t="s">
        <v>297</v>
      </c>
      <c r="B969">
        <v>132275</v>
      </c>
      <c r="C969" s="5">
        <v>974.27</v>
      </c>
      <c r="D969" s="1">
        <v>44004</v>
      </c>
      <c r="E969" t="str">
        <f>"202006167355"</f>
        <v>202006167355</v>
      </c>
      <c r="F969" t="str">
        <f>"INDIGENT HEALTH"</f>
        <v>INDIGENT HEALTH</v>
      </c>
      <c r="G969" s="5">
        <v>974.27</v>
      </c>
      <c r="H969" t="str">
        <f>"INDIGENT HEALTH"</f>
        <v>INDIGENT HEALTH</v>
      </c>
    </row>
    <row r="970" spans="1:8" x14ac:dyDescent="0.25">
      <c r="E970" t="str">
        <f>""</f>
        <v/>
      </c>
      <c r="F970" t="str">
        <f>""</f>
        <v/>
      </c>
      <c r="H970" t="str">
        <f>"INDIGENT HEALTH"</f>
        <v>INDIGENT HEALTH</v>
      </c>
    </row>
    <row r="971" spans="1:8" x14ac:dyDescent="0.25">
      <c r="A971" t="s">
        <v>298</v>
      </c>
      <c r="B971">
        <v>132119</v>
      </c>
      <c r="C971" s="5">
        <v>240</v>
      </c>
      <c r="D971" s="1">
        <v>43990</v>
      </c>
      <c r="E971" t="str">
        <f>"202006017042"</f>
        <v>202006017042</v>
      </c>
      <c r="F971" t="str">
        <f>"REIMB STATE BAR OF TX ANN DUES"</f>
        <v>REIMB STATE BAR OF TX ANN DUES</v>
      </c>
      <c r="G971" s="5">
        <v>240</v>
      </c>
      <c r="H971" t="str">
        <f>"REIMB STATE BAR OF TX ANN DUES"</f>
        <v>REIMB STATE BAR OF TX ANN DUES</v>
      </c>
    </row>
    <row r="972" spans="1:8" x14ac:dyDescent="0.25">
      <c r="A972" t="s">
        <v>299</v>
      </c>
      <c r="B972">
        <v>132120</v>
      </c>
      <c r="C972" s="5">
        <v>3375</v>
      </c>
      <c r="D972" s="1">
        <v>43990</v>
      </c>
      <c r="E972" t="str">
        <f>"33075 RI"</f>
        <v>33075 RI</v>
      </c>
      <c r="F972" t="str">
        <f>"ACCT#609346/ORD#20430 S5"</f>
        <v>ACCT#609346/ORD#20430 S5</v>
      </c>
      <c r="G972" s="5">
        <v>3375</v>
      </c>
      <c r="H972" t="str">
        <f>"ACCT#609346/ORD#20430 S5"</f>
        <v>ACCT#609346/ORD#20430 S5</v>
      </c>
    </row>
    <row r="973" spans="1:8" x14ac:dyDescent="0.25">
      <c r="E973" t="str">
        <f>""</f>
        <v/>
      </c>
      <c r="F973" t="str">
        <f>""</f>
        <v/>
      </c>
      <c r="H973" t="str">
        <f>"ACCT#609346/ORD#20430 S5"</f>
        <v>ACCT#609346/ORD#20430 S5</v>
      </c>
    </row>
    <row r="974" spans="1:8" x14ac:dyDescent="0.25">
      <c r="A974" t="s">
        <v>300</v>
      </c>
      <c r="B974">
        <v>132276</v>
      </c>
      <c r="C974" s="5">
        <v>91.5</v>
      </c>
      <c r="D974" s="1">
        <v>44004</v>
      </c>
      <c r="E974" t="str">
        <f>"2010969"</f>
        <v>2010969</v>
      </c>
      <c r="F974" t="str">
        <f>"ACCT#17460002268 003/MAY 2020"</f>
        <v>ACCT#17460002268 003/MAY 2020</v>
      </c>
      <c r="G974" s="5">
        <v>91.5</v>
      </c>
      <c r="H974" t="str">
        <f>"ACCT#17460002268 003/MAY 2020"</f>
        <v>ACCT#17460002268 003/MAY 2020</v>
      </c>
    </row>
    <row r="975" spans="1:8" x14ac:dyDescent="0.25">
      <c r="A975" t="s">
        <v>301</v>
      </c>
      <c r="B975">
        <v>2743</v>
      </c>
      <c r="C975" s="5">
        <v>850</v>
      </c>
      <c r="D975" s="1">
        <v>44005</v>
      </c>
      <c r="E975" t="str">
        <f>"202006157304"</f>
        <v>202006157304</v>
      </c>
      <c r="F975" t="str">
        <f>"1513-335/COMPETENCY EVALUATION"</f>
        <v>1513-335/COMPETENCY EVALUATION</v>
      </c>
      <c r="G975" s="5">
        <v>850</v>
      </c>
      <c r="H975" t="str">
        <f>"1513-335/COMPETENCY EVALUATION"</f>
        <v>1513-335/COMPETENCY EVALUATION</v>
      </c>
    </row>
    <row r="976" spans="1:8" x14ac:dyDescent="0.25">
      <c r="A976" t="s">
        <v>302</v>
      </c>
      <c r="B976">
        <v>132277</v>
      </c>
      <c r="C976" s="5">
        <v>39690.1</v>
      </c>
      <c r="D976" s="1">
        <v>44004</v>
      </c>
      <c r="E976" t="str">
        <f>"13281"</f>
        <v>13281</v>
      </c>
      <c r="F976" t="str">
        <f>"inv# 13281"</f>
        <v>inv# 13281</v>
      </c>
      <c r="G976" s="5">
        <v>8320.1</v>
      </c>
      <c r="H976" t="str">
        <f>"Barcode scanner"</f>
        <v>Barcode scanner</v>
      </c>
    </row>
    <row r="977" spans="1:8" x14ac:dyDescent="0.25">
      <c r="E977" t="str">
        <f>""</f>
        <v/>
      </c>
      <c r="F977" t="str">
        <f>""</f>
        <v/>
      </c>
      <c r="H977" t="str">
        <f>"shipping"</f>
        <v>shipping</v>
      </c>
    </row>
    <row r="978" spans="1:8" x14ac:dyDescent="0.25">
      <c r="E978" t="str">
        <f>"13283"</f>
        <v>13283</v>
      </c>
      <c r="F978" t="str">
        <f>"VOTEC CORPORATION"</f>
        <v>VOTEC CORPORATION</v>
      </c>
      <c r="G978" s="5">
        <v>31370</v>
      </c>
      <c r="H978" t="str">
        <f>"Voter Kisok"</f>
        <v>Voter Kisok</v>
      </c>
    </row>
    <row r="979" spans="1:8" x14ac:dyDescent="0.25">
      <c r="E979" t="str">
        <f>""</f>
        <v/>
      </c>
      <c r="F979" t="str">
        <f>""</f>
        <v/>
      </c>
      <c r="H979" t="str">
        <f>"Vote Safe License"</f>
        <v>Vote Safe License</v>
      </c>
    </row>
    <row r="980" spans="1:8" x14ac:dyDescent="0.25">
      <c r="E980" t="str">
        <f>""</f>
        <v/>
      </c>
      <c r="F980" t="str">
        <f>""</f>
        <v/>
      </c>
      <c r="H980" t="str">
        <f>"shipping cost"</f>
        <v>shipping cost</v>
      </c>
    </row>
    <row r="981" spans="1:8" x14ac:dyDescent="0.25">
      <c r="A981" t="s">
        <v>303</v>
      </c>
      <c r="B981">
        <v>132278</v>
      </c>
      <c r="C981" s="5">
        <v>26835.06</v>
      </c>
      <c r="D981" s="1">
        <v>44004</v>
      </c>
      <c r="E981" t="str">
        <f>"869395921022"</f>
        <v>869395921022</v>
      </c>
      <c r="F981" t="str">
        <f>"inv# 869395921022"</f>
        <v>inv# 869395921022</v>
      </c>
      <c r="G981" s="5">
        <v>26835.06</v>
      </c>
      <c r="H981" t="str">
        <f>"fuel"</f>
        <v>fuel</v>
      </c>
    </row>
    <row r="982" spans="1:8" x14ac:dyDescent="0.25">
      <c r="E982" t="str">
        <f>""</f>
        <v/>
      </c>
      <c r="F982" t="str">
        <f>""</f>
        <v/>
      </c>
      <c r="H982" t="str">
        <f>"Tax"</f>
        <v>Tax</v>
      </c>
    </row>
    <row r="983" spans="1:8" x14ac:dyDescent="0.25">
      <c r="E983" t="str">
        <f>""</f>
        <v/>
      </c>
      <c r="F983" t="str">
        <f>""</f>
        <v/>
      </c>
      <c r="H983" t="str">
        <f>"Fuel"</f>
        <v>Fuel</v>
      </c>
    </row>
    <row r="984" spans="1:8" x14ac:dyDescent="0.25">
      <c r="E984" t="str">
        <f>""</f>
        <v/>
      </c>
      <c r="F984" t="str">
        <f>""</f>
        <v/>
      </c>
      <c r="H984" t="str">
        <f>"Tax"</f>
        <v>Tax</v>
      </c>
    </row>
    <row r="985" spans="1:8" x14ac:dyDescent="0.25">
      <c r="E985" t="str">
        <f>""</f>
        <v/>
      </c>
      <c r="F985" t="str">
        <f>""</f>
        <v/>
      </c>
      <c r="H985" t="str">
        <f>"Maintenace"</f>
        <v>Maintenace</v>
      </c>
    </row>
    <row r="986" spans="1:8" x14ac:dyDescent="0.25">
      <c r="E986" t="str">
        <f>""</f>
        <v/>
      </c>
      <c r="F986" t="str">
        <f>""</f>
        <v/>
      </c>
      <c r="H986" t="str">
        <f>"Fuel"</f>
        <v>Fuel</v>
      </c>
    </row>
    <row r="987" spans="1:8" x14ac:dyDescent="0.25">
      <c r="E987" t="str">
        <f>""</f>
        <v/>
      </c>
      <c r="F987" t="str">
        <f>""</f>
        <v/>
      </c>
      <c r="H987" t="str">
        <f>"Tax"</f>
        <v>Tax</v>
      </c>
    </row>
    <row r="988" spans="1:8" x14ac:dyDescent="0.25">
      <c r="E988" t="str">
        <f>""</f>
        <v/>
      </c>
      <c r="F988" t="str">
        <f>""</f>
        <v/>
      </c>
      <c r="H988" t="str">
        <f>"Maintenance"</f>
        <v>Maintenance</v>
      </c>
    </row>
    <row r="989" spans="1:8" x14ac:dyDescent="0.25">
      <c r="E989" t="str">
        <f>""</f>
        <v/>
      </c>
      <c r="F989" t="str">
        <f>""</f>
        <v/>
      </c>
      <c r="H989" t="str">
        <f>"fuel"</f>
        <v>fuel</v>
      </c>
    </row>
    <row r="990" spans="1:8" x14ac:dyDescent="0.25">
      <c r="E990" t="str">
        <f>""</f>
        <v/>
      </c>
      <c r="F990" t="str">
        <f>""</f>
        <v/>
      </c>
      <c r="H990" t="str">
        <f>"Tax"</f>
        <v>Tax</v>
      </c>
    </row>
    <row r="991" spans="1:8" x14ac:dyDescent="0.25">
      <c r="E991" t="str">
        <f>""</f>
        <v/>
      </c>
      <c r="F991" t="str">
        <f>""</f>
        <v/>
      </c>
      <c r="H991" t="str">
        <f>"maintenance"</f>
        <v>maintenance</v>
      </c>
    </row>
    <row r="992" spans="1:8" x14ac:dyDescent="0.25">
      <c r="E992" t="str">
        <f>""</f>
        <v/>
      </c>
      <c r="F992" t="str">
        <f>""</f>
        <v/>
      </c>
      <c r="H992" t="str">
        <f>"fuel"</f>
        <v>fuel</v>
      </c>
    </row>
    <row r="993" spans="1:8" x14ac:dyDescent="0.25">
      <c r="E993" t="str">
        <f>""</f>
        <v/>
      </c>
      <c r="F993" t="str">
        <f>""</f>
        <v/>
      </c>
      <c r="H993" t="str">
        <f>"Maintenance"</f>
        <v>Maintenance</v>
      </c>
    </row>
    <row r="994" spans="1:8" x14ac:dyDescent="0.25">
      <c r="E994" t="str">
        <f>""</f>
        <v/>
      </c>
      <c r="F994" t="str">
        <f>""</f>
        <v/>
      </c>
      <c r="H994" t="str">
        <f>"Fuel"</f>
        <v>Fuel</v>
      </c>
    </row>
    <row r="995" spans="1:8" x14ac:dyDescent="0.25">
      <c r="E995" t="str">
        <f>""</f>
        <v/>
      </c>
      <c r="F995" t="str">
        <f>""</f>
        <v/>
      </c>
      <c r="H995" t="str">
        <f>"Tax"</f>
        <v>Tax</v>
      </c>
    </row>
    <row r="996" spans="1:8" x14ac:dyDescent="0.25">
      <c r="E996" t="str">
        <f>""</f>
        <v/>
      </c>
      <c r="F996" t="str">
        <f>""</f>
        <v/>
      </c>
      <c r="H996" t="str">
        <f>"Fuel"</f>
        <v>Fuel</v>
      </c>
    </row>
    <row r="997" spans="1:8" x14ac:dyDescent="0.25">
      <c r="E997" t="str">
        <f>""</f>
        <v/>
      </c>
      <c r="F997" t="str">
        <f>""</f>
        <v/>
      </c>
      <c r="H997" t="str">
        <f>"Tax"</f>
        <v>Tax</v>
      </c>
    </row>
    <row r="998" spans="1:8" x14ac:dyDescent="0.25">
      <c r="E998" t="str">
        <f>""</f>
        <v/>
      </c>
      <c r="F998" t="str">
        <f>""</f>
        <v/>
      </c>
      <c r="H998" t="str">
        <f>"fuel"</f>
        <v>fuel</v>
      </c>
    </row>
    <row r="999" spans="1:8" x14ac:dyDescent="0.25">
      <c r="E999" t="str">
        <f>""</f>
        <v/>
      </c>
      <c r="F999" t="str">
        <f>""</f>
        <v/>
      </c>
      <c r="H999" t="str">
        <f>"tax"</f>
        <v>tax</v>
      </c>
    </row>
    <row r="1000" spans="1:8" x14ac:dyDescent="0.25">
      <c r="E1000" t="str">
        <f>""</f>
        <v/>
      </c>
      <c r="F1000" t="str">
        <f>""</f>
        <v/>
      </c>
      <c r="H1000" t="str">
        <f>"maintenance"</f>
        <v>maintenance</v>
      </c>
    </row>
    <row r="1001" spans="1:8" x14ac:dyDescent="0.25">
      <c r="A1001" t="s">
        <v>304</v>
      </c>
      <c r="B1001">
        <v>132121</v>
      </c>
      <c r="C1001" s="5">
        <v>90</v>
      </c>
      <c r="D1001" s="1">
        <v>43990</v>
      </c>
      <c r="E1001" t="str">
        <f>"10316474"</f>
        <v>10316474</v>
      </c>
      <c r="F1001" t="str">
        <f>"ACCT#00010699-4/PCT#3"</f>
        <v>ACCT#00010699-4/PCT#3</v>
      </c>
      <c r="G1001" s="5">
        <v>90</v>
      </c>
      <c r="H1001" t="str">
        <f>"ACCT#00010699-4/PCT#3"</f>
        <v>ACCT#00010699-4/PCT#3</v>
      </c>
    </row>
    <row r="1002" spans="1:8" x14ac:dyDescent="0.25">
      <c r="A1002" t="s">
        <v>305</v>
      </c>
      <c r="B1002">
        <v>132279</v>
      </c>
      <c r="C1002" s="5">
        <v>25.65</v>
      </c>
      <c r="D1002" s="1">
        <v>44004</v>
      </c>
      <c r="E1002" t="str">
        <f>"0520-DR14926"</f>
        <v>0520-DR14926</v>
      </c>
      <c r="F1002" t="str">
        <f>"CLIENT ID:CXD 14926"</f>
        <v>CLIENT ID:CXD 14926</v>
      </c>
      <c r="G1002" s="5">
        <v>25.65</v>
      </c>
      <c r="H1002" t="str">
        <f>"CLIENT ID:CXD 14926"</f>
        <v>CLIENT ID:CXD 14926</v>
      </c>
    </row>
    <row r="1003" spans="1:8" x14ac:dyDescent="0.25">
      <c r="A1003" t="s">
        <v>306</v>
      </c>
      <c r="B1003">
        <v>2677</v>
      </c>
      <c r="C1003" s="5">
        <v>5445.11</v>
      </c>
      <c r="D1003" s="1">
        <v>43991</v>
      </c>
      <c r="E1003" t="str">
        <f>"18847"</f>
        <v>18847</v>
      </c>
      <c r="F1003" t="str">
        <f>"COLD MIX/FREIGHT/PCT#4"</f>
        <v>COLD MIX/FREIGHT/PCT#4</v>
      </c>
      <c r="G1003" s="5">
        <v>2684.61</v>
      </c>
      <c r="H1003" t="str">
        <f>"COLD MIX/FREIGHT/PCT#4"</f>
        <v>COLD MIX/FREIGHT/PCT#4</v>
      </c>
    </row>
    <row r="1004" spans="1:8" x14ac:dyDescent="0.25">
      <c r="E1004" t="str">
        <f>"18872"</f>
        <v>18872</v>
      </c>
      <c r="F1004" t="str">
        <f>"COLD MIX/FREIGHT/PCT#3"</f>
        <v>COLD MIX/FREIGHT/PCT#3</v>
      </c>
      <c r="G1004" s="5">
        <v>2760.5</v>
      </c>
      <c r="H1004" t="str">
        <f>"COLD MIX/FREIGHT/PCT#3"</f>
        <v>COLD MIX/FREIGHT/PCT#3</v>
      </c>
    </row>
    <row r="1005" spans="1:8" x14ac:dyDescent="0.25">
      <c r="A1005" t="s">
        <v>306</v>
      </c>
      <c r="B1005">
        <v>2733</v>
      </c>
      <c r="C1005" s="5">
        <v>4453.88</v>
      </c>
      <c r="D1005" s="1">
        <v>44005</v>
      </c>
      <c r="E1005" t="str">
        <f>"18945"</f>
        <v>18945</v>
      </c>
      <c r="F1005" t="str">
        <f>"COLD MIX/PCT#1"</f>
        <v>COLD MIX/PCT#1</v>
      </c>
      <c r="G1005" s="5">
        <v>1829.88</v>
      </c>
      <c r="H1005" t="str">
        <f>"COLD MIX/PCT#1"</f>
        <v>COLD MIX/PCT#1</v>
      </c>
    </row>
    <row r="1006" spans="1:8" x14ac:dyDescent="0.25">
      <c r="E1006" t="str">
        <f>"18958"</f>
        <v>18958</v>
      </c>
      <c r="F1006" t="str">
        <f>"COLD MIX/FREIGHT/PCT#4"</f>
        <v>COLD MIX/FREIGHT/PCT#4</v>
      </c>
      <c r="G1006" s="5">
        <v>2624</v>
      </c>
      <c r="H1006" t="str">
        <f>"COLD MIX/FREIGHT/PCT#4"</f>
        <v>COLD MIX/FREIGHT/PCT#4</v>
      </c>
    </row>
    <row r="1007" spans="1:8" x14ac:dyDescent="0.25">
      <c r="A1007" t="s">
        <v>307</v>
      </c>
      <c r="B1007">
        <v>132022</v>
      </c>
      <c r="C1007" s="5">
        <v>1360.45</v>
      </c>
      <c r="D1007" s="1">
        <v>43985</v>
      </c>
      <c r="E1007" t="str">
        <f>"10545543"</f>
        <v>10545543</v>
      </c>
      <c r="F1007" t="str">
        <f>"ACCT#5150-005117630/06012020"</f>
        <v>ACCT#5150-005117630/06012020</v>
      </c>
      <c r="G1007" s="5">
        <v>262.81</v>
      </c>
      <c r="H1007" t="str">
        <f>"ACCT#5150-005117630/06012020"</f>
        <v>ACCT#5150-005117630/06012020</v>
      </c>
    </row>
    <row r="1008" spans="1:8" x14ac:dyDescent="0.25">
      <c r="E1008" t="str">
        <f>"10545550"</f>
        <v>10545550</v>
      </c>
      <c r="F1008" t="str">
        <f>"ACCT#5150-005117766/06012020"</f>
        <v>ACCT#5150-005117766/06012020</v>
      </c>
      <c r="G1008" s="5">
        <v>115.36</v>
      </c>
      <c r="H1008" t="str">
        <f>"ACCT#5150-005117766/06012020"</f>
        <v>ACCT#5150-005117766/06012020</v>
      </c>
    </row>
    <row r="1009" spans="1:8" x14ac:dyDescent="0.25">
      <c r="E1009" t="str">
        <f>"10545554"</f>
        <v>10545554</v>
      </c>
      <c r="F1009" t="str">
        <f>"ACCT#5150-005117838/06012020"</f>
        <v>ACCT#5150-005117838/06012020</v>
      </c>
      <c r="G1009" s="5">
        <v>106.76</v>
      </c>
      <c r="H1009" t="str">
        <f>"ACCT#5150-005117838/06012020"</f>
        <v>ACCT#5150-005117838/06012020</v>
      </c>
    </row>
    <row r="1010" spans="1:8" x14ac:dyDescent="0.25">
      <c r="E1010" t="str">
        <f>"10545556"</f>
        <v>10545556</v>
      </c>
      <c r="F1010" t="str">
        <f>"ACCT#5150-005117882/06012020"</f>
        <v>ACCT#5150-005117882/06012020</v>
      </c>
      <c r="G1010" s="5">
        <v>144.19</v>
      </c>
      <c r="H1010" t="str">
        <f>"ACCT#5150-005117882/06012020"</f>
        <v>ACCT#5150-005117882/06012020</v>
      </c>
    </row>
    <row r="1011" spans="1:8" x14ac:dyDescent="0.25">
      <c r="E1011" t="str">
        <f>"10545564"</f>
        <v>10545564</v>
      </c>
      <c r="F1011" t="str">
        <f>"ACCT#5150-005118183/06012020"</f>
        <v>ACCT#5150-005118183/06012020</v>
      </c>
      <c r="G1011" s="5">
        <v>618.96</v>
      </c>
      <c r="H1011" t="str">
        <f>"ACCT#5150-005118183/06012020"</f>
        <v>ACCT#5150-005118183/06012020</v>
      </c>
    </row>
    <row r="1012" spans="1:8" x14ac:dyDescent="0.25">
      <c r="E1012" t="str">
        <f>"10549940"</f>
        <v>10549940</v>
      </c>
      <c r="F1012" t="str">
        <f>"ACCT#5150-16203415/06012020"</f>
        <v>ACCT#5150-16203415/06012020</v>
      </c>
      <c r="G1012" s="5">
        <v>83.48</v>
      </c>
      <c r="H1012" t="str">
        <f>"ACCT#5150-16203415/06012020"</f>
        <v>ACCT#5150-16203415/06012020</v>
      </c>
    </row>
    <row r="1013" spans="1:8" x14ac:dyDescent="0.25">
      <c r="E1013" t="str">
        <f>"10549941"</f>
        <v>10549941</v>
      </c>
      <c r="F1013" t="str">
        <f>"ACCT#5150-16203417/06012020"</f>
        <v>ACCT#5150-16203417/06012020</v>
      </c>
      <c r="G1013" s="5">
        <v>28.89</v>
      </c>
      <c r="H1013" t="str">
        <f>"ACCT#5150-16203417/06012020"</f>
        <v>ACCT#5150-16203417/06012020</v>
      </c>
    </row>
    <row r="1014" spans="1:8" x14ac:dyDescent="0.25">
      <c r="A1014" t="s">
        <v>308</v>
      </c>
      <c r="B1014">
        <v>132122</v>
      </c>
      <c r="C1014" s="5">
        <v>397.56</v>
      </c>
      <c r="D1014" s="1">
        <v>43990</v>
      </c>
      <c r="E1014" t="str">
        <f>"0084110-2161-4"</f>
        <v>0084110-2161-4</v>
      </c>
      <c r="F1014" t="str">
        <f>"CUST ID:2-56581-95066/ANIMAL C"</f>
        <v>CUST ID:2-56581-95066/ANIMAL C</v>
      </c>
      <c r="G1014" s="5">
        <v>397.56</v>
      </c>
      <c r="H1014" t="str">
        <f>"CUST ID:2-56581-95066/ANIMAL C"</f>
        <v>CUST ID:2-56581-95066/ANIMAL C</v>
      </c>
    </row>
    <row r="1015" spans="1:8" x14ac:dyDescent="0.25">
      <c r="A1015" t="s">
        <v>308</v>
      </c>
      <c r="B1015">
        <v>132280</v>
      </c>
      <c r="C1015" s="5">
        <v>5506.14</v>
      </c>
      <c r="D1015" s="1">
        <v>44004</v>
      </c>
      <c r="E1015" t="str">
        <f>"0027302-2161-7"</f>
        <v>0027302-2161-7</v>
      </c>
      <c r="F1015" t="str">
        <f>"CUST ID:2-57060-55062/PCT#4"</f>
        <v>CUST ID:2-57060-55062/PCT#4</v>
      </c>
      <c r="G1015" s="5">
        <v>5506.14</v>
      </c>
      <c r="H1015" t="str">
        <f>"CUST ID:2-57060-55062/PCT#4"</f>
        <v>CUST ID:2-57060-55062/PCT#4</v>
      </c>
    </row>
    <row r="1016" spans="1:8" x14ac:dyDescent="0.25">
      <c r="A1016" t="s">
        <v>309</v>
      </c>
      <c r="B1016">
        <v>132123</v>
      </c>
      <c r="C1016" s="5">
        <v>102.36</v>
      </c>
      <c r="D1016" s="1">
        <v>43990</v>
      </c>
      <c r="E1016" t="str">
        <f>"202006027103"</f>
        <v>202006027103</v>
      </c>
      <c r="F1016" t="str">
        <f>"WEI-ANN LIN (REIMBURSEMENTS ON"</f>
        <v>WEI-ANN LIN (REIMBURSEMENTS ON</v>
      </c>
      <c r="G1016" s="5">
        <v>102.36</v>
      </c>
      <c r="H1016" t="str">
        <f>""</f>
        <v/>
      </c>
    </row>
    <row r="1017" spans="1:8" x14ac:dyDescent="0.25">
      <c r="A1017" t="s">
        <v>309</v>
      </c>
      <c r="B1017">
        <v>132281</v>
      </c>
      <c r="C1017" s="5">
        <v>27.03</v>
      </c>
      <c r="D1017" s="1">
        <v>44004</v>
      </c>
      <c r="E1017" t="str">
        <f>"202006167336"</f>
        <v>202006167336</v>
      </c>
      <c r="F1017" t="str">
        <f>"WEI-ANN LIN (REIMBURSEMENTS ON"</f>
        <v>WEI-ANN LIN (REIMBURSEMENTS ON</v>
      </c>
      <c r="G1017" s="5">
        <v>27.03</v>
      </c>
      <c r="H1017" t="str">
        <f>""</f>
        <v/>
      </c>
    </row>
    <row r="1018" spans="1:8" x14ac:dyDescent="0.25">
      <c r="A1018" t="s">
        <v>310</v>
      </c>
      <c r="B1018">
        <v>2736</v>
      </c>
      <c r="C1018" s="5">
        <v>13074.36</v>
      </c>
      <c r="D1018" s="1">
        <v>44005</v>
      </c>
      <c r="E1018" t="str">
        <f>"24828"</f>
        <v>24828</v>
      </c>
      <c r="F1018" t="str">
        <f>"INV 24828"</f>
        <v>INV 24828</v>
      </c>
      <c r="G1018" s="5">
        <v>13074.36</v>
      </c>
      <c r="H1018" t="str">
        <f>"INV 24828"</f>
        <v>INV 24828</v>
      </c>
    </row>
    <row r="1019" spans="1:8" x14ac:dyDescent="0.25">
      <c r="A1019" t="s">
        <v>311</v>
      </c>
      <c r="B1019">
        <v>132292</v>
      </c>
      <c r="C1019" s="5">
        <v>4995</v>
      </c>
      <c r="D1019" s="1">
        <v>44004</v>
      </c>
      <c r="E1019" t="str">
        <f>"0040"</f>
        <v>0040</v>
      </c>
      <c r="F1019" t="str">
        <f>"OFFICE REMODEL / SO"</f>
        <v>OFFICE REMODEL / SO</v>
      </c>
      <c r="G1019" s="5">
        <v>4995</v>
      </c>
      <c r="H1019" t="str">
        <f>"WORKANTBIZ LLC"</f>
        <v>WORKANTBIZ LLC</v>
      </c>
    </row>
    <row r="1020" spans="1:8" x14ac:dyDescent="0.25">
      <c r="A1020" t="s">
        <v>312</v>
      </c>
      <c r="B1020">
        <v>132124</v>
      </c>
      <c r="C1020" s="5">
        <v>1638.56</v>
      </c>
      <c r="D1020" s="1">
        <v>43990</v>
      </c>
      <c r="E1020" t="str">
        <f>"58441914"</f>
        <v>58441914</v>
      </c>
      <c r="F1020" t="str">
        <f>"Comm Chairs"</f>
        <v>Comm Chairs</v>
      </c>
      <c r="G1020" s="5">
        <v>1638.56</v>
      </c>
      <c r="H1020" t="str">
        <f>"AER1B33DW"</f>
        <v>AER1B33DW</v>
      </c>
    </row>
    <row r="1021" spans="1:8" x14ac:dyDescent="0.25">
      <c r="A1021" t="s">
        <v>313</v>
      </c>
      <c r="B1021">
        <v>132125</v>
      </c>
      <c r="C1021" s="5">
        <v>782.3</v>
      </c>
      <c r="D1021" s="1">
        <v>43990</v>
      </c>
      <c r="E1021" t="str">
        <f>"9009990902"</f>
        <v>9009990902</v>
      </c>
      <c r="F1021" t="str">
        <f>"CUST#2000053103/ANIMAL SHELTER"</f>
        <v>CUST#2000053103/ANIMAL SHELTER</v>
      </c>
      <c r="G1021" s="5">
        <v>327.10000000000002</v>
      </c>
      <c r="H1021" t="str">
        <f>"CUST#2000053103/ANIMAL SHELTER"</f>
        <v>CUST#2000053103/ANIMAL SHELTER</v>
      </c>
    </row>
    <row r="1022" spans="1:8" x14ac:dyDescent="0.25">
      <c r="E1022" t="str">
        <f>"9009990931"</f>
        <v>9009990931</v>
      </c>
      <c r="F1022" t="str">
        <f>"CUST#2000053103/ANIMAL SHELTER"</f>
        <v>CUST#2000053103/ANIMAL SHELTER</v>
      </c>
      <c r="G1022" s="5">
        <v>455.2</v>
      </c>
      <c r="H1022" t="str">
        <f>"CUST#2000053103/ANIMAL SHELTER"</f>
        <v>CUST#2000053103/ANIMAL SHELTER</v>
      </c>
    </row>
    <row r="1023" spans="1:8" x14ac:dyDescent="0.25">
      <c r="A1023" t="s">
        <v>313</v>
      </c>
      <c r="B1023">
        <v>132282</v>
      </c>
      <c r="C1023" s="5">
        <v>6006.3</v>
      </c>
      <c r="D1023" s="1">
        <v>44004</v>
      </c>
      <c r="E1023" t="str">
        <f>"9008472605"</f>
        <v>9008472605</v>
      </c>
      <c r="F1023" t="str">
        <f>"CUST#2000053103/ANIMAL SHELTER"</f>
        <v>CUST#2000053103/ANIMAL SHELTER</v>
      </c>
      <c r="G1023" s="5">
        <v>416</v>
      </c>
      <c r="H1023" t="str">
        <f>"CUST#2000053103/ANIMAL SHELTER"</f>
        <v>CUST#2000053103/ANIMAL SHELTER</v>
      </c>
    </row>
    <row r="1024" spans="1:8" x14ac:dyDescent="0.25">
      <c r="E1024" t="str">
        <f>"9010468382"</f>
        <v>9010468382</v>
      </c>
      <c r="F1024" t="str">
        <f>"CUST#2000053103/ANIMAL SHELTER"</f>
        <v>CUST#2000053103/ANIMAL SHELTER</v>
      </c>
      <c r="G1024" s="5">
        <v>369.95</v>
      </c>
      <c r="H1024" t="str">
        <f>"CUST#2000053103/ANIMAL SHELTER"</f>
        <v>CUST#2000053103/ANIMAL SHELTER</v>
      </c>
    </row>
    <row r="1025" spans="1:8" x14ac:dyDescent="0.25">
      <c r="E1025" t="str">
        <f>"9010495166"</f>
        <v>9010495166</v>
      </c>
      <c r="F1025" t="str">
        <f>"CUST#2000053103/ANIMAL SHELTER"</f>
        <v>CUST#2000053103/ANIMAL SHELTER</v>
      </c>
      <c r="G1025" s="5">
        <v>954</v>
      </c>
      <c r="H1025" t="str">
        <f>"CUST#2000053103/ANIMAL SHELTER"</f>
        <v>CUST#2000053103/ANIMAL SHELTER</v>
      </c>
    </row>
    <row r="1026" spans="1:8" x14ac:dyDescent="0.25">
      <c r="E1026" t="str">
        <f>"9010607412"</f>
        <v>9010607412</v>
      </c>
      <c r="F1026" t="str">
        <f>"CUST#1000113183/ANIMAL SERVICE"</f>
        <v>CUST#1000113183/ANIMAL SERVICE</v>
      </c>
      <c r="G1026" s="5">
        <v>507.2</v>
      </c>
      <c r="H1026" t="str">
        <f>"CUST#1000113183/ANIMAL SERVICE"</f>
        <v>CUST#1000113183/ANIMAL SERVICE</v>
      </c>
    </row>
    <row r="1027" spans="1:8" x14ac:dyDescent="0.25">
      <c r="E1027" t="str">
        <f>"9010607415"</f>
        <v>9010607415</v>
      </c>
      <c r="F1027" t="str">
        <f>"CUST#1000113183/ANIMAL SVCS"</f>
        <v>CUST#1000113183/ANIMAL SVCS</v>
      </c>
      <c r="G1027" s="5">
        <v>1337.85</v>
      </c>
      <c r="H1027" t="str">
        <f>"CUST#1000113183/ANIMAL SVCS"</f>
        <v>CUST#1000113183/ANIMAL SVCS</v>
      </c>
    </row>
    <row r="1028" spans="1:8" x14ac:dyDescent="0.25">
      <c r="E1028" t="str">
        <f>"9010607418"</f>
        <v>9010607418</v>
      </c>
      <c r="F1028" t="str">
        <f>"CUST#1000113183/ANIMAL SERVICE"</f>
        <v>CUST#1000113183/ANIMAL SERVICE</v>
      </c>
      <c r="G1028" s="5">
        <v>288.39999999999998</v>
      </c>
      <c r="H1028" t="str">
        <f>"CUST#1000113183/ANIMAL SERVICE"</f>
        <v>CUST#1000113183/ANIMAL SERVICE</v>
      </c>
    </row>
    <row r="1029" spans="1:8" x14ac:dyDescent="0.25">
      <c r="E1029" t="str">
        <f>"9010619885"</f>
        <v>9010619885</v>
      </c>
      <c r="F1029" t="str">
        <f>"CUST#1000113183/ANIMAL SERVICE"</f>
        <v>CUST#1000113183/ANIMAL SERVICE</v>
      </c>
      <c r="G1029" s="5">
        <v>555</v>
      </c>
      <c r="H1029" t="str">
        <f>"CUST#1000113183/ANIMAL SERVICE"</f>
        <v>CUST#1000113183/ANIMAL SERVICE</v>
      </c>
    </row>
    <row r="1030" spans="1:8" x14ac:dyDescent="0.25">
      <c r="E1030" t="str">
        <f>"9010666944"</f>
        <v>9010666944</v>
      </c>
      <c r="F1030" t="str">
        <f>"CUST#1000113183/ANIMAL SERVICE"</f>
        <v>CUST#1000113183/ANIMAL SERVICE</v>
      </c>
      <c r="G1030" s="5">
        <v>795.6</v>
      </c>
      <c r="H1030" t="str">
        <f>"CUST#1000113183/ANIMAL SERVICE"</f>
        <v>CUST#1000113183/ANIMAL SERVICE</v>
      </c>
    </row>
    <row r="1031" spans="1:8" x14ac:dyDescent="0.25">
      <c r="E1031" t="str">
        <f>"9010666975"</f>
        <v>9010666975</v>
      </c>
      <c r="F1031" t="str">
        <f>"CUST#1000113183/ANIMAL SERVICE"</f>
        <v>CUST#1000113183/ANIMAL SERVICE</v>
      </c>
      <c r="G1031" s="5">
        <v>782.3</v>
      </c>
      <c r="H1031" t="str">
        <f>"CUST#1000113183/ANIMAL SERVICE"</f>
        <v>CUST#1000113183/ANIMAL SERVICE</v>
      </c>
    </row>
    <row r="1032" spans="1:8" x14ac:dyDescent="0.25">
      <c r="A1032" t="s">
        <v>314</v>
      </c>
      <c r="B1032">
        <v>132134</v>
      </c>
      <c r="C1032" s="5">
        <v>1024</v>
      </c>
      <c r="D1032" s="1">
        <v>43992</v>
      </c>
      <c r="E1032" t="str">
        <f>"202006107268"</f>
        <v>202006107268</v>
      </c>
      <c r="F1032" t="str">
        <f>"STORAGE FACILITY LEASE FOR PPE"</f>
        <v>STORAGE FACILITY LEASE FOR PPE</v>
      </c>
      <c r="G1032" s="5">
        <v>1024</v>
      </c>
      <c r="H1032" t="str">
        <f>"STORAGE FACILITY LEASE FOR PPE"</f>
        <v>STORAGE FACILITY LEASE FOR PPE</v>
      </c>
    </row>
    <row r="1033" spans="1:8" x14ac:dyDescent="0.25">
      <c r="A1033" t="s">
        <v>315</v>
      </c>
      <c r="B1033">
        <v>132126</v>
      </c>
      <c r="C1033" s="5">
        <v>18</v>
      </c>
      <c r="D1033" s="1">
        <v>43990</v>
      </c>
      <c r="E1033" t="str">
        <f>"202006027096"</f>
        <v>202006027096</v>
      </c>
      <c r="F1033" t="str">
        <f>"ACCT#015397/JUVENILE BOOT CAMP"</f>
        <v>ACCT#015397/JUVENILE BOOT CAMP</v>
      </c>
      <c r="G1033" s="5">
        <v>18</v>
      </c>
      <c r="H1033" t="str">
        <f>"ACCT#015397/JUVENILE BOOT CAMP"</f>
        <v>ACCT#015397/JUVENILE BOOT CAMP</v>
      </c>
    </row>
    <row r="1034" spans="1:8" x14ac:dyDescent="0.25">
      <c r="A1034" t="s">
        <v>27</v>
      </c>
      <c r="B1034">
        <v>132283</v>
      </c>
      <c r="C1034" s="5">
        <v>132.27000000000001</v>
      </c>
      <c r="D1034" s="1">
        <v>44004</v>
      </c>
      <c r="E1034" t="str">
        <f>"287290524359X0527"</f>
        <v>287290524359X0527</v>
      </c>
      <c r="F1034" t="str">
        <f>"ACCT#287290524359"</f>
        <v>ACCT#287290524359</v>
      </c>
      <c r="G1034" s="5">
        <v>132.27000000000001</v>
      </c>
      <c r="H1034" t="str">
        <f>"ACCT#287290524359"</f>
        <v>ACCT#287290524359</v>
      </c>
    </row>
    <row r="1035" spans="1:8" x14ac:dyDescent="0.25">
      <c r="A1035" t="s">
        <v>39</v>
      </c>
      <c r="B1035">
        <v>132284</v>
      </c>
      <c r="C1035" s="5">
        <v>65476.05</v>
      </c>
      <c r="D1035" s="1">
        <v>44004</v>
      </c>
      <c r="E1035" t="str">
        <f>"202006167324"</f>
        <v>202006167324</v>
      </c>
      <c r="F1035" t="str">
        <f>"JUV SVCS 2ND QTR FY2020"</f>
        <v>JUV SVCS 2ND QTR FY2020</v>
      </c>
      <c r="G1035" s="5">
        <v>30469.9</v>
      </c>
      <c r="H1035" t="str">
        <f>"BOOT CAMP EXPS 2ND QTR FY2020"</f>
        <v>BOOT CAMP EXPS 2ND QTR FY2020</v>
      </c>
    </row>
    <row r="1036" spans="1:8" x14ac:dyDescent="0.25">
      <c r="E1036" t="str">
        <f>"202006167325"</f>
        <v>202006167325</v>
      </c>
      <c r="F1036" t="str">
        <f>"JUV SVCS 1ST QTR FY2020"</f>
        <v>JUV SVCS 1ST QTR FY2020</v>
      </c>
      <c r="G1036" s="5">
        <v>35006.15</v>
      </c>
      <c r="H1036" t="str">
        <f>"JUV SVCS 1ST QTR FY2020"</f>
        <v>JUV SVCS 1ST QTR FY2020</v>
      </c>
    </row>
    <row r="1037" spans="1:8" x14ac:dyDescent="0.25">
      <c r="A1037" t="s">
        <v>53</v>
      </c>
      <c r="B1037">
        <v>132151</v>
      </c>
      <c r="C1037" s="5">
        <v>183.25</v>
      </c>
      <c r="D1037" s="1">
        <v>44000</v>
      </c>
      <c r="E1037" t="str">
        <f>"202006177369"</f>
        <v>202006177369</v>
      </c>
      <c r="F1037" t="str">
        <f>"ACCT#5000057374 / 06292020"</f>
        <v>ACCT#5000057374 / 06292020</v>
      </c>
      <c r="G1037" s="5">
        <v>183.25</v>
      </c>
      <c r="H1037" t="str">
        <f>"ACCT#5000057374 / 06292020"</f>
        <v>ACCT#5000057374 / 06292020</v>
      </c>
    </row>
    <row r="1038" spans="1:8" x14ac:dyDescent="0.25">
      <c r="A1038" t="s">
        <v>61</v>
      </c>
      <c r="B1038">
        <v>543</v>
      </c>
      <c r="C1038" s="5">
        <v>1781.81</v>
      </c>
      <c r="D1038" s="1">
        <v>43990</v>
      </c>
      <c r="E1038" t="str">
        <f>"202006037113"</f>
        <v>202006037113</v>
      </c>
      <c r="F1038" t="str">
        <f>"acct# 0058"</f>
        <v>acct# 0058</v>
      </c>
      <c r="G1038" s="5">
        <v>1781.81</v>
      </c>
      <c r="H1038" t="str">
        <f>"Flu ARmour"</f>
        <v>Flu ARmour</v>
      </c>
    </row>
    <row r="1039" spans="1:8" x14ac:dyDescent="0.25">
      <c r="E1039" t="str">
        <f>""</f>
        <v/>
      </c>
      <c r="F1039" t="str">
        <f>""</f>
        <v/>
      </c>
      <c r="H1039" t="str">
        <f>"Today Classrom"</f>
        <v>Today Classrom</v>
      </c>
    </row>
    <row r="1040" spans="1:8" x14ac:dyDescent="0.25">
      <c r="E1040" t="str">
        <f>""</f>
        <v/>
      </c>
      <c r="F1040" t="str">
        <f>""</f>
        <v/>
      </c>
      <c r="H1040" t="str">
        <f>"Todays classroom"</f>
        <v>Todays classroom</v>
      </c>
    </row>
    <row r="1041" spans="1:8" x14ac:dyDescent="0.25">
      <c r="E1041" t="str">
        <f>""</f>
        <v/>
      </c>
      <c r="F1041" t="str">
        <f>""</f>
        <v/>
      </c>
      <c r="H1041" t="str">
        <f>"Staples"</f>
        <v>Staples</v>
      </c>
    </row>
    <row r="1042" spans="1:8" x14ac:dyDescent="0.25">
      <c r="A1042" t="s">
        <v>316</v>
      </c>
      <c r="B1042">
        <v>132285</v>
      </c>
      <c r="C1042" s="5">
        <v>207812.51</v>
      </c>
      <c r="D1042" s="1">
        <v>44004</v>
      </c>
      <c r="E1042" t="str">
        <f>"202006107244"</f>
        <v>202006107244</v>
      </c>
      <c r="F1042" t="str">
        <f>"APP#4/PROJ#20-19073"</f>
        <v>APP#4/PROJ#20-19073</v>
      </c>
      <c r="G1042" s="5">
        <v>207812.51</v>
      </c>
      <c r="H1042" t="str">
        <f>"APP#4/PROJ#20-19073"</f>
        <v>APP#4/PROJ#20-19073</v>
      </c>
    </row>
    <row r="1043" spans="1:8" x14ac:dyDescent="0.25">
      <c r="A1043" t="s">
        <v>74</v>
      </c>
      <c r="B1043">
        <v>2713</v>
      </c>
      <c r="C1043" s="5">
        <v>8400</v>
      </c>
      <c r="D1043" s="1">
        <v>43991</v>
      </c>
      <c r="E1043" t="str">
        <f>"202004 - 0"</f>
        <v>202004 - 0</v>
      </c>
      <c r="F1043" t="str">
        <f>"ACCT#254472"</f>
        <v>ACCT#254472</v>
      </c>
      <c r="G1043" s="5">
        <v>8400</v>
      </c>
      <c r="H1043" t="str">
        <f>"ACCT#254472"</f>
        <v>ACCT#254472</v>
      </c>
    </row>
    <row r="1044" spans="1:8" x14ac:dyDescent="0.25">
      <c r="A1044" t="s">
        <v>317</v>
      </c>
      <c r="B1044">
        <v>132286</v>
      </c>
      <c r="C1044" s="5">
        <v>2000</v>
      </c>
      <c r="D1044" s="1">
        <v>44004</v>
      </c>
      <c r="E1044" t="str">
        <f>"202006107245"</f>
        <v>202006107245</v>
      </c>
      <c r="F1044" t="str">
        <f>"19-20028"</f>
        <v>19-20028</v>
      </c>
      <c r="G1044" s="5">
        <v>2000</v>
      </c>
      <c r="H1044" t="str">
        <f>"CAUSE#19-20028"</f>
        <v>CAUSE#19-20028</v>
      </c>
    </row>
    <row r="1045" spans="1:8" x14ac:dyDescent="0.25">
      <c r="A1045" t="s">
        <v>82</v>
      </c>
      <c r="B1045">
        <v>132127</v>
      </c>
      <c r="C1045" s="5">
        <v>4975</v>
      </c>
      <c r="D1045" s="1">
        <v>43990</v>
      </c>
      <c r="E1045" t="str">
        <f>"1250"</f>
        <v>1250</v>
      </c>
      <c r="F1045" t="str">
        <f>"SITE WORK/EXCAVATOR"</f>
        <v>SITE WORK/EXCAVATOR</v>
      </c>
      <c r="G1045" s="5">
        <v>4975</v>
      </c>
      <c r="H1045" t="str">
        <f>"SITE WORK/EXCAVATOR"</f>
        <v>SITE WORK/EXCAVATOR</v>
      </c>
    </row>
    <row r="1046" spans="1:8" x14ac:dyDescent="0.25">
      <c r="A1046" t="s">
        <v>82</v>
      </c>
      <c r="B1046">
        <v>132287</v>
      </c>
      <c r="C1046" s="5">
        <v>4950</v>
      </c>
      <c r="D1046" s="1">
        <v>44004</v>
      </c>
      <c r="E1046" t="str">
        <f>"1252"</f>
        <v>1252</v>
      </c>
      <c r="F1046" t="str">
        <f>"inv# 1252"</f>
        <v>inv# 1252</v>
      </c>
      <c r="G1046" s="5">
        <v>4950</v>
      </c>
      <c r="H1046" t="str">
        <f>"inv# 1252"</f>
        <v>inv# 1252</v>
      </c>
    </row>
    <row r="1047" spans="1:8" x14ac:dyDescent="0.25">
      <c r="A1047" t="s">
        <v>318</v>
      </c>
      <c r="B1047">
        <v>132128</v>
      </c>
      <c r="C1047" s="5">
        <v>2627</v>
      </c>
      <c r="D1047" s="1">
        <v>43990</v>
      </c>
      <c r="E1047" t="str">
        <f>"385502"</f>
        <v>385502</v>
      </c>
      <c r="F1047" t="str">
        <f>"inv# 385502"</f>
        <v>inv# 385502</v>
      </c>
      <c r="G1047" s="5">
        <v>2627</v>
      </c>
      <c r="H1047" t="str">
        <f>"Inv 385502"</f>
        <v>Inv 385502</v>
      </c>
    </row>
    <row r="1048" spans="1:8" x14ac:dyDescent="0.25">
      <c r="A1048" t="s">
        <v>319</v>
      </c>
      <c r="B1048">
        <v>132288</v>
      </c>
      <c r="C1048" s="5">
        <v>26105</v>
      </c>
      <c r="D1048" s="1">
        <v>44004</v>
      </c>
      <c r="E1048" t="str">
        <f>"15781"</f>
        <v>15781</v>
      </c>
      <c r="F1048" t="str">
        <f>"inv# 15781"</f>
        <v>inv# 15781</v>
      </c>
      <c r="G1048" s="5">
        <v>26105</v>
      </c>
      <c r="H1048" t="str">
        <f>"Tent"</f>
        <v>Tent</v>
      </c>
    </row>
    <row r="1049" spans="1:8" x14ac:dyDescent="0.25">
      <c r="E1049" t="str">
        <f>""</f>
        <v/>
      </c>
      <c r="F1049" t="str">
        <f>""</f>
        <v/>
      </c>
      <c r="H1049" t="str">
        <f>"50 Gallon Barrell"</f>
        <v>50 Gallon Barrell</v>
      </c>
    </row>
    <row r="1050" spans="1:8" x14ac:dyDescent="0.25">
      <c r="E1050" t="str">
        <f>""</f>
        <v/>
      </c>
      <c r="F1050" t="str">
        <f>""</f>
        <v/>
      </c>
      <c r="H1050" t="str">
        <f>"Tent Wall"</f>
        <v>Tent Wall</v>
      </c>
    </row>
    <row r="1051" spans="1:8" x14ac:dyDescent="0.25">
      <c r="E1051" t="str">
        <f>""</f>
        <v/>
      </c>
      <c r="F1051" t="str">
        <f>""</f>
        <v/>
      </c>
      <c r="H1051" t="str">
        <f>"Discount"</f>
        <v>Discount</v>
      </c>
    </row>
    <row r="1052" spans="1:8" x14ac:dyDescent="0.25">
      <c r="A1052" t="s">
        <v>320</v>
      </c>
      <c r="B1052">
        <v>132129</v>
      </c>
      <c r="C1052" s="5">
        <v>3700</v>
      </c>
      <c r="D1052" s="1">
        <v>43990</v>
      </c>
      <c r="E1052" t="str">
        <f>"202006027105"</f>
        <v>202006027105</v>
      </c>
      <c r="F1052" t="str">
        <f>"30 Day Lease Ext. 05/27"</f>
        <v>30 Day Lease Ext. 05/27</v>
      </c>
      <c r="G1052" s="5">
        <v>3700</v>
      </c>
      <c r="H1052" t="str">
        <f>"Lease Payment"</f>
        <v>Lease Payment</v>
      </c>
    </row>
    <row r="1053" spans="1:8" x14ac:dyDescent="0.25">
      <c r="A1053" t="s">
        <v>320</v>
      </c>
      <c r="B1053">
        <v>132294</v>
      </c>
      <c r="C1053" s="5">
        <v>22200</v>
      </c>
      <c r="D1053" s="1">
        <v>44008</v>
      </c>
      <c r="E1053" t="str">
        <f>"202006267401"</f>
        <v>202006267401</v>
      </c>
      <c r="F1053" t="str">
        <f>"Lease"</f>
        <v>Lease</v>
      </c>
      <c r="G1053" s="5">
        <v>22200</v>
      </c>
      <c r="H1053" t="str">
        <f>"Lease"</f>
        <v>Lease</v>
      </c>
    </row>
    <row r="1054" spans="1:8" x14ac:dyDescent="0.25">
      <c r="A1054" t="s">
        <v>321</v>
      </c>
      <c r="B1054">
        <v>2715</v>
      </c>
      <c r="C1054" s="5">
        <v>3498</v>
      </c>
      <c r="D1054" s="1">
        <v>43991</v>
      </c>
      <c r="E1054" t="str">
        <f>"103292"</f>
        <v>103292</v>
      </c>
      <c r="F1054" t="str">
        <f>"Sprayer Invoice"</f>
        <v>Sprayer Invoice</v>
      </c>
      <c r="G1054" s="5">
        <v>3498</v>
      </c>
      <c r="H1054" t="str">
        <f>"Item# 73.7001"</f>
        <v>Item# 73.7001</v>
      </c>
    </row>
    <row r="1055" spans="1:8" x14ac:dyDescent="0.25">
      <c r="A1055" t="s">
        <v>322</v>
      </c>
      <c r="B1055">
        <v>132289</v>
      </c>
      <c r="C1055" s="5">
        <v>2051.38</v>
      </c>
      <c r="D1055" s="1">
        <v>44004</v>
      </c>
      <c r="E1055" t="str">
        <f>"0263842-IN"</f>
        <v>0263842-IN</v>
      </c>
      <c r="F1055" t="str">
        <f>"DC Sheilds for Offices"</f>
        <v>DC Sheilds for Offices</v>
      </c>
      <c r="G1055" s="5">
        <v>2051.38</v>
      </c>
      <c r="H1055" t="str">
        <f>"PR1375CLR107"</f>
        <v>PR1375CLR107</v>
      </c>
    </row>
    <row r="1056" spans="1:8" x14ac:dyDescent="0.25">
      <c r="E1056" t="str">
        <f>""</f>
        <v/>
      </c>
      <c r="F1056" t="str">
        <f>""</f>
        <v/>
      </c>
      <c r="H1056" t="str">
        <f>"PR5375CLR120"</f>
        <v>PR5375CLR120</v>
      </c>
    </row>
    <row r="1057" spans="1:8" x14ac:dyDescent="0.25">
      <c r="E1057" t="str">
        <f>""</f>
        <v/>
      </c>
      <c r="F1057" t="str">
        <f>""</f>
        <v/>
      </c>
      <c r="H1057" t="str">
        <f>"PR5375CLR092"</f>
        <v>PR5375CLR092</v>
      </c>
    </row>
    <row r="1058" spans="1:8" x14ac:dyDescent="0.25">
      <c r="E1058" t="str">
        <f>""</f>
        <v/>
      </c>
      <c r="F1058" t="str">
        <f>""</f>
        <v/>
      </c>
      <c r="H1058" t="str">
        <f>"PR5M375CLR120"</f>
        <v>PR5M375CLR120</v>
      </c>
    </row>
    <row r="1059" spans="1:8" x14ac:dyDescent="0.25">
      <c r="E1059" t="str">
        <f>""</f>
        <v/>
      </c>
      <c r="F1059" t="str">
        <f>""</f>
        <v/>
      </c>
      <c r="H1059" t="str">
        <f>"PR5M375CLR092"</f>
        <v>PR5M375CLR092</v>
      </c>
    </row>
    <row r="1060" spans="1:8" x14ac:dyDescent="0.25">
      <c r="E1060" t="str">
        <f>""</f>
        <v/>
      </c>
      <c r="F1060" t="str">
        <f>""</f>
        <v/>
      </c>
      <c r="H1060" t="str">
        <f>"PR7D375CLR107"</f>
        <v>PR7D375CLR107</v>
      </c>
    </row>
    <row r="1061" spans="1:8" x14ac:dyDescent="0.25">
      <c r="E1061" t="str">
        <f>""</f>
        <v/>
      </c>
      <c r="F1061" t="str">
        <f>""</f>
        <v/>
      </c>
      <c r="H1061" t="str">
        <f>"PR5M375CLR120"</f>
        <v>PR5M375CLR120</v>
      </c>
    </row>
    <row r="1062" spans="1:8" x14ac:dyDescent="0.25">
      <c r="E1062" t="str">
        <f>""</f>
        <v/>
      </c>
      <c r="F1062" t="str">
        <f>""</f>
        <v/>
      </c>
      <c r="H1062" t="str">
        <f>"PR5M375CLR092"</f>
        <v>PR5M375CLR092</v>
      </c>
    </row>
    <row r="1063" spans="1:8" x14ac:dyDescent="0.25">
      <c r="E1063" t="str">
        <f>""</f>
        <v/>
      </c>
      <c r="F1063" t="str">
        <f>""</f>
        <v/>
      </c>
      <c r="H1063" t="str">
        <f>"PR5375CLR120"</f>
        <v>PR5375CLR120</v>
      </c>
    </row>
    <row r="1064" spans="1:8" x14ac:dyDescent="0.25">
      <c r="E1064" t="str">
        <f>""</f>
        <v/>
      </c>
      <c r="F1064" t="str">
        <f>""</f>
        <v/>
      </c>
      <c r="H1064" t="str">
        <f>"PR5M375CLR092"</f>
        <v>PR5M375CLR092</v>
      </c>
    </row>
    <row r="1065" spans="1:8" x14ac:dyDescent="0.25">
      <c r="E1065" t="str">
        <f>""</f>
        <v/>
      </c>
      <c r="F1065" t="str">
        <f>""</f>
        <v/>
      </c>
      <c r="H1065" t="str">
        <f>"R56B"</f>
        <v>R56B</v>
      </c>
    </row>
    <row r="1066" spans="1:8" x14ac:dyDescent="0.25">
      <c r="E1066" t="str">
        <f>""</f>
        <v/>
      </c>
      <c r="F1066" t="str">
        <f>""</f>
        <v/>
      </c>
      <c r="H1066" t="str">
        <f>"VT610RGRYV"</f>
        <v>VT610RGRYV</v>
      </c>
    </row>
    <row r="1067" spans="1:8" x14ac:dyDescent="0.25">
      <c r="A1067" t="s">
        <v>174</v>
      </c>
      <c r="B1067">
        <v>2714</v>
      </c>
      <c r="C1067" s="5">
        <v>287.58</v>
      </c>
      <c r="D1067" s="1">
        <v>43991</v>
      </c>
      <c r="E1067" t="str">
        <f>"689559"</f>
        <v>689559</v>
      </c>
      <c r="F1067" t="str">
        <f>"ORD#408912"</f>
        <v>ORD#408912</v>
      </c>
      <c r="G1067" s="5">
        <v>287.58</v>
      </c>
      <c r="H1067" t="str">
        <f>"ORD#408912"</f>
        <v>ORD#408912</v>
      </c>
    </row>
    <row r="1068" spans="1:8" x14ac:dyDescent="0.25">
      <c r="A1068" t="s">
        <v>198</v>
      </c>
      <c r="B1068">
        <v>132290</v>
      </c>
      <c r="C1068" s="5">
        <v>81.98</v>
      </c>
      <c r="D1068" s="1">
        <v>44004</v>
      </c>
      <c r="E1068" t="str">
        <f>"15005138"</f>
        <v>15005138</v>
      </c>
      <c r="F1068" t="str">
        <f>"bill# 15005138"</f>
        <v>bill# 15005138</v>
      </c>
      <c r="G1068" s="5">
        <v>81.98</v>
      </c>
      <c r="H1068" t="str">
        <f>"Ord# 501485505001"</f>
        <v>Ord# 501485505001</v>
      </c>
    </row>
    <row r="1069" spans="1:8" x14ac:dyDescent="0.25">
      <c r="A1069" t="s">
        <v>248</v>
      </c>
      <c r="B1069">
        <v>132130</v>
      </c>
      <c r="C1069" s="5">
        <v>7092.27</v>
      </c>
      <c r="D1069" s="1">
        <v>43990</v>
      </c>
      <c r="E1069" t="str">
        <f>"10770"</f>
        <v>10770</v>
      </c>
      <c r="F1069" t="str">
        <f>"Plotter"</f>
        <v>Plotter</v>
      </c>
      <c r="G1069" s="5">
        <v>7092.27</v>
      </c>
      <c r="H1069" t="str">
        <f>"HP DesignJet"</f>
        <v>HP DesignJet</v>
      </c>
    </row>
    <row r="1070" spans="1:8" x14ac:dyDescent="0.25">
      <c r="E1070" t="str">
        <f>""</f>
        <v/>
      </c>
      <c r="F1070" t="str">
        <f>""</f>
        <v/>
      </c>
      <c r="H1070" t="str">
        <f>"HP Care Pack"</f>
        <v>HP Care Pack</v>
      </c>
    </row>
    <row r="1071" spans="1:8" x14ac:dyDescent="0.25">
      <c r="A1071" t="s">
        <v>269</v>
      </c>
      <c r="B1071">
        <v>132291</v>
      </c>
      <c r="C1071" s="5">
        <v>1437.31</v>
      </c>
      <c r="D1071" s="1">
        <v>44004</v>
      </c>
      <c r="E1071" t="str">
        <f>"27081-WC3-APTF"</f>
        <v>27081-WC3-APTF</v>
      </c>
      <c r="F1071" t="str">
        <f>"3RD QTR WRKRS COMP/#0110"</f>
        <v>3RD QTR WRKRS COMP/#0110</v>
      </c>
      <c r="G1071" s="5">
        <v>1437.31</v>
      </c>
      <c r="H1071" t="str">
        <f>"3RD QTR WRKRS COMP/#0110"</f>
        <v>3RD QTR WRKRS COMP/#0110</v>
      </c>
    </row>
    <row r="1072" spans="1:8" x14ac:dyDescent="0.25">
      <c r="A1072" t="s">
        <v>323</v>
      </c>
      <c r="B1072">
        <v>2782</v>
      </c>
      <c r="C1072" s="5">
        <v>7350</v>
      </c>
      <c r="D1072" s="1">
        <v>44005</v>
      </c>
      <c r="E1072" t="str">
        <f>"VZ-CV-1764"</f>
        <v>VZ-CV-1764</v>
      </c>
      <c r="F1072" t="str">
        <f>"PPE"</f>
        <v>PPE</v>
      </c>
      <c r="G1072" s="5">
        <v>7350</v>
      </c>
      <c r="H1072" t="str">
        <f>"Disposable Mask"</f>
        <v>Disposable Mask</v>
      </c>
    </row>
    <row r="1073" spans="1:8" x14ac:dyDescent="0.25">
      <c r="A1073" t="s">
        <v>324</v>
      </c>
      <c r="B1073">
        <v>566</v>
      </c>
      <c r="C1073" s="5">
        <v>4909.0600000000004</v>
      </c>
      <c r="D1073" s="1">
        <v>44011</v>
      </c>
      <c r="E1073" t="str">
        <f>"202006267402"</f>
        <v>202006267402</v>
      </c>
      <c r="F1073" t="str">
        <f>"ALLSTATE-AMERICAN HERITAGE LIF"</f>
        <v>ALLSTATE-AMERICAN HERITAGE LIF</v>
      </c>
      <c r="G1073" s="5">
        <v>0.04</v>
      </c>
      <c r="H1073" t="str">
        <f>"ALLSTATE-AMERICAN HERITAGE LIF"</f>
        <v>ALLSTATE-AMERICAN HERITAGE LIF</v>
      </c>
    </row>
    <row r="1074" spans="1:8" x14ac:dyDescent="0.25">
      <c r="E1074" t="str">
        <f>"AS 202006097241"</f>
        <v>AS 202006097241</v>
      </c>
      <c r="F1074" t="str">
        <f t="shared" ref="F1074:F1087" si="13">"ALLSTATE"</f>
        <v>ALLSTATE</v>
      </c>
      <c r="G1074" s="5">
        <v>478.93</v>
      </c>
      <c r="H1074" t="str">
        <f t="shared" ref="H1074:H1087" si="14">"ALLSTATE"</f>
        <v>ALLSTATE</v>
      </c>
    </row>
    <row r="1075" spans="1:8" x14ac:dyDescent="0.25">
      <c r="E1075" t="str">
        <f>"AS 202006107242"</f>
        <v>AS 202006107242</v>
      </c>
      <c r="F1075" t="str">
        <f t="shared" si="13"/>
        <v>ALLSTATE</v>
      </c>
      <c r="G1075" s="5">
        <v>27.14</v>
      </c>
      <c r="H1075" t="str">
        <f t="shared" si="14"/>
        <v>ALLSTATE</v>
      </c>
    </row>
    <row r="1076" spans="1:8" x14ac:dyDescent="0.25">
      <c r="E1076" t="str">
        <f>"AS 202006247386"</f>
        <v>AS 202006247386</v>
      </c>
      <c r="F1076" t="str">
        <f t="shared" si="13"/>
        <v>ALLSTATE</v>
      </c>
      <c r="G1076" s="5">
        <v>478.93</v>
      </c>
      <c r="H1076" t="str">
        <f t="shared" si="14"/>
        <v>ALLSTATE</v>
      </c>
    </row>
    <row r="1077" spans="1:8" x14ac:dyDescent="0.25">
      <c r="E1077" t="str">
        <f>"AS 202006247387"</f>
        <v>AS 202006247387</v>
      </c>
      <c r="F1077" t="str">
        <f t="shared" si="13"/>
        <v>ALLSTATE</v>
      </c>
      <c r="G1077" s="5">
        <v>27.14</v>
      </c>
      <c r="H1077" t="str">
        <f t="shared" si="14"/>
        <v>ALLSTATE</v>
      </c>
    </row>
    <row r="1078" spans="1:8" x14ac:dyDescent="0.25">
      <c r="E1078" t="str">
        <f>"ASD202006097241"</f>
        <v>ASD202006097241</v>
      </c>
      <c r="F1078" t="str">
        <f t="shared" si="13"/>
        <v>ALLSTATE</v>
      </c>
      <c r="G1078" s="5">
        <v>170.21</v>
      </c>
      <c r="H1078" t="str">
        <f t="shared" si="14"/>
        <v>ALLSTATE</v>
      </c>
    </row>
    <row r="1079" spans="1:8" x14ac:dyDescent="0.25">
      <c r="E1079" t="str">
        <f>"ASD202006247386"</f>
        <v>ASD202006247386</v>
      </c>
      <c r="F1079" t="str">
        <f t="shared" si="13"/>
        <v>ALLSTATE</v>
      </c>
      <c r="G1079" s="5">
        <v>170.21</v>
      </c>
      <c r="H1079" t="str">
        <f t="shared" si="14"/>
        <v>ALLSTATE</v>
      </c>
    </row>
    <row r="1080" spans="1:8" x14ac:dyDescent="0.25">
      <c r="E1080" t="str">
        <f>"ASI202006097241"</f>
        <v>ASI202006097241</v>
      </c>
      <c r="F1080" t="str">
        <f t="shared" si="13"/>
        <v>ALLSTATE</v>
      </c>
      <c r="G1080" s="5">
        <v>592.16</v>
      </c>
      <c r="H1080" t="str">
        <f t="shared" si="14"/>
        <v>ALLSTATE</v>
      </c>
    </row>
    <row r="1081" spans="1:8" x14ac:dyDescent="0.25">
      <c r="E1081" t="str">
        <f>"ASI202006107242"</f>
        <v>ASI202006107242</v>
      </c>
      <c r="F1081" t="str">
        <f t="shared" si="13"/>
        <v>ALLSTATE</v>
      </c>
      <c r="G1081" s="5">
        <v>67.150000000000006</v>
      </c>
      <c r="H1081" t="str">
        <f t="shared" si="14"/>
        <v>ALLSTATE</v>
      </c>
    </row>
    <row r="1082" spans="1:8" x14ac:dyDescent="0.25">
      <c r="E1082" t="str">
        <f>"ASI202006247386"</f>
        <v>ASI202006247386</v>
      </c>
      <c r="F1082" t="str">
        <f t="shared" si="13"/>
        <v>ALLSTATE</v>
      </c>
      <c r="G1082" s="5">
        <v>592.16</v>
      </c>
      <c r="H1082" t="str">
        <f t="shared" si="14"/>
        <v>ALLSTATE</v>
      </c>
    </row>
    <row r="1083" spans="1:8" x14ac:dyDescent="0.25">
      <c r="E1083" t="str">
        <f>"ASI202006247387"</f>
        <v>ASI202006247387</v>
      </c>
      <c r="F1083" t="str">
        <f t="shared" si="13"/>
        <v>ALLSTATE</v>
      </c>
      <c r="G1083" s="5">
        <v>67.150000000000006</v>
      </c>
      <c r="H1083" t="str">
        <f t="shared" si="14"/>
        <v>ALLSTATE</v>
      </c>
    </row>
    <row r="1084" spans="1:8" x14ac:dyDescent="0.25">
      <c r="E1084" t="str">
        <f>"AST202006097241"</f>
        <v>AST202006097241</v>
      </c>
      <c r="F1084" t="str">
        <f t="shared" si="13"/>
        <v>ALLSTATE</v>
      </c>
      <c r="G1084" s="5">
        <v>1076.31</v>
      </c>
      <c r="H1084" t="str">
        <f t="shared" si="14"/>
        <v>ALLSTATE</v>
      </c>
    </row>
    <row r="1085" spans="1:8" x14ac:dyDescent="0.25">
      <c r="E1085" t="str">
        <f>"AST202006107242"</f>
        <v>AST202006107242</v>
      </c>
      <c r="F1085" t="str">
        <f t="shared" si="13"/>
        <v>ALLSTATE</v>
      </c>
      <c r="G1085" s="5">
        <v>42.61</v>
      </c>
      <c r="H1085" t="str">
        <f t="shared" si="14"/>
        <v>ALLSTATE</v>
      </c>
    </row>
    <row r="1086" spans="1:8" x14ac:dyDescent="0.25">
      <c r="E1086" t="str">
        <f>"AST202006247386"</f>
        <v>AST202006247386</v>
      </c>
      <c r="F1086" t="str">
        <f t="shared" si="13"/>
        <v>ALLSTATE</v>
      </c>
      <c r="G1086" s="5">
        <v>1076.31</v>
      </c>
      <c r="H1086" t="str">
        <f t="shared" si="14"/>
        <v>ALLSTATE</v>
      </c>
    </row>
    <row r="1087" spans="1:8" x14ac:dyDescent="0.25">
      <c r="E1087" t="str">
        <f>"AST202006247387"</f>
        <v>AST202006247387</v>
      </c>
      <c r="F1087" t="str">
        <f t="shared" si="13"/>
        <v>ALLSTATE</v>
      </c>
      <c r="G1087" s="5">
        <v>42.61</v>
      </c>
      <c r="H1087" t="str">
        <f t="shared" si="14"/>
        <v>ALLSTATE</v>
      </c>
    </row>
    <row r="1088" spans="1:8" x14ac:dyDescent="0.25">
      <c r="A1088" t="s">
        <v>325</v>
      </c>
      <c r="B1088">
        <v>562</v>
      </c>
      <c r="C1088" s="5">
        <v>28003.06</v>
      </c>
      <c r="D1088" s="1">
        <v>44011</v>
      </c>
      <c r="E1088" t="str">
        <f>"202006267399"</f>
        <v>202006267399</v>
      </c>
      <c r="F1088" t="str">
        <f>"AmWINS Group Benefits  Inc."</f>
        <v>AmWINS Group Benefits  Inc.</v>
      </c>
      <c r="G1088" s="5">
        <v>28003.06</v>
      </c>
      <c r="H1088" t="str">
        <f>"AmWINS Group Benefits  Inc."</f>
        <v>AmWINS Group Benefits  Inc.</v>
      </c>
    </row>
    <row r="1089" spans="1:8" x14ac:dyDescent="0.25">
      <c r="A1089" t="s">
        <v>326</v>
      </c>
      <c r="B1089">
        <v>550</v>
      </c>
      <c r="C1089" s="5">
        <v>2378.08</v>
      </c>
      <c r="D1089" s="1">
        <v>43994</v>
      </c>
      <c r="E1089" t="str">
        <f>"DHM202006107243"</f>
        <v>DHM202006107243</v>
      </c>
      <c r="F1089" t="str">
        <f>"AP - DENTAL HMO"</f>
        <v>AP - DENTAL HMO</v>
      </c>
      <c r="G1089" s="5">
        <v>45.09</v>
      </c>
      <c r="H1089" t="str">
        <f>"AP - DENTAL HMO"</f>
        <v>AP - DENTAL HMO</v>
      </c>
    </row>
    <row r="1090" spans="1:8" x14ac:dyDescent="0.25">
      <c r="E1090" t="str">
        <f>"DTX202006107243"</f>
        <v>DTX202006107243</v>
      </c>
      <c r="F1090" t="str">
        <f>"AP - TEXAS DENTAL"</f>
        <v>AP - TEXAS DENTAL</v>
      </c>
      <c r="G1090" s="5">
        <v>405.38</v>
      </c>
      <c r="H1090" t="str">
        <f>"AP - TEXAS DENTAL"</f>
        <v>AP - TEXAS DENTAL</v>
      </c>
    </row>
    <row r="1091" spans="1:8" x14ac:dyDescent="0.25">
      <c r="E1091" t="str">
        <f>"FD 202006107243"</f>
        <v>FD 202006107243</v>
      </c>
      <c r="F1091" t="str">
        <f>"AP - FT DEARBORN PRE-TAX"</f>
        <v>AP - FT DEARBORN PRE-TAX</v>
      </c>
      <c r="G1091" s="5">
        <v>80.09</v>
      </c>
      <c r="H1091" t="str">
        <f>"AP - FT DEARBORN PRE-TAX"</f>
        <v>AP - FT DEARBORN PRE-TAX</v>
      </c>
    </row>
    <row r="1092" spans="1:8" x14ac:dyDescent="0.25">
      <c r="E1092" t="str">
        <f>"FDT202006107243"</f>
        <v>FDT202006107243</v>
      </c>
      <c r="F1092" t="str">
        <f>"AP - FT DEARBORN AFTER TAX"</f>
        <v>AP - FT DEARBORN AFTER TAX</v>
      </c>
      <c r="G1092" s="5">
        <v>68.44</v>
      </c>
      <c r="H1092" t="str">
        <f>"AP - FT DEARBORN AFTER TAX"</f>
        <v>AP - FT DEARBORN AFTER TAX</v>
      </c>
    </row>
    <row r="1093" spans="1:8" x14ac:dyDescent="0.25">
      <c r="E1093" t="str">
        <f>"FLX202006107243"</f>
        <v>FLX202006107243</v>
      </c>
      <c r="F1093" t="str">
        <f>"AP - TEX FLEX"</f>
        <v>AP - TEX FLEX</v>
      </c>
      <c r="G1093" s="5">
        <v>80.5</v>
      </c>
      <c r="H1093" t="str">
        <f>"AP - TEX FLEX"</f>
        <v>AP - TEX FLEX</v>
      </c>
    </row>
    <row r="1094" spans="1:8" x14ac:dyDescent="0.25">
      <c r="E1094" t="str">
        <f>"HSA202006107243"</f>
        <v>HSA202006107243</v>
      </c>
      <c r="F1094" t="str">
        <f>"AP- HSA"</f>
        <v>AP- HSA</v>
      </c>
      <c r="G1094" s="5">
        <v>20</v>
      </c>
      <c r="H1094" t="str">
        <f>"AP- HSA"</f>
        <v>AP- HSA</v>
      </c>
    </row>
    <row r="1095" spans="1:8" x14ac:dyDescent="0.25">
      <c r="E1095" t="str">
        <f>"MHS202006107243"</f>
        <v>MHS202006107243</v>
      </c>
      <c r="F1095" t="str">
        <f>"AP - HEALTH SELECT MEDICAL"</f>
        <v>AP - HEALTH SELECT MEDICAL</v>
      </c>
      <c r="G1095" s="5">
        <v>1257.6500000000001</v>
      </c>
      <c r="H1095" t="str">
        <f>"AP - HEALTH SELECT MEDICAL"</f>
        <v>AP - HEALTH SELECT MEDICAL</v>
      </c>
    </row>
    <row r="1096" spans="1:8" x14ac:dyDescent="0.25">
      <c r="E1096" t="str">
        <f>"MSW202006107243"</f>
        <v>MSW202006107243</v>
      </c>
      <c r="F1096" t="str">
        <f>"AP - SCOTT &amp; WHITE MEDICAL"</f>
        <v>AP - SCOTT &amp; WHITE MEDICAL</v>
      </c>
      <c r="G1096" s="5">
        <v>372.9</v>
      </c>
      <c r="H1096" t="str">
        <f>"AP - SCOTT &amp; WHITE MEDICAL"</f>
        <v>AP - SCOTT &amp; WHITE MEDICAL</v>
      </c>
    </row>
    <row r="1097" spans="1:8" x14ac:dyDescent="0.25">
      <c r="E1097" t="str">
        <f>"SPE202006107243"</f>
        <v>SPE202006107243</v>
      </c>
      <c r="F1097" t="str">
        <f>"AP - STATE VISION"</f>
        <v>AP - STATE VISION</v>
      </c>
      <c r="G1097" s="5">
        <v>48.03</v>
      </c>
      <c r="H1097" t="str">
        <f>"AP - STATE VISION"</f>
        <v>AP - STATE VISION</v>
      </c>
    </row>
    <row r="1098" spans="1:8" x14ac:dyDescent="0.25">
      <c r="A1098" t="s">
        <v>326</v>
      </c>
      <c r="B1098">
        <v>557</v>
      </c>
      <c r="C1098" s="5">
        <v>2378.08</v>
      </c>
      <c r="D1098" s="1">
        <v>44008</v>
      </c>
      <c r="E1098" t="str">
        <f>"DHM202006247388"</f>
        <v>DHM202006247388</v>
      </c>
      <c r="F1098" t="str">
        <f>"AP - DENTAL HMO"</f>
        <v>AP - DENTAL HMO</v>
      </c>
      <c r="G1098" s="5">
        <v>45.09</v>
      </c>
      <c r="H1098" t="str">
        <f>"AP - DENTAL HMO"</f>
        <v>AP - DENTAL HMO</v>
      </c>
    </row>
    <row r="1099" spans="1:8" x14ac:dyDescent="0.25">
      <c r="E1099" t="str">
        <f>"DTX202006247388"</f>
        <v>DTX202006247388</v>
      </c>
      <c r="F1099" t="str">
        <f>"AP - TEXAS DENTAL"</f>
        <v>AP - TEXAS DENTAL</v>
      </c>
      <c r="G1099" s="5">
        <v>405.38</v>
      </c>
      <c r="H1099" t="str">
        <f>"AP - TEXAS DENTAL"</f>
        <v>AP - TEXAS DENTAL</v>
      </c>
    </row>
    <row r="1100" spans="1:8" x14ac:dyDescent="0.25">
      <c r="E1100" t="str">
        <f>"FD 202006247388"</f>
        <v>FD 202006247388</v>
      </c>
      <c r="F1100" t="str">
        <f>"AP - FT DEARBORN PRE-TAX"</f>
        <v>AP - FT DEARBORN PRE-TAX</v>
      </c>
      <c r="G1100" s="5">
        <v>80.09</v>
      </c>
      <c r="H1100" t="str">
        <f>"AP - FT DEARBORN PRE-TAX"</f>
        <v>AP - FT DEARBORN PRE-TAX</v>
      </c>
    </row>
    <row r="1101" spans="1:8" x14ac:dyDescent="0.25">
      <c r="E1101" t="str">
        <f>"FDT202006247388"</f>
        <v>FDT202006247388</v>
      </c>
      <c r="F1101" t="str">
        <f>"AP - FT DEARBORN AFTER TAX"</f>
        <v>AP - FT DEARBORN AFTER TAX</v>
      </c>
      <c r="G1101" s="5">
        <v>68.44</v>
      </c>
      <c r="H1101" t="str">
        <f>"AP - FT DEARBORN AFTER TAX"</f>
        <v>AP - FT DEARBORN AFTER TAX</v>
      </c>
    </row>
    <row r="1102" spans="1:8" x14ac:dyDescent="0.25">
      <c r="E1102" t="str">
        <f>"FLX202006247388"</f>
        <v>FLX202006247388</v>
      </c>
      <c r="F1102" t="str">
        <f>"AP - TEX FLEX"</f>
        <v>AP - TEX FLEX</v>
      </c>
      <c r="G1102" s="5">
        <v>80.5</v>
      </c>
      <c r="H1102" t="str">
        <f>"AP - TEX FLEX"</f>
        <v>AP - TEX FLEX</v>
      </c>
    </row>
    <row r="1103" spans="1:8" x14ac:dyDescent="0.25">
      <c r="E1103" t="str">
        <f>"HSA202006247388"</f>
        <v>HSA202006247388</v>
      </c>
      <c r="F1103" t="str">
        <f>"AP- HSA"</f>
        <v>AP- HSA</v>
      </c>
      <c r="G1103" s="5">
        <v>20</v>
      </c>
      <c r="H1103" t="str">
        <f>"AP- HSA"</f>
        <v>AP- HSA</v>
      </c>
    </row>
    <row r="1104" spans="1:8" x14ac:dyDescent="0.25">
      <c r="E1104" t="str">
        <f>"MHS202006247388"</f>
        <v>MHS202006247388</v>
      </c>
      <c r="F1104" t="str">
        <f>"AP - HEALTH SELECT MEDICAL"</f>
        <v>AP - HEALTH SELECT MEDICAL</v>
      </c>
      <c r="G1104" s="5">
        <v>1257.6500000000001</v>
      </c>
      <c r="H1104" t="str">
        <f>"AP - HEALTH SELECT MEDICAL"</f>
        <v>AP - HEALTH SELECT MEDICAL</v>
      </c>
    </row>
    <row r="1105" spans="1:8" x14ac:dyDescent="0.25">
      <c r="E1105" t="str">
        <f>"MSW202006247388"</f>
        <v>MSW202006247388</v>
      </c>
      <c r="F1105" t="str">
        <f>"AP - SCOTT &amp; WHITE MEDICAL"</f>
        <v>AP - SCOTT &amp; WHITE MEDICAL</v>
      </c>
      <c r="G1105" s="5">
        <v>372.9</v>
      </c>
      <c r="H1105" t="str">
        <f>"AP - SCOTT &amp; WHITE MEDICAL"</f>
        <v>AP - SCOTT &amp; WHITE MEDICAL</v>
      </c>
    </row>
    <row r="1106" spans="1:8" x14ac:dyDescent="0.25">
      <c r="E1106" t="str">
        <f>"SPE202006247388"</f>
        <v>SPE202006247388</v>
      </c>
      <c r="F1106" t="str">
        <f>"AP - STATE VISION"</f>
        <v>AP - STATE VISION</v>
      </c>
      <c r="G1106" s="5">
        <v>48.03</v>
      </c>
      <c r="H1106" t="str">
        <f>"AP - STATE VISION"</f>
        <v>AP - STATE VISION</v>
      </c>
    </row>
    <row r="1107" spans="1:8" x14ac:dyDescent="0.25">
      <c r="A1107" t="s">
        <v>327</v>
      </c>
      <c r="B1107">
        <v>567</v>
      </c>
      <c r="C1107" s="5">
        <v>4806.5</v>
      </c>
      <c r="D1107" s="1">
        <v>44011</v>
      </c>
      <c r="E1107" t="str">
        <f>"202006267403"</f>
        <v>202006267403</v>
      </c>
      <c r="F1107" t="str">
        <f>"COLONIAL LIFE &amp; ACCIDENT INS."</f>
        <v>COLONIAL LIFE &amp; ACCIDENT INS.</v>
      </c>
      <c r="G1107" s="5">
        <v>0.46</v>
      </c>
      <c r="H1107" t="str">
        <f>"COLONIAL LIFE &amp; ACCIDENT INS."</f>
        <v>COLONIAL LIFE &amp; ACCIDENT INS.</v>
      </c>
    </row>
    <row r="1108" spans="1:8" x14ac:dyDescent="0.25">
      <c r="E1108" t="str">
        <f>"CL 202006097241"</f>
        <v>CL 202006097241</v>
      </c>
      <c r="F1108" t="str">
        <f t="shared" ref="F1108:F1127" si="15">"COLONIAL"</f>
        <v>COLONIAL</v>
      </c>
      <c r="G1108" s="5">
        <v>596.15</v>
      </c>
      <c r="H1108" t="str">
        <f t="shared" ref="H1108:H1127" si="16">"COLONIAL"</f>
        <v>COLONIAL</v>
      </c>
    </row>
    <row r="1109" spans="1:8" x14ac:dyDescent="0.25">
      <c r="E1109" t="str">
        <f>"CL 202006107242"</f>
        <v>CL 202006107242</v>
      </c>
      <c r="F1109" t="str">
        <f t="shared" si="15"/>
        <v>COLONIAL</v>
      </c>
      <c r="G1109" s="5">
        <v>14.49</v>
      </c>
      <c r="H1109" t="str">
        <f t="shared" si="16"/>
        <v>COLONIAL</v>
      </c>
    </row>
    <row r="1110" spans="1:8" x14ac:dyDescent="0.25">
      <c r="E1110" t="str">
        <f>"CL 202006247386"</f>
        <v>CL 202006247386</v>
      </c>
      <c r="F1110" t="str">
        <f t="shared" si="15"/>
        <v>COLONIAL</v>
      </c>
      <c r="G1110" s="5">
        <v>596.15</v>
      </c>
      <c r="H1110" t="str">
        <f t="shared" si="16"/>
        <v>COLONIAL</v>
      </c>
    </row>
    <row r="1111" spans="1:8" x14ac:dyDescent="0.25">
      <c r="E1111" t="str">
        <f>"CL 202006247387"</f>
        <v>CL 202006247387</v>
      </c>
      <c r="F1111" t="str">
        <f t="shared" si="15"/>
        <v>COLONIAL</v>
      </c>
      <c r="G1111" s="5">
        <v>14.49</v>
      </c>
      <c r="H1111" t="str">
        <f t="shared" si="16"/>
        <v>COLONIAL</v>
      </c>
    </row>
    <row r="1112" spans="1:8" x14ac:dyDescent="0.25">
      <c r="E1112" t="str">
        <f>"CLC202006097241"</f>
        <v>CLC202006097241</v>
      </c>
      <c r="F1112" t="str">
        <f t="shared" si="15"/>
        <v>COLONIAL</v>
      </c>
      <c r="G1112" s="5">
        <v>33.99</v>
      </c>
      <c r="H1112" t="str">
        <f t="shared" si="16"/>
        <v>COLONIAL</v>
      </c>
    </row>
    <row r="1113" spans="1:8" x14ac:dyDescent="0.25">
      <c r="E1113" t="str">
        <f>"CLC202006247386"</f>
        <v>CLC202006247386</v>
      </c>
      <c r="F1113" t="str">
        <f t="shared" si="15"/>
        <v>COLONIAL</v>
      </c>
      <c r="G1113" s="5">
        <v>33.99</v>
      </c>
      <c r="H1113" t="str">
        <f t="shared" si="16"/>
        <v>COLONIAL</v>
      </c>
    </row>
    <row r="1114" spans="1:8" x14ac:dyDescent="0.25">
      <c r="E1114" t="str">
        <f>"CLI202006097241"</f>
        <v>CLI202006097241</v>
      </c>
      <c r="F1114" t="str">
        <f t="shared" si="15"/>
        <v>COLONIAL</v>
      </c>
      <c r="G1114" s="5">
        <v>574.85</v>
      </c>
      <c r="H1114" t="str">
        <f t="shared" si="16"/>
        <v>COLONIAL</v>
      </c>
    </row>
    <row r="1115" spans="1:8" x14ac:dyDescent="0.25">
      <c r="E1115" t="str">
        <f>"CLI202006247386"</f>
        <v>CLI202006247386</v>
      </c>
      <c r="F1115" t="str">
        <f t="shared" si="15"/>
        <v>COLONIAL</v>
      </c>
      <c r="G1115" s="5">
        <v>566.54999999999995</v>
      </c>
      <c r="H1115" t="str">
        <f t="shared" si="16"/>
        <v>COLONIAL</v>
      </c>
    </row>
    <row r="1116" spans="1:8" x14ac:dyDescent="0.25">
      <c r="E1116" t="str">
        <f>"CLK202006097241"</f>
        <v>CLK202006097241</v>
      </c>
      <c r="F1116" t="str">
        <f t="shared" si="15"/>
        <v>COLONIAL</v>
      </c>
      <c r="G1116" s="5">
        <v>27.09</v>
      </c>
      <c r="H1116" t="str">
        <f t="shared" si="16"/>
        <v>COLONIAL</v>
      </c>
    </row>
    <row r="1117" spans="1:8" x14ac:dyDescent="0.25">
      <c r="E1117" t="str">
        <f>"CLK202006247386"</f>
        <v>CLK202006247386</v>
      </c>
      <c r="F1117" t="str">
        <f t="shared" si="15"/>
        <v>COLONIAL</v>
      </c>
      <c r="G1117" s="5">
        <v>27.09</v>
      </c>
      <c r="H1117" t="str">
        <f t="shared" si="16"/>
        <v>COLONIAL</v>
      </c>
    </row>
    <row r="1118" spans="1:8" x14ac:dyDescent="0.25">
      <c r="E1118" t="str">
        <f>"CLS202006097241"</f>
        <v>CLS202006097241</v>
      </c>
      <c r="F1118" t="str">
        <f t="shared" si="15"/>
        <v>COLONIAL</v>
      </c>
      <c r="G1118" s="5">
        <v>359.43</v>
      </c>
      <c r="H1118" t="str">
        <f t="shared" si="16"/>
        <v>COLONIAL</v>
      </c>
    </row>
    <row r="1119" spans="1:8" x14ac:dyDescent="0.25">
      <c r="E1119" t="str">
        <f>"CLS202006107242"</f>
        <v>CLS202006107242</v>
      </c>
      <c r="F1119" t="str">
        <f t="shared" si="15"/>
        <v>COLONIAL</v>
      </c>
      <c r="G1119" s="5">
        <v>15.73</v>
      </c>
      <c r="H1119" t="str">
        <f t="shared" si="16"/>
        <v>COLONIAL</v>
      </c>
    </row>
    <row r="1120" spans="1:8" x14ac:dyDescent="0.25">
      <c r="E1120" t="str">
        <f>"CLS202006247386"</f>
        <v>CLS202006247386</v>
      </c>
      <c r="F1120" t="str">
        <f t="shared" si="15"/>
        <v>COLONIAL</v>
      </c>
      <c r="G1120" s="5">
        <v>359.43</v>
      </c>
      <c r="H1120" t="str">
        <f t="shared" si="16"/>
        <v>COLONIAL</v>
      </c>
    </row>
    <row r="1121" spans="1:8" x14ac:dyDescent="0.25">
      <c r="E1121" t="str">
        <f>"CLS202006247387"</f>
        <v>CLS202006247387</v>
      </c>
      <c r="F1121" t="str">
        <f t="shared" si="15"/>
        <v>COLONIAL</v>
      </c>
      <c r="G1121" s="5">
        <v>15.73</v>
      </c>
      <c r="H1121" t="str">
        <f t="shared" si="16"/>
        <v>COLONIAL</v>
      </c>
    </row>
    <row r="1122" spans="1:8" x14ac:dyDescent="0.25">
      <c r="E1122" t="str">
        <f>"CLT202006097241"</f>
        <v>CLT202006097241</v>
      </c>
      <c r="F1122" t="str">
        <f t="shared" si="15"/>
        <v>COLONIAL</v>
      </c>
      <c r="G1122" s="5">
        <v>365.09</v>
      </c>
      <c r="H1122" t="str">
        <f t="shared" si="16"/>
        <v>COLONIAL</v>
      </c>
    </row>
    <row r="1123" spans="1:8" x14ac:dyDescent="0.25">
      <c r="E1123" t="str">
        <f>"CLT202006247386"</f>
        <v>CLT202006247386</v>
      </c>
      <c r="F1123" t="str">
        <f t="shared" si="15"/>
        <v>COLONIAL</v>
      </c>
      <c r="G1123" s="5">
        <v>365.09</v>
      </c>
      <c r="H1123" t="str">
        <f t="shared" si="16"/>
        <v>COLONIAL</v>
      </c>
    </row>
    <row r="1124" spans="1:8" x14ac:dyDescent="0.25">
      <c r="E1124" t="str">
        <f>"CLU202006097241"</f>
        <v>CLU202006097241</v>
      </c>
      <c r="F1124" t="str">
        <f t="shared" si="15"/>
        <v>COLONIAL</v>
      </c>
      <c r="G1124" s="5">
        <v>111.55</v>
      </c>
      <c r="H1124" t="str">
        <f t="shared" si="16"/>
        <v>COLONIAL</v>
      </c>
    </row>
    <row r="1125" spans="1:8" x14ac:dyDescent="0.25">
      <c r="E1125" t="str">
        <f>"CLU202006247386"</f>
        <v>CLU202006247386</v>
      </c>
      <c r="F1125" t="str">
        <f t="shared" si="15"/>
        <v>COLONIAL</v>
      </c>
      <c r="G1125" s="5">
        <v>111.55</v>
      </c>
      <c r="H1125" t="str">
        <f t="shared" si="16"/>
        <v>COLONIAL</v>
      </c>
    </row>
    <row r="1126" spans="1:8" x14ac:dyDescent="0.25">
      <c r="E1126" t="str">
        <f>"CLW202006097241"</f>
        <v>CLW202006097241</v>
      </c>
      <c r="F1126" t="str">
        <f t="shared" si="15"/>
        <v>COLONIAL</v>
      </c>
      <c r="G1126" s="5">
        <v>308.8</v>
      </c>
      <c r="H1126" t="str">
        <f t="shared" si="16"/>
        <v>COLONIAL</v>
      </c>
    </row>
    <row r="1127" spans="1:8" x14ac:dyDescent="0.25">
      <c r="E1127" t="str">
        <f>"CLW202006247386"</f>
        <v>CLW202006247386</v>
      </c>
      <c r="F1127" t="str">
        <f t="shared" si="15"/>
        <v>COLONIAL</v>
      </c>
      <c r="G1127" s="5">
        <v>308.8</v>
      </c>
      <c r="H1127" t="str">
        <f t="shared" si="16"/>
        <v>COLONIAL</v>
      </c>
    </row>
    <row r="1128" spans="1:8" x14ac:dyDescent="0.25">
      <c r="A1128" t="s">
        <v>328</v>
      </c>
      <c r="B1128">
        <v>551</v>
      </c>
      <c r="C1128" s="5">
        <v>7400.03</v>
      </c>
      <c r="D1128" s="1">
        <v>43994</v>
      </c>
      <c r="E1128" t="str">
        <f>"CPI202006097241"</f>
        <v>CPI202006097241</v>
      </c>
      <c r="F1128" t="str">
        <f>"DEFERRED COMP 457B PAYABLE"</f>
        <v>DEFERRED COMP 457B PAYABLE</v>
      </c>
      <c r="G1128" s="5">
        <v>7292.53</v>
      </c>
      <c r="H1128" t="str">
        <f>"DEFERRED COMP 457B PAYABLE"</f>
        <v>DEFERRED COMP 457B PAYABLE</v>
      </c>
    </row>
    <row r="1129" spans="1:8" x14ac:dyDescent="0.25">
      <c r="E1129" t="str">
        <f>"CPI202006107242"</f>
        <v>CPI202006107242</v>
      </c>
      <c r="F1129" t="str">
        <f>"DEFERRED COMP 457B PAYABLE"</f>
        <v>DEFERRED COMP 457B PAYABLE</v>
      </c>
      <c r="G1129" s="5">
        <v>107.5</v>
      </c>
      <c r="H1129" t="str">
        <f>"DEFERRED COMP 457B PAYABLE"</f>
        <v>DEFERRED COMP 457B PAYABLE</v>
      </c>
    </row>
    <row r="1130" spans="1:8" x14ac:dyDescent="0.25">
      <c r="A1130" t="s">
        <v>328</v>
      </c>
      <c r="B1130">
        <v>558</v>
      </c>
      <c r="C1130" s="5">
        <v>7275.03</v>
      </c>
      <c r="D1130" s="1">
        <v>44008</v>
      </c>
      <c r="E1130" t="str">
        <f>"CPI202006247386"</f>
        <v>CPI202006247386</v>
      </c>
      <c r="F1130" t="str">
        <f>"DEFERRED COMP 457B PAYABLE"</f>
        <v>DEFERRED COMP 457B PAYABLE</v>
      </c>
      <c r="G1130" s="5">
        <v>7167.53</v>
      </c>
      <c r="H1130" t="str">
        <f>"DEFERRED COMP 457B PAYABLE"</f>
        <v>DEFERRED COMP 457B PAYABLE</v>
      </c>
    </row>
    <row r="1131" spans="1:8" x14ac:dyDescent="0.25">
      <c r="E1131" t="str">
        <f>"CPI202006247387"</f>
        <v>CPI202006247387</v>
      </c>
      <c r="F1131" t="str">
        <f>"DEFERRED COMP 457B PAYABLE"</f>
        <v>DEFERRED COMP 457B PAYABLE</v>
      </c>
      <c r="G1131" s="5">
        <v>107.5</v>
      </c>
      <c r="H1131" t="str">
        <f>"DEFERRED COMP 457B PAYABLE"</f>
        <v>DEFERRED COMP 457B PAYABLE</v>
      </c>
    </row>
    <row r="1132" spans="1:8" x14ac:dyDescent="0.25">
      <c r="A1132" t="s">
        <v>329</v>
      </c>
      <c r="B1132">
        <v>563</v>
      </c>
      <c r="C1132" s="5">
        <v>41742.300000000003</v>
      </c>
      <c r="D1132" s="1">
        <v>44011</v>
      </c>
      <c r="E1132" t="str">
        <f>"LIA202005267009"</f>
        <v>LIA202005267009</v>
      </c>
      <c r="F1132" t="str">
        <f>"GUARDIAN"</f>
        <v>GUARDIAN</v>
      </c>
      <c r="G1132" s="5">
        <v>-0.45</v>
      </c>
      <c r="H1132" t="str">
        <f>"GUARDIAN"</f>
        <v>GUARDIAN</v>
      </c>
    </row>
    <row r="1133" spans="1:8" x14ac:dyDescent="0.25">
      <c r="E1133" t="str">
        <f>"202006267396"</f>
        <v>202006267396</v>
      </c>
      <c r="F1133" t="str">
        <f>"Retiree June 2020"</f>
        <v>Retiree June 2020</v>
      </c>
      <c r="G1133" s="5">
        <v>3422.81</v>
      </c>
      <c r="H1133" t="str">
        <f>"Retiree June 2020"</f>
        <v>Retiree June 2020</v>
      </c>
    </row>
    <row r="1134" spans="1:8" x14ac:dyDescent="0.25">
      <c r="E1134" t="str">
        <f>"202006267398"</f>
        <v>202006267398</v>
      </c>
      <c r="F1134" t="str">
        <f>"GUARDIAN June 2020"</f>
        <v>GUARDIAN June 2020</v>
      </c>
      <c r="G1134" s="5">
        <v>43.56</v>
      </c>
      <c r="H1134" t="str">
        <f>"GUARDIAN June 2020"</f>
        <v>GUARDIAN June 2020</v>
      </c>
    </row>
    <row r="1135" spans="1:8" x14ac:dyDescent="0.25">
      <c r="E1135" t="str">
        <f>"ADC202006097241"</f>
        <v>ADC202006097241</v>
      </c>
      <c r="F1135" t="str">
        <f t="shared" ref="F1135:F1147" si="17">"GUARDIAN"</f>
        <v>GUARDIAN</v>
      </c>
      <c r="G1135" s="5">
        <v>4.55</v>
      </c>
      <c r="H1135" t="str">
        <f t="shared" ref="H1135:H1198" si="18">"GUARDIAN"</f>
        <v>GUARDIAN</v>
      </c>
    </row>
    <row r="1136" spans="1:8" x14ac:dyDescent="0.25">
      <c r="E1136" t="str">
        <f>"ADC202006107242"</f>
        <v>ADC202006107242</v>
      </c>
      <c r="F1136" t="str">
        <f t="shared" si="17"/>
        <v>GUARDIAN</v>
      </c>
      <c r="G1136" s="5">
        <v>0.16</v>
      </c>
      <c r="H1136" t="str">
        <f t="shared" si="18"/>
        <v>GUARDIAN</v>
      </c>
    </row>
    <row r="1137" spans="5:8" x14ac:dyDescent="0.25">
      <c r="E1137" t="str">
        <f>"ADC202006247386"</f>
        <v>ADC202006247386</v>
      </c>
      <c r="F1137" t="str">
        <f t="shared" si="17"/>
        <v>GUARDIAN</v>
      </c>
      <c r="G1137" s="5">
        <v>4.55</v>
      </c>
      <c r="H1137" t="str">
        <f t="shared" si="18"/>
        <v>GUARDIAN</v>
      </c>
    </row>
    <row r="1138" spans="5:8" x14ac:dyDescent="0.25">
      <c r="E1138" t="str">
        <f>"ADC202006247387"</f>
        <v>ADC202006247387</v>
      </c>
      <c r="F1138" t="str">
        <f t="shared" si="17"/>
        <v>GUARDIAN</v>
      </c>
      <c r="G1138" s="5">
        <v>0.16</v>
      </c>
      <c r="H1138" t="str">
        <f t="shared" si="18"/>
        <v>GUARDIAN</v>
      </c>
    </row>
    <row r="1139" spans="5:8" x14ac:dyDescent="0.25">
      <c r="E1139" t="str">
        <f>"ADE202006097241"</f>
        <v>ADE202006097241</v>
      </c>
      <c r="F1139" t="str">
        <f t="shared" si="17"/>
        <v>GUARDIAN</v>
      </c>
      <c r="G1139" s="5">
        <v>222.33</v>
      </c>
      <c r="H1139" t="str">
        <f t="shared" si="18"/>
        <v>GUARDIAN</v>
      </c>
    </row>
    <row r="1140" spans="5:8" x14ac:dyDescent="0.25">
      <c r="E1140" t="str">
        <f>"ADE202006107242"</f>
        <v>ADE202006107242</v>
      </c>
      <c r="F1140" t="str">
        <f t="shared" si="17"/>
        <v>GUARDIAN</v>
      </c>
      <c r="G1140" s="5">
        <v>6.3</v>
      </c>
      <c r="H1140" t="str">
        <f t="shared" si="18"/>
        <v>GUARDIAN</v>
      </c>
    </row>
    <row r="1141" spans="5:8" x14ac:dyDescent="0.25">
      <c r="E1141" t="str">
        <f>"ADE202006247386"</f>
        <v>ADE202006247386</v>
      </c>
      <c r="F1141" t="str">
        <f t="shared" si="17"/>
        <v>GUARDIAN</v>
      </c>
      <c r="G1141" s="5">
        <v>219.33</v>
      </c>
      <c r="H1141" t="str">
        <f t="shared" si="18"/>
        <v>GUARDIAN</v>
      </c>
    </row>
    <row r="1142" spans="5:8" x14ac:dyDescent="0.25">
      <c r="E1142" t="str">
        <f>"ADE202006247387"</f>
        <v>ADE202006247387</v>
      </c>
      <c r="F1142" t="str">
        <f t="shared" si="17"/>
        <v>GUARDIAN</v>
      </c>
      <c r="G1142" s="5">
        <v>6.3</v>
      </c>
      <c r="H1142" t="str">
        <f t="shared" si="18"/>
        <v>GUARDIAN</v>
      </c>
    </row>
    <row r="1143" spans="5:8" x14ac:dyDescent="0.25">
      <c r="E1143" t="str">
        <f>"ADS202006097241"</f>
        <v>ADS202006097241</v>
      </c>
      <c r="F1143" t="str">
        <f t="shared" si="17"/>
        <v>GUARDIAN</v>
      </c>
      <c r="G1143" s="5">
        <v>37.01</v>
      </c>
      <c r="H1143" t="str">
        <f t="shared" si="18"/>
        <v>GUARDIAN</v>
      </c>
    </row>
    <row r="1144" spans="5:8" x14ac:dyDescent="0.25">
      <c r="E1144" t="str">
        <f>"ADS202006107242"</f>
        <v>ADS202006107242</v>
      </c>
      <c r="F1144" t="str">
        <f t="shared" si="17"/>
        <v>GUARDIAN</v>
      </c>
      <c r="G1144" s="5">
        <v>0.53</v>
      </c>
      <c r="H1144" t="str">
        <f t="shared" si="18"/>
        <v>GUARDIAN</v>
      </c>
    </row>
    <row r="1145" spans="5:8" x14ac:dyDescent="0.25">
      <c r="E1145" t="str">
        <f>"ADS202006247386"</f>
        <v>ADS202006247386</v>
      </c>
      <c r="F1145" t="str">
        <f t="shared" si="17"/>
        <v>GUARDIAN</v>
      </c>
      <c r="G1145" s="5">
        <v>37.01</v>
      </c>
      <c r="H1145" t="str">
        <f t="shared" si="18"/>
        <v>GUARDIAN</v>
      </c>
    </row>
    <row r="1146" spans="5:8" x14ac:dyDescent="0.25">
      <c r="E1146" t="str">
        <f>"ADS202006247387"</f>
        <v>ADS202006247387</v>
      </c>
      <c r="F1146" t="str">
        <f t="shared" si="17"/>
        <v>GUARDIAN</v>
      </c>
      <c r="G1146" s="5">
        <v>0.53</v>
      </c>
      <c r="H1146" t="str">
        <f t="shared" si="18"/>
        <v>GUARDIAN</v>
      </c>
    </row>
    <row r="1147" spans="5:8" x14ac:dyDescent="0.25">
      <c r="E1147" t="str">
        <f>"GDC202006097241"</f>
        <v>GDC202006097241</v>
      </c>
      <c r="F1147" t="str">
        <f t="shared" si="17"/>
        <v>GUARDIAN</v>
      </c>
      <c r="G1147" s="5">
        <v>2750.76</v>
      </c>
      <c r="H1147" t="str">
        <f t="shared" si="18"/>
        <v>GUARDIAN</v>
      </c>
    </row>
    <row r="1148" spans="5:8" x14ac:dyDescent="0.25">
      <c r="E1148" t="str">
        <f>""</f>
        <v/>
      </c>
      <c r="F1148" t="str">
        <f>""</f>
        <v/>
      </c>
      <c r="H1148" t="str">
        <f t="shared" si="18"/>
        <v>GUARDIAN</v>
      </c>
    </row>
    <row r="1149" spans="5:8" x14ac:dyDescent="0.25">
      <c r="E1149" t="str">
        <f>""</f>
        <v/>
      </c>
      <c r="F1149" t="str">
        <f>""</f>
        <v/>
      </c>
      <c r="H1149" t="str">
        <f t="shared" si="18"/>
        <v>GUARDIAN</v>
      </c>
    </row>
    <row r="1150" spans="5:8" x14ac:dyDescent="0.25">
      <c r="E1150" t="str">
        <f>""</f>
        <v/>
      </c>
      <c r="F1150" t="str">
        <f>""</f>
        <v/>
      </c>
      <c r="H1150" t="str">
        <f t="shared" si="18"/>
        <v>GUARDIAN</v>
      </c>
    </row>
    <row r="1151" spans="5:8" x14ac:dyDescent="0.25">
      <c r="E1151" t="str">
        <f>""</f>
        <v/>
      </c>
      <c r="F1151" t="str">
        <f>""</f>
        <v/>
      </c>
      <c r="H1151" t="str">
        <f t="shared" si="18"/>
        <v>GUARDIAN</v>
      </c>
    </row>
    <row r="1152" spans="5:8" x14ac:dyDescent="0.25">
      <c r="E1152" t="str">
        <f>""</f>
        <v/>
      </c>
      <c r="F1152" t="str">
        <f>""</f>
        <v/>
      </c>
      <c r="H1152" t="str">
        <f t="shared" si="18"/>
        <v>GUARDIAN</v>
      </c>
    </row>
    <row r="1153" spans="5:8" x14ac:dyDescent="0.25">
      <c r="E1153" t="str">
        <f>""</f>
        <v/>
      </c>
      <c r="F1153" t="str">
        <f>""</f>
        <v/>
      </c>
      <c r="H1153" t="str">
        <f t="shared" si="18"/>
        <v>GUARDIAN</v>
      </c>
    </row>
    <row r="1154" spans="5:8" x14ac:dyDescent="0.25">
      <c r="E1154" t="str">
        <f>""</f>
        <v/>
      </c>
      <c r="F1154" t="str">
        <f>""</f>
        <v/>
      </c>
      <c r="H1154" t="str">
        <f t="shared" si="18"/>
        <v>GUARDIAN</v>
      </c>
    </row>
    <row r="1155" spans="5:8" x14ac:dyDescent="0.25">
      <c r="E1155" t="str">
        <f>""</f>
        <v/>
      </c>
      <c r="F1155" t="str">
        <f>""</f>
        <v/>
      </c>
      <c r="H1155" t="str">
        <f t="shared" si="18"/>
        <v>GUARDIAN</v>
      </c>
    </row>
    <row r="1156" spans="5:8" x14ac:dyDescent="0.25">
      <c r="E1156" t="str">
        <f>""</f>
        <v/>
      </c>
      <c r="F1156" t="str">
        <f>""</f>
        <v/>
      </c>
      <c r="H1156" t="str">
        <f t="shared" si="18"/>
        <v>GUARDIAN</v>
      </c>
    </row>
    <row r="1157" spans="5:8" x14ac:dyDescent="0.25">
      <c r="E1157" t="str">
        <f>""</f>
        <v/>
      </c>
      <c r="F1157" t="str">
        <f>""</f>
        <v/>
      </c>
      <c r="H1157" t="str">
        <f t="shared" si="18"/>
        <v>GUARDIAN</v>
      </c>
    </row>
    <row r="1158" spans="5:8" x14ac:dyDescent="0.25">
      <c r="E1158" t="str">
        <f>""</f>
        <v/>
      </c>
      <c r="F1158" t="str">
        <f>""</f>
        <v/>
      </c>
      <c r="H1158" t="str">
        <f t="shared" si="18"/>
        <v>GUARDIAN</v>
      </c>
    </row>
    <row r="1159" spans="5:8" x14ac:dyDescent="0.25">
      <c r="E1159" t="str">
        <f>""</f>
        <v/>
      </c>
      <c r="F1159" t="str">
        <f>""</f>
        <v/>
      </c>
      <c r="H1159" t="str">
        <f t="shared" si="18"/>
        <v>GUARDIAN</v>
      </c>
    </row>
    <row r="1160" spans="5:8" x14ac:dyDescent="0.25">
      <c r="E1160" t="str">
        <f>""</f>
        <v/>
      </c>
      <c r="F1160" t="str">
        <f>""</f>
        <v/>
      </c>
      <c r="H1160" t="str">
        <f t="shared" si="18"/>
        <v>GUARDIAN</v>
      </c>
    </row>
    <row r="1161" spans="5:8" x14ac:dyDescent="0.25">
      <c r="E1161" t="str">
        <f>""</f>
        <v/>
      </c>
      <c r="F1161" t="str">
        <f>""</f>
        <v/>
      </c>
      <c r="H1161" t="str">
        <f t="shared" si="18"/>
        <v>GUARDIAN</v>
      </c>
    </row>
    <row r="1162" spans="5:8" x14ac:dyDescent="0.25">
      <c r="E1162" t="str">
        <f>""</f>
        <v/>
      </c>
      <c r="F1162" t="str">
        <f>""</f>
        <v/>
      </c>
      <c r="H1162" t="str">
        <f t="shared" si="18"/>
        <v>GUARDIAN</v>
      </c>
    </row>
    <row r="1163" spans="5:8" x14ac:dyDescent="0.25">
      <c r="E1163" t="str">
        <f>""</f>
        <v/>
      </c>
      <c r="F1163" t="str">
        <f>""</f>
        <v/>
      </c>
      <c r="H1163" t="str">
        <f t="shared" si="18"/>
        <v>GUARDIAN</v>
      </c>
    </row>
    <row r="1164" spans="5:8" x14ac:dyDescent="0.25">
      <c r="E1164" t="str">
        <f>""</f>
        <v/>
      </c>
      <c r="F1164" t="str">
        <f>""</f>
        <v/>
      </c>
      <c r="H1164" t="str">
        <f t="shared" si="18"/>
        <v>GUARDIAN</v>
      </c>
    </row>
    <row r="1165" spans="5:8" x14ac:dyDescent="0.25">
      <c r="E1165" t="str">
        <f>""</f>
        <v/>
      </c>
      <c r="F1165" t="str">
        <f>""</f>
        <v/>
      </c>
      <c r="H1165" t="str">
        <f t="shared" si="18"/>
        <v>GUARDIAN</v>
      </c>
    </row>
    <row r="1166" spans="5:8" x14ac:dyDescent="0.25">
      <c r="E1166" t="str">
        <f>""</f>
        <v/>
      </c>
      <c r="F1166" t="str">
        <f>""</f>
        <v/>
      </c>
      <c r="H1166" t="str">
        <f t="shared" si="18"/>
        <v>GUARDIAN</v>
      </c>
    </row>
    <row r="1167" spans="5:8" x14ac:dyDescent="0.25">
      <c r="E1167" t="str">
        <f>""</f>
        <v/>
      </c>
      <c r="F1167" t="str">
        <f>""</f>
        <v/>
      </c>
      <c r="H1167" t="str">
        <f t="shared" si="18"/>
        <v>GUARDIAN</v>
      </c>
    </row>
    <row r="1168" spans="5:8" x14ac:dyDescent="0.25">
      <c r="E1168" t="str">
        <f>""</f>
        <v/>
      </c>
      <c r="F1168" t="str">
        <f>""</f>
        <v/>
      </c>
      <c r="H1168" t="str">
        <f t="shared" si="18"/>
        <v>GUARDIAN</v>
      </c>
    </row>
    <row r="1169" spans="5:8" x14ac:dyDescent="0.25">
      <c r="E1169" t="str">
        <f>""</f>
        <v/>
      </c>
      <c r="F1169" t="str">
        <f>""</f>
        <v/>
      </c>
      <c r="H1169" t="str">
        <f t="shared" si="18"/>
        <v>GUARDIAN</v>
      </c>
    </row>
    <row r="1170" spans="5:8" x14ac:dyDescent="0.25">
      <c r="E1170" t="str">
        <f>""</f>
        <v/>
      </c>
      <c r="F1170" t="str">
        <f>""</f>
        <v/>
      </c>
      <c r="H1170" t="str">
        <f t="shared" si="18"/>
        <v>GUARDIAN</v>
      </c>
    </row>
    <row r="1171" spans="5:8" x14ac:dyDescent="0.25">
      <c r="E1171" t="str">
        <f>""</f>
        <v/>
      </c>
      <c r="F1171" t="str">
        <f>""</f>
        <v/>
      </c>
      <c r="H1171" t="str">
        <f t="shared" si="18"/>
        <v>GUARDIAN</v>
      </c>
    </row>
    <row r="1172" spans="5:8" x14ac:dyDescent="0.25">
      <c r="E1172" t="str">
        <f>""</f>
        <v/>
      </c>
      <c r="F1172" t="str">
        <f>""</f>
        <v/>
      </c>
      <c r="H1172" t="str">
        <f t="shared" si="18"/>
        <v>GUARDIAN</v>
      </c>
    </row>
    <row r="1173" spans="5:8" x14ac:dyDescent="0.25">
      <c r="E1173" t="str">
        <f>""</f>
        <v/>
      </c>
      <c r="F1173" t="str">
        <f>""</f>
        <v/>
      </c>
      <c r="H1173" t="str">
        <f t="shared" si="18"/>
        <v>GUARDIAN</v>
      </c>
    </row>
    <row r="1174" spans="5:8" x14ac:dyDescent="0.25">
      <c r="E1174" t="str">
        <f>""</f>
        <v/>
      </c>
      <c r="F1174" t="str">
        <f>""</f>
        <v/>
      </c>
      <c r="H1174" t="str">
        <f t="shared" si="18"/>
        <v>GUARDIAN</v>
      </c>
    </row>
    <row r="1175" spans="5:8" x14ac:dyDescent="0.25">
      <c r="E1175" t="str">
        <f>""</f>
        <v/>
      </c>
      <c r="F1175" t="str">
        <f>""</f>
        <v/>
      </c>
      <c r="H1175" t="str">
        <f t="shared" si="18"/>
        <v>GUARDIAN</v>
      </c>
    </row>
    <row r="1176" spans="5:8" x14ac:dyDescent="0.25">
      <c r="E1176" t="str">
        <f>""</f>
        <v/>
      </c>
      <c r="F1176" t="str">
        <f>""</f>
        <v/>
      </c>
      <c r="H1176" t="str">
        <f t="shared" si="18"/>
        <v>GUARDIAN</v>
      </c>
    </row>
    <row r="1177" spans="5:8" x14ac:dyDescent="0.25">
      <c r="E1177" t="str">
        <f>"GDC202006107242"</f>
        <v>GDC202006107242</v>
      </c>
      <c r="F1177" t="str">
        <f>"GUARDIAN"</f>
        <v>GUARDIAN</v>
      </c>
      <c r="G1177" s="5">
        <v>135.84</v>
      </c>
      <c r="H1177" t="str">
        <f t="shared" si="18"/>
        <v>GUARDIAN</v>
      </c>
    </row>
    <row r="1178" spans="5:8" x14ac:dyDescent="0.25">
      <c r="E1178" t="str">
        <f>""</f>
        <v/>
      </c>
      <c r="F1178" t="str">
        <f>""</f>
        <v/>
      </c>
      <c r="H1178" t="str">
        <f t="shared" si="18"/>
        <v>GUARDIAN</v>
      </c>
    </row>
    <row r="1179" spans="5:8" x14ac:dyDescent="0.25">
      <c r="E1179" t="str">
        <f>"GDC202006247386"</f>
        <v>GDC202006247386</v>
      </c>
      <c r="F1179" t="str">
        <f>"GUARDIAN"</f>
        <v>GUARDIAN</v>
      </c>
      <c r="G1179" s="5">
        <v>2750.76</v>
      </c>
      <c r="H1179" t="str">
        <f t="shared" si="18"/>
        <v>GUARDIAN</v>
      </c>
    </row>
    <row r="1180" spans="5:8" x14ac:dyDescent="0.25">
      <c r="E1180" t="str">
        <f>""</f>
        <v/>
      </c>
      <c r="F1180" t="str">
        <f>""</f>
        <v/>
      </c>
      <c r="H1180" t="str">
        <f t="shared" si="18"/>
        <v>GUARDIAN</v>
      </c>
    </row>
    <row r="1181" spans="5:8" x14ac:dyDescent="0.25">
      <c r="E1181" t="str">
        <f>""</f>
        <v/>
      </c>
      <c r="F1181" t="str">
        <f>""</f>
        <v/>
      </c>
      <c r="H1181" t="str">
        <f t="shared" si="18"/>
        <v>GUARDIAN</v>
      </c>
    </row>
    <row r="1182" spans="5:8" x14ac:dyDescent="0.25">
      <c r="E1182" t="str">
        <f>""</f>
        <v/>
      </c>
      <c r="F1182" t="str">
        <f>""</f>
        <v/>
      </c>
      <c r="H1182" t="str">
        <f t="shared" si="18"/>
        <v>GUARDIAN</v>
      </c>
    </row>
    <row r="1183" spans="5:8" x14ac:dyDescent="0.25">
      <c r="E1183" t="str">
        <f>""</f>
        <v/>
      </c>
      <c r="F1183" t="str">
        <f>""</f>
        <v/>
      </c>
      <c r="H1183" t="str">
        <f t="shared" si="18"/>
        <v>GUARDIAN</v>
      </c>
    </row>
    <row r="1184" spans="5:8" x14ac:dyDescent="0.25">
      <c r="E1184" t="str">
        <f>""</f>
        <v/>
      </c>
      <c r="F1184" t="str">
        <f>""</f>
        <v/>
      </c>
      <c r="H1184" t="str">
        <f t="shared" si="18"/>
        <v>GUARDIAN</v>
      </c>
    </row>
    <row r="1185" spans="5:8" x14ac:dyDescent="0.25">
      <c r="E1185" t="str">
        <f>""</f>
        <v/>
      </c>
      <c r="F1185" t="str">
        <f>""</f>
        <v/>
      </c>
      <c r="H1185" t="str">
        <f t="shared" si="18"/>
        <v>GUARDIAN</v>
      </c>
    </row>
    <row r="1186" spans="5:8" x14ac:dyDescent="0.25">
      <c r="E1186" t="str">
        <f>""</f>
        <v/>
      </c>
      <c r="F1186" t="str">
        <f>""</f>
        <v/>
      </c>
      <c r="H1186" t="str">
        <f t="shared" si="18"/>
        <v>GUARDIAN</v>
      </c>
    </row>
    <row r="1187" spans="5:8" x14ac:dyDescent="0.25">
      <c r="E1187" t="str">
        <f>""</f>
        <v/>
      </c>
      <c r="F1187" t="str">
        <f>""</f>
        <v/>
      </c>
      <c r="H1187" t="str">
        <f t="shared" si="18"/>
        <v>GUARDIAN</v>
      </c>
    </row>
    <row r="1188" spans="5:8" x14ac:dyDescent="0.25">
      <c r="E1188" t="str">
        <f>""</f>
        <v/>
      </c>
      <c r="F1188" t="str">
        <f>""</f>
        <v/>
      </c>
      <c r="H1188" t="str">
        <f t="shared" si="18"/>
        <v>GUARDIAN</v>
      </c>
    </row>
    <row r="1189" spans="5:8" x14ac:dyDescent="0.25">
      <c r="E1189" t="str">
        <f>""</f>
        <v/>
      </c>
      <c r="F1189" t="str">
        <f>""</f>
        <v/>
      </c>
      <c r="H1189" t="str">
        <f t="shared" si="18"/>
        <v>GUARDIAN</v>
      </c>
    </row>
    <row r="1190" spans="5:8" x14ac:dyDescent="0.25">
      <c r="E1190" t="str">
        <f>""</f>
        <v/>
      </c>
      <c r="F1190" t="str">
        <f>""</f>
        <v/>
      </c>
      <c r="H1190" t="str">
        <f t="shared" si="18"/>
        <v>GUARDIAN</v>
      </c>
    </row>
    <row r="1191" spans="5:8" x14ac:dyDescent="0.25">
      <c r="E1191" t="str">
        <f>""</f>
        <v/>
      </c>
      <c r="F1191" t="str">
        <f>""</f>
        <v/>
      </c>
      <c r="H1191" t="str">
        <f t="shared" si="18"/>
        <v>GUARDIAN</v>
      </c>
    </row>
    <row r="1192" spans="5:8" x14ac:dyDescent="0.25">
      <c r="E1192" t="str">
        <f>""</f>
        <v/>
      </c>
      <c r="F1192" t="str">
        <f>""</f>
        <v/>
      </c>
      <c r="H1192" t="str">
        <f t="shared" si="18"/>
        <v>GUARDIAN</v>
      </c>
    </row>
    <row r="1193" spans="5:8" x14ac:dyDescent="0.25">
      <c r="E1193" t="str">
        <f>""</f>
        <v/>
      </c>
      <c r="F1193" t="str">
        <f>""</f>
        <v/>
      </c>
      <c r="H1193" t="str">
        <f t="shared" si="18"/>
        <v>GUARDIAN</v>
      </c>
    </row>
    <row r="1194" spans="5:8" x14ac:dyDescent="0.25">
      <c r="E1194" t="str">
        <f>""</f>
        <v/>
      </c>
      <c r="F1194" t="str">
        <f>""</f>
        <v/>
      </c>
      <c r="H1194" t="str">
        <f t="shared" si="18"/>
        <v>GUARDIAN</v>
      </c>
    </row>
    <row r="1195" spans="5:8" x14ac:dyDescent="0.25">
      <c r="E1195" t="str">
        <f>""</f>
        <v/>
      </c>
      <c r="F1195" t="str">
        <f>""</f>
        <v/>
      </c>
      <c r="H1195" t="str">
        <f t="shared" si="18"/>
        <v>GUARDIAN</v>
      </c>
    </row>
    <row r="1196" spans="5:8" x14ac:dyDescent="0.25">
      <c r="E1196" t="str">
        <f>""</f>
        <v/>
      </c>
      <c r="F1196" t="str">
        <f>""</f>
        <v/>
      </c>
      <c r="H1196" t="str">
        <f t="shared" si="18"/>
        <v>GUARDIAN</v>
      </c>
    </row>
    <row r="1197" spans="5:8" x14ac:dyDescent="0.25">
      <c r="E1197" t="str">
        <f>""</f>
        <v/>
      </c>
      <c r="F1197" t="str">
        <f>""</f>
        <v/>
      </c>
      <c r="H1197" t="str">
        <f t="shared" si="18"/>
        <v>GUARDIAN</v>
      </c>
    </row>
    <row r="1198" spans="5:8" x14ac:dyDescent="0.25">
      <c r="E1198" t="str">
        <f>""</f>
        <v/>
      </c>
      <c r="F1198" t="str">
        <f>""</f>
        <v/>
      </c>
      <c r="H1198" t="str">
        <f t="shared" si="18"/>
        <v>GUARDIAN</v>
      </c>
    </row>
    <row r="1199" spans="5:8" x14ac:dyDescent="0.25">
      <c r="E1199" t="str">
        <f>""</f>
        <v/>
      </c>
      <c r="F1199" t="str">
        <f>""</f>
        <v/>
      </c>
      <c r="H1199" t="str">
        <f t="shared" ref="H1199:H1262" si="19">"GUARDIAN"</f>
        <v>GUARDIAN</v>
      </c>
    </row>
    <row r="1200" spans="5:8" x14ac:dyDescent="0.25">
      <c r="E1200" t="str">
        <f>""</f>
        <v/>
      </c>
      <c r="F1200" t="str">
        <f>""</f>
        <v/>
      </c>
      <c r="H1200" t="str">
        <f t="shared" si="19"/>
        <v>GUARDIAN</v>
      </c>
    </row>
    <row r="1201" spans="5:8" x14ac:dyDescent="0.25">
      <c r="E1201" t="str">
        <f>""</f>
        <v/>
      </c>
      <c r="F1201" t="str">
        <f>""</f>
        <v/>
      </c>
      <c r="H1201" t="str">
        <f t="shared" si="19"/>
        <v>GUARDIAN</v>
      </c>
    </row>
    <row r="1202" spans="5:8" x14ac:dyDescent="0.25">
      <c r="E1202" t="str">
        <f>""</f>
        <v/>
      </c>
      <c r="F1202" t="str">
        <f>""</f>
        <v/>
      </c>
      <c r="H1202" t="str">
        <f t="shared" si="19"/>
        <v>GUARDIAN</v>
      </c>
    </row>
    <row r="1203" spans="5:8" x14ac:dyDescent="0.25">
      <c r="E1203" t="str">
        <f>""</f>
        <v/>
      </c>
      <c r="F1203" t="str">
        <f>""</f>
        <v/>
      </c>
      <c r="H1203" t="str">
        <f t="shared" si="19"/>
        <v>GUARDIAN</v>
      </c>
    </row>
    <row r="1204" spans="5:8" x14ac:dyDescent="0.25">
      <c r="E1204" t="str">
        <f>""</f>
        <v/>
      </c>
      <c r="F1204" t="str">
        <f>""</f>
        <v/>
      </c>
      <c r="H1204" t="str">
        <f t="shared" si="19"/>
        <v>GUARDIAN</v>
      </c>
    </row>
    <row r="1205" spans="5:8" x14ac:dyDescent="0.25">
      <c r="E1205" t="str">
        <f>""</f>
        <v/>
      </c>
      <c r="F1205" t="str">
        <f>""</f>
        <v/>
      </c>
      <c r="H1205" t="str">
        <f t="shared" si="19"/>
        <v>GUARDIAN</v>
      </c>
    </row>
    <row r="1206" spans="5:8" x14ac:dyDescent="0.25">
      <c r="E1206" t="str">
        <f>""</f>
        <v/>
      </c>
      <c r="F1206" t="str">
        <f>""</f>
        <v/>
      </c>
      <c r="H1206" t="str">
        <f t="shared" si="19"/>
        <v>GUARDIAN</v>
      </c>
    </row>
    <row r="1207" spans="5:8" x14ac:dyDescent="0.25">
      <c r="E1207" t="str">
        <f>""</f>
        <v/>
      </c>
      <c r="F1207" t="str">
        <f>""</f>
        <v/>
      </c>
      <c r="H1207" t="str">
        <f t="shared" si="19"/>
        <v>GUARDIAN</v>
      </c>
    </row>
    <row r="1208" spans="5:8" x14ac:dyDescent="0.25">
      <c r="E1208" t="str">
        <f>"GDC202006247387"</f>
        <v>GDC202006247387</v>
      </c>
      <c r="F1208" t="str">
        <f>"GUARDIAN"</f>
        <v>GUARDIAN</v>
      </c>
      <c r="G1208" s="5">
        <v>135.84</v>
      </c>
      <c r="H1208" t="str">
        <f t="shared" si="19"/>
        <v>GUARDIAN</v>
      </c>
    </row>
    <row r="1209" spans="5:8" x14ac:dyDescent="0.25">
      <c r="E1209" t="str">
        <f>""</f>
        <v/>
      </c>
      <c r="F1209" t="str">
        <f>""</f>
        <v/>
      </c>
      <c r="H1209" t="str">
        <f t="shared" si="19"/>
        <v>GUARDIAN</v>
      </c>
    </row>
    <row r="1210" spans="5:8" x14ac:dyDescent="0.25">
      <c r="E1210" t="str">
        <f>"GDE202006097241"</f>
        <v>GDE202006097241</v>
      </c>
      <c r="F1210" t="str">
        <f>"GUARDIAN"</f>
        <v>GUARDIAN</v>
      </c>
      <c r="G1210" s="5">
        <v>4478.49</v>
      </c>
      <c r="H1210" t="str">
        <f t="shared" si="19"/>
        <v>GUARDIAN</v>
      </c>
    </row>
    <row r="1211" spans="5:8" x14ac:dyDescent="0.25">
      <c r="E1211" t="str">
        <f>""</f>
        <v/>
      </c>
      <c r="F1211" t="str">
        <f>""</f>
        <v/>
      </c>
      <c r="H1211" t="str">
        <f t="shared" si="19"/>
        <v>GUARDIAN</v>
      </c>
    </row>
    <row r="1212" spans="5:8" x14ac:dyDescent="0.25">
      <c r="E1212" t="str">
        <f>""</f>
        <v/>
      </c>
      <c r="F1212" t="str">
        <f>""</f>
        <v/>
      </c>
      <c r="H1212" t="str">
        <f t="shared" si="19"/>
        <v>GUARDIAN</v>
      </c>
    </row>
    <row r="1213" spans="5:8" x14ac:dyDescent="0.25">
      <c r="E1213" t="str">
        <f>""</f>
        <v/>
      </c>
      <c r="F1213" t="str">
        <f>""</f>
        <v/>
      </c>
      <c r="H1213" t="str">
        <f t="shared" si="19"/>
        <v>GUARDIAN</v>
      </c>
    </row>
    <row r="1214" spans="5:8" x14ac:dyDescent="0.25">
      <c r="E1214" t="str">
        <f>""</f>
        <v/>
      </c>
      <c r="F1214" t="str">
        <f>""</f>
        <v/>
      </c>
      <c r="H1214" t="str">
        <f t="shared" si="19"/>
        <v>GUARDIAN</v>
      </c>
    </row>
    <row r="1215" spans="5:8" x14ac:dyDescent="0.25">
      <c r="E1215" t="str">
        <f>""</f>
        <v/>
      </c>
      <c r="F1215" t="str">
        <f>""</f>
        <v/>
      </c>
      <c r="H1215" t="str">
        <f t="shared" si="19"/>
        <v>GUARDIAN</v>
      </c>
    </row>
    <row r="1216" spans="5:8" x14ac:dyDescent="0.25">
      <c r="E1216" t="str">
        <f>""</f>
        <v/>
      </c>
      <c r="F1216" t="str">
        <f>""</f>
        <v/>
      </c>
      <c r="H1216" t="str">
        <f t="shared" si="19"/>
        <v>GUARDIAN</v>
      </c>
    </row>
    <row r="1217" spans="5:8" x14ac:dyDescent="0.25">
      <c r="E1217" t="str">
        <f>""</f>
        <v/>
      </c>
      <c r="F1217" t="str">
        <f>""</f>
        <v/>
      </c>
      <c r="H1217" t="str">
        <f t="shared" si="19"/>
        <v>GUARDIAN</v>
      </c>
    </row>
    <row r="1218" spans="5:8" x14ac:dyDescent="0.25">
      <c r="E1218" t="str">
        <f>""</f>
        <v/>
      </c>
      <c r="F1218" t="str">
        <f>""</f>
        <v/>
      </c>
      <c r="H1218" t="str">
        <f t="shared" si="19"/>
        <v>GUARDIAN</v>
      </c>
    </row>
    <row r="1219" spans="5:8" x14ac:dyDescent="0.25">
      <c r="E1219" t="str">
        <f>""</f>
        <v/>
      </c>
      <c r="F1219" t="str">
        <f>""</f>
        <v/>
      </c>
      <c r="H1219" t="str">
        <f t="shared" si="19"/>
        <v>GUARDIAN</v>
      </c>
    </row>
    <row r="1220" spans="5:8" x14ac:dyDescent="0.25">
      <c r="E1220" t="str">
        <f>""</f>
        <v/>
      </c>
      <c r="F1220" t="str">
        <f>""</f>
        <v/>
      </c>
      <c r="H1220" t="str">
        <f t="shared" si="19"/>
        <v>GUARDIAN</v>
      </c>
    </row>
    <row r="1221" spans="5:8" x14ac:dyDescent="0.25">
      <c r="E1221" t="str">
        <f>""</f>
        <v/>
      </c>
      <c r="F1221" t="str">
        <f>""</f>
        <v/>
      </c>
      <c r="H1221" t="str">
        <f t="shared" si="19"/>
        <v>GUARDIAN</v>
      </c>
    </row>
    <row r="1222" spans="5:8" x14ac:dyDescent="0.25">
      <c r="E1222" t="str">
        <f>""</f>
        <v/>
      </c>
      <c r="F1222" t="str">
        <f>""</f>
        <v/>
      </c>
      <c r="H1222" t="str">
        <f t="shared" si="19"/>
        <v>GUARDIAN</v>
      </c>
    </row>
    <row r="1223" spans="5:8" x14ac:dyDescent="0.25">
      <c r="E1223" t="str">
        <f>""</f>
        <v/>
      </c>
      <c r="F1223" t="str">
        <f>""</f>
        <v/>
      </c>
      <c r="H1223" t="str">
        <f t="shared" si="19"/>
        <v>GUARDIAN</v>
      </c>
    </row>
    <row r="1224" spans="5:8" x14ac:dyDescent="0.25">
      <c r="E1224" t="str">
        <f>""</f>
        <v/>
      </c>
      <c r="F1224" t="str">
        <f>""</f>
        <v/>
      </c>
      <c r="H1224" t="str">
        <f t="shared" si="19"/>
        <v>GUARDIAN</v>
      </c>
    </row>
    <row r="1225" spans="5:8" x14ac:dyDescent="0.25">
      <c r="E1225" t="str">
        <f>""</f>
        <v/>
      </c>
      <c r="F1225" t="str">
        <f>""</f>
        <v/>
      </c>
      <c r="H1225" t="str">
        <f t="shared" si="19"/>
        <v>GUARDIAN</v>
      </c>
    </row>
    <row r="1226" spans="5:8" x14ac:dyDescent="0.25">
      <c r="E1226" t="str">
        <f>""</f>
        <v/>
      </c>
      <c r="F1226" t="str">
        <f>""</f>
        <v/>
      </c>
      <c r="H1226" t="str">
        <f t="shared" si="19"/>
        <v>GUARDIAN</v>
      </c>
    </row>
    <row r="1227" spans="5:8" x14ac:dyDescent="0.25">
      <c r="E1227" t="str">
        <f>""</f>
        <v/>
      </c>
      <c r="F1227" t="str">
        <f>""</f>
        <v/>
      </c>
      <c r="H1227" t="str">
        <f t="shared" si="19"/>
        <v>GUARDIAN</v>
      </c>
    </row>
    <row r="1228" spans="5:8" x14ac:dyDescent="0.25">
      <c r="E1228" t="str">
        <f>""</f>
        <v/>
      </c>
      <c r="F1228" t="str">
        <f>""</f>
        <v/>
      </c>
      <c r="H1228" t="str">
        <f t="shared" si="19"/>
        <v>GUARDIAN</v>
      </c>
    </row>
    <row r="1229" spans="5:8" x14ac:dyDescent="0.25">
      <c r="E1229" t="str">
        <f>""</f>
        <v/>
      </c>
      <c r="F1229" t="str">
        <f>""</f>
        <v/>
      </c>
      <c r="H1229" t="str">
        <f t="shared" si="19"/>
        <v>GUARDIAN</v>
      </c>
    </row>
    <row r="1230" spans="5:8" x14ac:dyDescent="0.25">
      <c r="E1230" t="str">
        <f>""</f>
        <v/>
      </c>
      <c r="F1230" t="str">
        <f>""</f>
        <v/>
      </c>
      <c r="H1230" t="str">
        <f t="shared" si="19"/>
        <v>GUARDIAN</v>
      </c>
    </row>
    <row r="1231" spans="5:8" x14ac:dyDescent="0.25">
      <c r="E1231" t="str">
        <f>""</f>
        <v/>
      </c>
      <c r="F1231" t="str">
        <f>""</f>
        <v/>
      </c>
      <c r="H1231" t="str">
        <f t="shared" si="19"/>
        <v>GUARDIAN</v>
      </c>
    </row>
    <row r="1232" spans="5:8" x14ac:dyDescent="0.25">
      <c r="E1232" t="str">
        <f>""</f>
        <v/>
      </c>
      <c r="F1232" t="str">
        <f>""</f>
        <v/>
      </c>
      <c r="H1232" t="str">
        <f t="shared" si="19"/>
        <v>GUARDIAN</v>
      </c>
    </row>
    <row r="1233" spans="5:8" x14ac:dyDescent="0.25">
      <c r="E1233" t="str">
        <f>""</f>
        <v/>
      </c>
      <c r="F1233" t="str">
        <f>""</f>
        <v/>
      </c>
      <c r="H1233" t="str">
        <f t="shared" si="19"/>
        <v>GUARDIAN</v>
      </c>
    </row>
    <row r="1234" spans="5:8" x14ac:dyDescent="0.25">
      <c r="E1234" t="str">
        <f>""</f>
        <v/>
      </c>
      <c r="F1234" t="str">
        <f>""</f>
        <v/>
      </c>
      <c r="H1234" t="str">
        <f t="shared" si="19"/>
        <v>GUARDIAN</v>
      </c>
    </row>
    <row r="1235" spans="5:8" x14ac:dyDescent="0.25">
      <c r="E1235" t="str">
        <f>""</f>
        <v/>
      </c>
      <c r="F1235" t="str">
        <f>""</f>
        <v/>
      </c>
      <c r="H1235" t="str">
        <f t="shared" si="19"/>
        <v>GUARDIAN</v>
      </c>
    </row>
    <row r="1236" spans="5:8" x14ac:dyDescent="0.25">
      <c r="E1236" t="str">
        <f>""</f>
        <v/>
      </c>
      <c r="F1236" t="str">
        <f>""</f>
        <v/>
      </c>
      <c r="H1236" t="str">
        <f t="shared" si="19"/>
        <v>GUARDIAN</v>
      </c>
    </row>
    <row r="1237" spans="5:8" x14ac:dyDescent="0.25">
      <c r="E1237" t="str">
        <f>""</f>
        <v/>
      </c>
      <c r="F1237" t="str">
        <f>""</f>
        <v/>
      </c>
      <c r="H1237" t="str">
        <f t="shared" si="19"/>
        <v>GUARDIAN</v>
      </c>
    </row>
    <row r="1238" spans="5:8" x14ac:dyDescent="0.25">
      <c r="E1238" t="str">
        <f>""</f>
        <v/>
      </c>
      <c r="F1238" t="str">
        <f>""</f>
        <v/>
      </c>
      <c r="H1238" t="str">
        <f t="shared" si="19"/>
        <v>GUARDIAN</v>
      </c>
    </row>
    <row r="1239" spans="5:8" x14ac:dyDescent="0.25">
      <c r="E1239" t="str">
        <f>""</f>
        <v/>
      </c>
      <c r="F1239" t="str">
        <f>""</f>
        <v/>
      </c>
      <c r="H1239" t="str">
        <f t="shared" si="19"/>
        <v>GUARDIAN</v>
      </c>
    </row>
    <row r="1240" spans="5:8" x14ac:dyDescent="0.25">
      <c r="E1240" t="str">
        <f>""</f>
        <v/>
      </c>
      <c r="F1240" t="str">
        <f>""</f>
        <v/>
      </c>
      <c r="H1240" t="str">
        <f t="shared" si="19"/>
        <v>GUARDIAN</v>
      </c>
    </row>
    <row r="1241" spans="5:8" x14ac:dyDescent="0.25">
      <c r="E1241" t="str">
        <f>""</f>
        <v/>
      </c>
      <c r="F1241" t="str">
        <f>""</f>
        <v/>
      </c>
      <c r="H1241" t="str">
        <f t="shared" si="19"/>
        <v>GUARDIAN</v>
      </c>
    </row>
    <row r="1242" spans="5:8" x14ac:dyDescent="0.25">
      <c r="E1242" t="str">
        <f>""</f>
        <v/>
      </c>
      <c r="F1242" t="str">
        <f>""</f>
        <v/>
      </c>
      <c r="H1242" t="str">
        <f t="shared" si="19"/>
        <v>GUARDIAN</v>
      </c>
    </row>
    <row r="1243" spans="5:8" x14ac:dyDescent="0.25">
      <c r="E1243" t="str">
        <f>""</f>
        <v/>
      </c>
      <c r="F1243" t="str">
        <f>""</f>
        <v/>
      </c>
      <c r="H1243" t="str">
        <f t="shared" si="19"/>
        <v>GUARDIAN</v>
      </c>
    </row>
    <row r="1244" spans="5:8" x14ac:dyDescent="0.25">
      <c r="E1244" t="str">
        <f>""</f>
        <v/>
      </c>
      <c r="F1244" t="str">
        <f>""</f>
        <v/>
      </c>
      <c r="H1244" t="str">
        <f t="shared" si="19"/>
        <v>GUARDIAN</v>
      </c>
    </row>
    <row r="1245" spans="5:8" x14ac:dyDescent="0.25">
      <c r="E1245" t="str">
        <f>""</f>
        <v/>
      </c>
      <c r="F1245" t="str">
        <f>""</f>
        <v/>
      </c>
      <c r="H1245" t="str">
        <f t="shared" si="19"/>
        <v>GUARDIAN</v>
      </c>
    </row>
    <row r="1246" spans="5:8" x14ac:dyDescent="0.25">
      <c r="E1246" t="str">
        <f>""</f>
        <v/>
      </c>
      <c r="F1246" t="str">
        <f>""</f>
        <v/>
      </c>
      <c r="H1246" t="str">
        <f t="shared" si="19"/>
        <v>GUARDIAN</v>
      </c>
    </row>
    <row r="1247" spans="5:8" x14ac:dyDescent="0.25">
      <c r="E1247" t="str">
        <f>""</f>
        <v/>
      </c>
      <c r="F1247" t="str">
        <f>""</f>
        <v/>
      </c>
      <c r="H1247" t="str">
        <f t="shared" si="19"/>
        <v>GUARDIAN</v>
      </c>
    </row>
    <row r="1248" spans="5:8" x14ac:dyDescent="0.25">
      <c r="E1248" t="str">
        <f>""</f>
        <v/>
      </c>
      <c r="F1248" t="str">
        <f>""</f>
        <v/>
      </c>
      <c r="H1248" t="str">
        <f t="shared" si="19"/>
        <v>GUARDIAN</v>
      </c>
    </row>
    <row r="1249" spans="5:8" x14ac:dyDescent="0.25">
      <c r="E1249" t="str">
        <f>""</f>
        <v/>
      </c>
      <c r="F1249" t="str">
        <f>""</f>
        <v/>
      </c>
      <c r="H1249" t="str">
        <f t="shared" si="19"/>
        <v>GUARDIAN</v>
      </c>
    </row>
    <row r="1250" spans="5:8" x14ac:dyDescent="0.25">
      <c r="E1250" t="str">
        <f>""</f>
        <v/>
      </c>
      <c r="F1250" t="str">
        <f>""</f>
        <v/>
      </c>
      <c r="H1250" t="str">
        <f t="shared" si="19"/>
        <v>GUARDIAN</v>
      </c>
    </row>
    <row r="1251" spans="5:8" x14ac:dyDescent="0.25">
      <c r="E1251" t="str">
        <f>""</f>
        <v/>
      </c>
      <c r="F1251" t="str">
        <f>""</f>
        <v/>
      </c>
      <c r="H1251" t="str">
        <f t="shared" si="19"/>
        <v>GUARDIAN</v>
      </c>
    </row>
    <row r="1252" spans="5:8" x14ac:dyDescent="0.25">
      <c r="E1252" t="str">
        <f>""</f>
        <v/>
      </c>
      <c r="F1252" t="str">
        <f>""</f>
        <v/>
      </c>
      <c r="H1252" t="str">
        <f t="shared" si="19"/>
        <v>GUARDIAN</v>
      </c>
    </row>
    <row r="1253" spans="5:8" x14ac:dyDescent="0.25">
      <c r="E1253" t="str">
        <f>""</f>
        <v/>
      </c>
      <c r="F1253" t="str">
        <f>""</f>
        <v/>
      </c>
      <c r="H1253" t="str">
        <f t="shared" si="19"/>
        <v>GUARDIAN</v>
      </c>
    </row>
    <row r="1254" spans="5:8" x14ac:dyDescent="0.25">
      <c r="E1254" t="str">
        <f>"GDE202006107242"</f>
        <v>GDE202006107242</v>
      </c>
      <c r="F1254" t="str">
        <f>"GUARDIAN"</f>
        <v>GUARDIAN</v>
      </c>
      <c r="G1254" s="5">
        <v>184.68</v>
      </c>
      <c r="H1254" t="str">
        <f t="shared" si="19"/>
        <v>GUARDIAN</v>
      </c>
    </row>
    <row r="1255" spans="5:8" x14ac:dyDescent="0.25">
      <c r="E1255" t="str">
        <f>"GDE202006247386"</f>
        <v>GDE202006247386</v>
      </c>
      <c r="F1255" t="str">
        <f>"GUARDIAN"</f>
        <v>GUARDIAN</v>
      </c>
      <c r="G1255" s="5">
        <v>4478.49</v>
      </c>
      <c r="H1255" t="str">
        <f t="shared" si="19"/>
        <v>GUARDIAN</v>
      </c>
    </row>
    <row r="1256" spans="5:8" x14ac:dyDescent="0.25">
      <c r="E1256" t="str">
        <f>""</f>
        <v/>
      </c>
      <c r="F1256" t="str">
        <f>""</f>
        <v/>
      </c>
      <c r="H1256" t="str">
        <f t="shared" si="19"/>
        <v>GUARDIAN</v>
      </c>
    </row>
    <row r="1257" spans="5:8" x14ac:dyDescent="0.25">
      <c r="E1257" t="str">
        <f>""</f>
        <v/>
      </c>
      <c r="F1257" t="str">
        <f>""</f>
        <v/>
      </c>
      <c r="H1257" t="str">
        <f t="shared" si="19"/>
        <v>GUARDIAN</v>
      </c>
    </row>
    <row r="1258" spans="5:8" x14ac:dyDescent="0.25">
      <c r="E1258" t="str">
        <f>""</f>
        <v/>
      </c>
      <c r="F1258" t="str">
        <f>""</f>
        <v/>
      </c>
      <c r="H1258" t="str">
        <f t="shared" si="19"/>
        <v>GUARDIAN</v>
      </c>
    </row>
    <row r="1259" spans="5:8" x14ac:dyDescent="0.25">
      <c r="E1259" t="str">
        <f>""</f>
        <v/>
      </c>
      <c r="F1259" t="str">
        <f>""</f>
        <v/>
      </c>
      <c r="H1259" t="str">
        <f t="shared" si="19"/>
        <v>GUARDIAN</v>
      </c>
    </row>
    <row r="1260" spans="5:8" x14ac:dyDescent="0.25">
      <c r="E1260" t="str">
        <f>""</f>
        <v/>
      </c>
      <c r="F1260" t="str">
        <f>""</f>
        <v/>
      </c>
      <c r="H1260" t="str">
        <f t="shared" si="19"/>
        <v>GUARDIAN</v>
      </c>
    </row>
    <row r="1261" spans="5:8" x14ac:dyDescent="0.25">
      <c r="E1261" t="str">
        <f>""</f>
        <v/>
      </c>
      <c r="F1261" t="str">
        <f>""</f>
        <v/>
      </c>
      <c r="H1261" t="str">
        <f t="shared" si="19"/>
        <v>GUARDIAN</v>
      </c>
    </row>
    <row r="1262" spans="5:8" x14ac:dyDescent="0.25">
      <c r="E1262" t="str">
        <f>""</f>
        <v/>
      </c>
      <c r="F1262" t="str">
        <f>""</f>
        <v/>
      </c>
      <c r="H1262" t="str">
        <f t="shared" si="19"/>
        <v>GUARDIAN</v>
      </c>
    </row>
    <row r="1263" spans="5:8" x14ac:dyDescent="0.25">
      <c r="E1263" t="str">
        <f>""</f>
        <v/>
      </c>
      <c r="F1263" t="str">
        <f>""</f>
        <v/>
      </c>
      <c r="H1263" t="str">
        <f t="shared" ref="H1263:H1326" si="20">"GUARDIAN"</f>
        <v>GUARDIAN</v>
      </c>
    </row>
    <row r="1264" spans="5:8" x14ac:dyDescent="0.25">
      <c r="E1264" t="str">
        <f>""</f>
        <v/>
      </c>
      <c r="F1264" t="str">
        <f>""</f>
        <v/>
      </c>
      <c r="H1264" t="str">
        <f t="shared" si="20"/>
        <v>GUARDIAN</v>
      </c>
    </row>
    <row r="1265" spans="5:8" x14ac:dyDescent="0.25">
      <c r="E1265" t="str">
        <f>""</f>
        <v/>
      </c>
      <c r="F1265" t="str">
        <f>""</f>
        <v/>
      </c>
      <c r="H1265" t="str">
        <f t="shared" si="20"/>
        <v>GUARDIAN</v>
      </c>
    </row>
    <row r="1266" spans="5:8" x14ac:dyDescent="0.25">
      <c r="E1266" t="str">
        <f>""</f>
        <v/>
      </c>
      <c r="F1266" t="str">
        <f>""</f>
        <v/>
      </c>
      <c r="H1266" t="str">
        <f t="shared" si="20"/>
        <v>GUARDIAN</v>
      </c>
    </row>
    <row r="1267" spans="5:8" x14ac:dyDescent="0.25">
      <c r="E1267" t="str">
        <f>""</f>
        <v/>
      </c>
      <c r="F1267" t="str">
        <f>""</f>
        <v/>
      </c>
      <c r="H1267" t="str">
        <f t="shared" si="20"/>
        <v>GUARDIAN</v>
      </c>
    </row>
    <row r="1268" spans="5:8" x14ac:dyDescent="0.25">
      <c r="E1268" t="str">
        <f>""</f>
        <v/>
      </c>
      <c r="F1268" t="str">
        <f>""</f>
        <v/>
      </c>
      <c r="H1268" t="str">
        <f t="shared" si="20"/>
        <v>GUARDIAN</v>
      </c>
    </row>
    <row r="1269" spans="5:8" x14ac:dyDescent="0.25">
      <c r="E1269" t="str">
        <f>""</f>
        <v/>
      </c>
      <c r="F1269" t="str">
        <f>""</f>
        <v/>
      </c>
      <c r="H1269" t="str">
        <f t="shared" si="20"/>
        <v>GUARDIAN</v>
      </c>
    </row>
    <row r="1270" spans="5:8" x14ac:dyDescent="0.25">
      <c r="E1270" t="str">
        <f>""</f>
        <v/>
      </c>
      <c r="F1270" t="str">
        <f>""</f>
        <v/>
      </c>
      <c r="H1270" t="str">
        <f t="shared" si="20"/>
        <v>GUARDIAN</v>
      </c>
    </row>
    <row r="1271" spans="5:8" x14ac:dyDescent="0.25">
      <c r="E1271" t="str">
        <f>""</f>
        <v/>
      </c>
      <c r="F1271" t="str">
        <f>""</f>
        <v/>
      </c>
      <c r="H1271" t="str">
        <f t="shared" si="20"/>
        <v>GUARDIAN</v>
      </c>
    </row>
    <row r="1272" spans="5:8" x14ac:dyDescent="0.25">
      <c r="E1272" t="str">
        <f>""</f>
        <v/>
      </c>
      <c r="F1272" t="str">
        <f>""</f>
        <v/>
      </c>
      <c r="H1272" t="str">
        <f t="shared" si="20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20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20"/>
        <v>GUARDIAN</v>
      </c>
    </row>
    <row r="1275" spans="5:8" x14ac:dyDescent="0.25">
      <c r="E1275" t="str">
        <f>""</f>
        <v/>
      </c>
      <c r="F1275" t="str">
        <f>""</f>
        <v/>
      </c>
      <c r="H1275" t="str">
        <f t="shared" si="20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20"/>
        <v>GUARDIAN</v>
      </c>
    </row>
    <row r="1277" spans="5:8" x14ac:dyDescent="0.25">
      <c r="E1277" t="str">
        <f>""</f>
        <v/>
      </c>
      <c r="F1277" t="str">
        <f>""</f>
        <v/>
      </c>
      <c r="H1277" t="str">
        <f t="shared" si="20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20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20"/>
        <v>GUARDIAN</v>
      </c>
    </row>
    <row r="1280" spans="5:8" x14ac:dyDescent="0.25">
      <c r="E1280" t="str">
        <f>""</f>
        <v/>
      </c>
      <c r="F1280" t="str">
        <f>""</f>
        <v/>
      </c>
      <c r="H1280" t="str">
        <f t="shared" si="20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20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20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20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si="20"/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0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0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0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0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0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0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0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0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si="20"/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0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0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0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si="20"/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0"/>
        <v>GUARDIAN</v>
      </c>
    </row>
    <row r="1299" spans="5:8" x14ac:dyDescent="0.25">
      <c r="E1299" t="str">
        <f>"GDE202006247387"</f>
        <v>GDE202006247387</v>
      </c>
      <c r="F1299" t="str">
        <f>"GUARDIAN"</f>
        <v>GUARDIAN</v>
      </c>
      <c r="G1299" s="5">
        <v>184.68</v>
      </c>
      <c r="H1299" t="str">
        <f t="shared" si="20"/>
        <v>GUARDIAN</v>
      </c>
    </row>
    <row r="1300" spans="5:8" x14ac:dyDescent="0.25">
      <c r="E1300" t="str">
        <f>"GDF202006097241"</f>
        <v>GDF202006097241</v>
      </c>
      <c r="F1300" t="str">
        <f>"GUARDIAN"</f>
        <v>GUARDIAN</v>
      </c>
      <c r="G1300" s="5">
        <v>2209.2399999999998</v>
      </c>
      <c r="H1300" t="str">
        <f t="shared" si="20"/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 t="shared" si="20"/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 t="shared" si="20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0"/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 t="shared" si="20"/>
        <v>GUARDIAN</v>
      </c>
    </row>
    <row r="1305" spans="5:8" x14ac:dyDescent="0.25">
      <c r="E1305" t="str">
        <f>""</f>
        <v/>
      </c>
      <c r="F1305" t="str">
        <f>""</f>
        <v/>
      </c>
      <c r="H1305" t="str">
        <f t="shared" si="20"/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 t="shared" si="20"/>
        <v>GUARDIAN</v>
      </c>
    </row>
    <row r="1307" spans="5:8" x14ac:dyDescent="0.25">
      <c r="E1307" t="str">
        <f>""</f>
        <v/>
      </c>
      <c r="F1307" t="str">
        <f>""</f>
        <v/>
      </c>
      <c r="H1307" t="str">
        <f t="shared" si="20"/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 t="shared" si="20"/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 t="shared" si="20"/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 t="shared" si="20"/>
        <v>GUARDIAN</v>
      </c>
    </row>
    <row r="1311" spans="5:8" x14ac:dyDescent="0.25">
      <c r="E1311" t="str">
        <f>""</f>
        <v/>
      </c>
      <c r="F1311" t="str">
        <f>""</f>
        <v/>
      </c>
      <c r="H1311" t="str">
        <f t="shared" si="20"/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 t="shared" si="20"/>
        <v>GUARDIAN</v>
      </c>
    </row>
    <row r="1313" spans="5:8" x14ac:dyDescent="0.25">
      <c r="E1313" t="str">
        <f>""</f>
        <v/>
      </c>
      <c r="F1313" t="str">
        <f>""</f>
        <v/>
      </c>
      <c r="H1313" t="str">
        <f t="shared" si="20"/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 t="shared" si="20"/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 t="shared" si="20"/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0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0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0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0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0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0"/>
        <v>GUARDIAN</v>
      </c>
    </row>
    <row r="1322" spans="5:8" x14ac:dyDescent="0.25">
      <c r="E1322" t="str">
        <f>"GDF202006107242"</f>
        <v>GDF202006107242</v>
      </c>
      <c r="F1322" t="str">
        <f>"GUARDIAN"</f>
        <v>GUARDIAN</v>
      </c>
      <c r="G1322" s="5">
        <v>100.42</v>
      </c>
      <c r="H1322" t="str">
        <f t="shared" si="20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0"/>
        <v>GUARDIAN</v>
      </c>
    </row>
    <row r="1324" spans="5:8" x14ac:dyDescent="0.25">
      <c r="E1324" t="str">
        <f>"GDF202006247386"</f>
        <v>GDF202006247386</v>
      </c>
      <c r="F1324" t="str">
        <f>"GUARDIAN"</f>
        <v>GUARDIAN</v>
      </c>
      <c r="G1324" s="5">
        <v>2108.8200000000002</v>
      </c>
      <c r="H1324" t="str">
        <f t="shared" si="20"/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0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0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ref="H1327:H1390" si="21">"GUARDIAN"</f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1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1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1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1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1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1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1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1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1"/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 t="shared" si="21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1"/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 t="shared" si="21"/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 t="shared" si="21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1"/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 t="shared" si="21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1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1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1"/>
        <v>GUARDIAN</v>
      </c>
    </row>
    <row r="1346" spans="5:8" x14ac:dyDescent="0.25">
      <c r="E1346" t="str">
        <f>"GDF202006247387"</f>
        <v>GDF202006247387</v>
      </c>
      <c r="F1346" t="str">
        <f>"GUARDIAN"</f>
        <v>GUARDIAN</v>
      </c>
      <c r="G1346" s="5">
        <v>100.42</v>
      </c>
      <c r="H1346" t="str">
        <f t="shared" si="21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si="21"/>
        <v>GUARDIAN</v>
      </c>
    </row>
    <row r="1348" spans="5:8" x14ac:dyDescent="0.25">
      <c r="E1348" t="str">
        <f>"GDS202006097241"</f>
        <v>GDS202006097241</v>
      </c>
      <c r="F1348" t="str">
        <f>"GUARDIAN"</f>
        <v>GUARDIAN</v>
      </c>
      <c r="G1348" s="5">
        <v>1954.26</v>
      </c>
      <c r="H1348" t="str">
        <f t="shared" si="21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1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1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1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1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1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1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1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1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1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1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1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1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21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1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21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21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21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21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21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1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21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1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21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1"/>
        <v>GUARDIAN</v>
      </c>
    </row>
    <row r="1373" spans="5:8" x14ac:dyDescent="0.25">
      <c r="E1373" t="str">
        <f>"GDS202006247386"</f>
        <v>GDS202006247386</v>
      </c>
      <c r="F1373" t="str">
        <f>"GUARDIAN"</f>
        <v>GUARDIAN</v>
      </c>
      <c r="G1373" s="5">
        <v>1954.26</v>
      </c>
      <c r="H1373" t="str">
        <f t="shared" si="21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1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1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1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1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1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21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1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1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1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1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1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1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21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21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21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1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1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ref="H1391:H1397" si="22">"GUARDIAN"</f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2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22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22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22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2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22"/>
        <v>GUARDIAN</v>
      </c>
    </row>
    <row r="1398" spans="5:8" x14ac:dyDescent="0.25">
      <c r="E1398" t="str">
        <f>"GV1202006097241"</f>
        <v>GV1202006097241</v>
      </c>
      <c r="F1398" t="str">
        <f>"GUARDIAN VISION"</f>
        <v>GUARDIAN VISION</v>
      </c>
      <c r="G1398" s="5">
        <v>425.6</v>
      </c>
      <c r="H1398" t="str">
        <f>"GUARDIAN VISION"</f>
        <v>GUARDIAN VISION</v>
      </c>
    </row>
    <row r="1399" spans="5:8" x14ac:dyDescent="0.25">
      <c r="E1399" t="str">
        <f>"GV1202006247386"</f>
        <v>GV1202006247386</v>
      </c>
      <c r="F1399" t="str">
        <f>"GUARDIAN VISION"</f>
        <v>GUARDIAN VISION</v>
      </c>
      <c r="G1399" s="5">
        <v>425.6</v>
      </c>
      <c r="H1399" t="str">
        <f>"GUARDIAN VISION"</f>
        <v>GUARDIAN VISION</v>
      </c>
    </row>
    <row r="1400" spans="5:8" x14ac:dyDescent="0.25">
      <c r="E1400" t="str">
        <f>"GVE202006097241"</f>
        <v>GVE202006097241</v>
      </c>
      <c r="F1400" t="str">
        <f>"GUARDIAN VISION VENDOR"</f>
        <v>GUARDIAN VISION VENDOR</v>
      </c>
      <c r="G1400" s="5">
        <v>627.29999999999995</v>
      </c>
      <c r="H1400" t="str">
        <f>"GUARDIAN VISION VENDOR"</f>
        <v>GUARDIAN VISION VENDOR</v>
      </c>
    </row>
    <row r="1401" spans="5:8" x14ac:dyDescent="0.25">
      <c r="E1401" t="str">
        <f>"GVE202006107242"</f>
        <v>GVE202006107242</v>
      </c>
      <c r="F1401" t="str">
        <f>"GUARDIAN VISION VENDOR"</f>
        <v>GUARDIAN VISION VENDOR</v>
      </c>
      <c r="G1401" s="5">
        <v>33.21</v>
      </c>
      <c r="H1401" t="str">
        <f>"GUARDIAN VISION VENDOR"</f>
        <v>GUARDIAN VISION VENDOR</v>
      </c>
    </row>
    <row r="1402" spans="5:8" x14ac:dyDescent="0.25">
      <c r="E1402" t="str">
        <f>"GVE202006247386"</f>
        <v>GVE202006247386</v>
      </c>
      <c r="F1402" t="str">
        <f>"GUARDIAN VISION VENDOR"</f>
        <v>GUARDIAN VISION VENDOR</v>
      </c>
      <c r="G1402" s="5">
        <v>619.91999999999996</v>
      </c>
      <c r="H1402" t="str">
        <f>"GUARDIAN VISION VENDOR"</f>
        <v>GUARDIAN VISION VENDOR</v>
      </c>
    </row>
    <row r="1403" spans="5:8" x14ac:dyDescent="0.25">
      <c r="E1403" t="str">
        <f>"GVE202006247387"</f>
        <v>GVE202006247387</v>
      </c>
      <c r="F1403" t="str">
        <f>"GUARDIAN VISION VENDOR"</f>
        <v>GUARDIAN VISION VENDOR</v>
      </c>
      <c r="G1403" s="5">
        <v>33.21</v>
      </c>
      <c r="H1403" t="str">
        <f>"GUARDIAN VISION VENDOR"</f>
        <v>GUARDIAN VISION VENDOR</v>
      </c>
    </row>
    <row r="1404" spans="5:8" x14ac:dyDescent="0.25">
      <c r="E1404" t="str">
        <f>"GVF202006097241"</f>
        <v>GVF202006097241</v>
      </c>
      <c r="F1404" t="str">
        <f>"GUARDIAN VISION"</f>
        <v>GUARDIAN VISION</v>
      </c>
      <c r="G1404" s="5">
        <v>541.75</v>
      </c>
      <c r="H1404" t="str">
        <f>"GUARDIAN VISION"</f>
        <v>GUARDIAN VISION</v>
      </c>
    </row>
    <row r="1405" spans="5:8" x14ac:dyDescent="0.25">
      <c r="E1405" t="str">
        <f>"GVF202006107242"</f>
        <v>GVF202006107242</v>
      </c>
      <c r="F1405" t="str">
        <f>"GUARDIAN VISION VENDOR"</f>
        <v>GUARDIAN VISION VENDOR</v>
      </c>
      <c r="G1405" s="5">
        <v>39.4</v>
      </c>
      <c r="H1405" t="str">
        <f>"GUARDIAN VISION VENDOR"</f>
        <v>GUARDIAN VISION VENDOR</v>
      </c>
    </row>
    <row r="1406" spans="5:8" x14ac:dyDescent="0.25">
      <c r="E1406" t="str">
        <f>"GVF202006247386"</f>
        <v>GVF202006247386</v>
      </c>
      <c r="F1406" t="str">
        <f>"GUARDIAN VISION"</f>
        <v>GUARDIAN VISION</v>
      </c>
      <c r="G1406" s="5">
        <v>541.75</v>
      </c>
      <c r="H1406" t="str">
        <f>"GUARDIAN VISION"</f>
        <v>GUARDIAN VISION</v>
      </c>
    </row>
    <row r="1407" spans="5:8" x14ac:dyDescent="0.25">
      <c r="E1407" t="str">
        <f>"GVF202006247387"</f>
        <v>GVF202006247387</v>
      </c>
      <c r="F1407" t="str">
        <f>"GUARDIAN VISION VENDOR"</f>
        <v>GUARDIAN VISION VENDOR</v>
      </c>
      <c r="G1407" s="5">
        <v>39.4</v>
      </c>
      <c r="H1407" t="str">
        <f>"GUARDIAN VISION VENDOR"</f>
        <v>GUARDIAN VISION VENDOR</v>
      </c>
    </row>
    <row r="1408" spans="5:8" x14ac:dyDescent="0.25">
      <c r="E1408" t="str">
        <f>"LIA202006097241"</f>
        <v>LIA202006097241</v>
      </c>
      <c r="F1408" t="str">
        <f>"GUARDIAN"</f>
        <v>GUARDIAN</v>
      </c>
      <c r="G1408" s="5">
        <v>209.41</v>
      </c>
      <c r="H1408" t="str">
        <f t="shared" ref="H1408:H1439" si="23">"GUARDIAN"</f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3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3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23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23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3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3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3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3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3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23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3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23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3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3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3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3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3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3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3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3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3"/>
        <v>GUARDIAN</v>
      </c>
    </row>
    <row r="1430" spans="5:8" x14ac:dyDescent="0.25">
      <c r="E1430" t="str">
        <f>"LIA202006107242"</f>
        <v>LIA202006107242</v>
      </c>
      <c r="F1430" t="str">
        <f>"GUARDIAN"</f>
        <v>GUARDIAN</v>
      </c>
      <c r="G1430" s="5">
        <v>40.799999999999997</v>
      </c>
      <c r="H1430" t="str">
        <f t="shared" si="23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3"/>
        <v>GUARDIAN</v>
      </c>
    </row>
    <row r="1432" spans="5:8" x14ac:dyDescent="0.25">
      <c r="E1432" t="str">
        <f>"LIA202006247386"</f>
        <v>LIA202006247386</v>
      </c>
      <c r="F1432" t="str">
        <f>"GUARDIAN"</f>
        <v>GUARDIAN</v>
      </c>
      <c r="G1432" s="5">
        <v>209.41</v>
      </c>
      <c r="H1432" t="str">
        <f t="shared" si="23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23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3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3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3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3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3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3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ref="H1440:H1471" si="24">"GUARDIAN"</f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4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4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4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4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4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4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4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4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4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4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4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24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4"/>
        <v>GUARDIAN</v>
      </c>
    </row>
    <row r="1454" spans="5:8" x14ac:dyDescent="0.25">
      <c r="E1454" t="str">
        <f>"LIA202006247387"</f>
        <v>LIA202006247387</v>
      </c>
      <c r="F1454" t="str">
        <f>"GUARDIAN"</f>
        <v>GUARDIAN</v>
      </c>
      <c r="G1454" s="5">
        <v>40.799999999999997</v>
      </c>
      <c r="H1454" t="str">
        <f t="shared" si="24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4"/>
        <v>GUARDIAN</v>
      </c>
    </row>
    <row r="1456" spans="5:8" x14ac:dyDescent="0.25">
      <c r="E1456" t="str">
        <f>"LIC202006097241"</f>
        <v>LIC202006097241</v>
      </c>
      <c r="F1456" t="str">
        <f>"GUARDIAN"</f>
        <v>GUARDIAN</v>
      </c>
      <c r="G1456" s="5">
        <v>31.52</v>
      </c>
      <c r="H1456" t="str">
        <f t="shared" si="24"/>
        <v>GUARDIAN</v>
      </c>
    </row>
    <row r="1457" spans="5:8" x14ac:dyDescent="0.25">
      <c r="E1457" t="str">
        <f>"LIC202006107242"</f>
        <v>LIC202006107242</v>
      </c>
      <c r="F1457" t="str">
        <f>"GUARDIAN"</f>
        <v>GUARDIAN</v>
      </c>
      <c r="G1457" s="5">
        <v>1.05</v>
      </c>
      <c r="H1457" t="str">
        <f t="shared" si="24"/>
        <v>GUARDIAN</v>
      </c>
    </row>
    <row r="1458" spans="5:8" x14ac:dyDescent="0.25">
      <c r="E1458" t="str">
        <f>"LIC202006247386"</f>
        <v>LIC202006247386</v>
      </c>
      <c r="F1458" t="str">
        <f>"GUARDIAN"</f>
        <v>GUARDIAN</v>
      </c>
      <c r="G1458" s="5">
        <v>31.52</v>
      </c>
      <c r="H1458" t="str">
        <f t="shared" si="24"/>
        <v>GUARDIAN</v>
      </c>
    </row>
    <row r="1459" spans="5:8" x14ac:dyDescent="0.25">
      <c r="E1459" t="str">
        <f>"LIC202006247387"</f>
        <v>LIC202006247387</v>
      </c>
      <c r="F1459" t="str">
        <f>"GUARDIAN"</f>
        <v>GUARDIAN</v>
      </c>
      <c r="G1459" s="5">
        <v>1.05</v>
      </c>
      <c r="H1459" t="str">
        <f t="shared" si="24"/>
        <v>GUARDIAN</v>
      </c>
    </row>
    <row r="1460" spans="5:8" x14ac:dyDescent="0.25">
      <c r="E1460" t="str">
        <f>"LIE202006097241"</f>
        <v>LIE202006097241</v>
      </c>
      <c r="F1460" t="str">
        <f>"GUARDIAN"</f>
        <v>GUARDIAN</v>
      </c>
      <c r="G1460" s="5">
        <v>3697.7</v>
      </c>
      <c r="H1460" t="str">
        <f t="shared" si="24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4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4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4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4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4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4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4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4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4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4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4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ref="H1472:H1503" si="25">"GUARDIAN"</f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5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5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5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5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5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5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5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5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5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5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5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5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5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5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5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5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5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5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5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5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5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5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5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5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5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5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5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5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5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5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5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ref="H1504:H1535" si="26">"GUARDIAN"</f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6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6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6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6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6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6"/>
        <v>GUARDIAN</v>
      </c>
    </row>
    <row r="1511" spans="5:8" x14ac:dyDescent="0.25">
      <c r="E1511" t="str">
        <f>"LIE202006107242"</f>
        <v>LIE202006107242</v>
      </c>
      <c r="F1511" t="str">
        <f>"GUARDIAN"</f>
        <v>GUARDIAN</v>
      </c>
      <c r="G1511" s="5">
        <v>90.2</v>
      </c>
      <c r="H1511" t="str">
        <f t="shared" si="26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6"/>
        <v>GUARDIAN</v>
      </c>
    </row>
    <row r="1513" spans="5:8" x14ac:dyDescent="0.25">
      <c r="E1513" t="str">
        <f>"LIE202006247386"</f>
        <v>LIE202006247386</v>
      </c>
      <c r="F1513" t="str">
        <f>"GUARDIAN"</f>
        <v>GUARDIAN</v>
      </c>
      <c r="G1513" s="5">
        <v>3687</v>
      </c>
      <c r="H1513" t="str">
        <f t="shared" si="26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6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6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6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6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6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6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6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6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6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6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6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6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6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6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6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6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6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6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6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6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6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6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ref="H1536:H1567" si="27">"GUARDIAN"</f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7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7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7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7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7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7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7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7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7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7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7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7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7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7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7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7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7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7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7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7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7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7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7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7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7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7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7"/>
        <v>GUARDIAN</v>
      </c>
    </row>
    <row r="1564" spans="5:8" x14ac:dyDescent="0.25">
      <c r="E1564" t="str">
        <f>"LIE202006247387"</f>
        <v>LIE202006247387</v>
      </c>
      <c r="F1564" t="str">
        <f>"GUARDIAN"</f>
        <v>GUARDIAN</v>
      </c>
      <c r="G1564" s="5">
        <v>90.2</v>
      </c>
      <c r="H1564" t="str">
        <f t="shared" si="27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7"/>
        <v>GUARDIAN</v>
      </c>
    </row>
    <row r="1566" spans="5:8" x14ac:dyDescent="0.25">
      <c r="E1566" t="str">
        <f>"LIS202006097241"</f>
        <v>LIS202006097241</v>
      </c>
      <c r="F1566" t="str">
        <f t="shared" ref="F1566:F1578" si="28">"GUARDIAN"</f>
        <v>GUARDIAN</v>
      </c>
      <c r="G1566" s="5">
        <v>500.12</v>
      </c>
      <c r="H1566" t="str">
        <f t="shared" si="27"/>
        <v>GUARDIAN</v>
      </c>
    </row>
    <row r="1567" spans="5:8" x14ac:dyDescent="0.25">
      <c r="E1567" t="str">
        <f>"LIS202006107242"</f>
        <v>LIS202006107242</v>
      </c>
      <c r="F1567" t="str">
        <f t="shared" si="28"/>
        <v>GUARDIAN</v>
      </c>
      <c r="G1567" s="5">
        <v>36.15</v>
      </c>
      <c r="H1567" t="str">
        <f t="shared" si="27"/>
        <v>GUARDIAN</v>
      </c>
    </row>
    <row r="1568" spans="5:8" x14ac:dyDescent="0.25">
      <c r="E1568" t="str">
        <f>"LIS202006247386"</f>
        <v>LIS202006247386</v>
      </c>
      <c r="F1568" t="str">
        <f t="shared" si="28"/>
        <v>GUARDIAN</v>
      </c>
      <c r="G1568" s="5">
        <v>500.12</v>
      </c>
      <c r="H1568" t="str">
        <f t="shared" ref="H1568:H1578" si="29">"GUARDIAN"</f>
        <v>GUARDIAN</v>
      </c>
    </row>
    <row r="1569" spans="1:8" x14ac:dyDescent="0.25">
      <c r="E1569" t="str">
        <f>"LIS202006247387"</f>
        <v>LIS202006247387</v>
      </c>
      <c r="F1569" t="str">
        <f t="shared" si="28"/>
        <v>GUARDIAN</v>
      </c>
      <c r="G1569" s="5">
        <v>36.15</v>
      </c>
      <c r="H1569" t="str">
        <f t="shared" si="29"/>
        <v>GUARDIAN</v>
      </c>
    </row>
    <row r="1570" spans="1:8" x14ac:dyDescent="0.25">
      <c r="E1570" t="str">
        <f>"LTD202006097241"</f>
        <v>LTD202006097241</v>
      </c>
      <c r="F1570" t="str">
        <f t="shared" si="28"/>
        <v>GUARDIAN</v>
      </c>
      <c r="G1570" s="5">
        <v>834.05</v>
      </c>
      <c r="H1570" t="str">
        <f t="shared" si="29"/>
        <v>GUARDIAN</v>
      </c>
    </row>
    <row r="1571" spans="1:8" x14ac:dyDescent="0.25">
      <c r="E1571" t="str">
        <f>"LTD202006107242"</f>
        <v>LTD202006107242</v>
      </c>
      <c r="F1571" t="str">
        <f t="shared" si="28"/>
        <v>GUARDIAN</v>
      </c>
      <c r="G1571" s="5">
        <v>6.11</v>
      </c>
      <c r="H1571" t="str">
        <f t="shared" si="29"/>
        <v>GUARDIAN</v>
      </c>
    </row>
    <row r="1572" spans="1:8" x14ac:dyDescent="0.25">
      <c r="E1572" t="str">
        <f>"LTD202006247386"</f>
        <v>LTD202006247386</v>
      </c>
      <c r="F1572" t="str">
        <f t="shared" si="28"/>
        <v>GUARDIAN</v>
      </c>
      <c r="G1572" s="5">
        <v>834.05</v>
      </c>
      <c r="H1572" t="str">
        <f t="shared" si="29"/>
        <v>GUARDIAN</v>
      </c>
    </row>
    <row r="1573" spans="1:8" x14ac:dyDescent="0.25">
      <c r="E1573" t="str">
        <f>"LTD202006247387"</f>
        <v>LTD202006247387</v>
      </c>
      <c r="F1573" t="str">
        <f t="shared" si="28"/>
        <v>GUARDIAN</v>
      </c>
      <c r="G1573" s="5">
        <v>6.11</v>
      </c>
      <c r="H1573" t="str">
        <f t="shared" si="29"/>
        <v>GUARDIAN</v>
      </c>
    </row>
    <row r="1574" spans="1:8" x14ac:dyDescent="0.25">
      <c r="A1574" t="s">
        <v>329</v>
      </c>
      <c r="B1574">
        <v>564</v>
      </c>
      <c r="C1574" s="5">
        <v>75.72</v>
      </c>
      <c r="D1574" s="1">
        <v>44011</v>
      </c>
      <c r="E1574" t="str">
        <f>"AFG202005267009"</f>
        <v>AFG202005267009</v>
      </c>
      <c r="F1574" t="str">
        <f t="shared" si="28"/>
        <v>GUARDIAN</v>
      </c>
      <c r="G1574" s="5">
        <v>-6.72</v>
      </c>
      <c r="H1574" t="str">
        <f t="shared" si="29"/>
        <v>GUARDIAN</v>
      </c>
    </row>
    <row r="1575" spans="1:8" x14ac:dyDescent="0.25">
      <c r="E1575" t="str">
        <f>"AEG202006097241"</f>
        <v>AEG202006097241</v>
      </c>
      <c r="F1575" t="str">
        <f t="shared" si="28"/>
        <v>GUARDIAN</v>
      </c>
      <c r="G1575" s="5">
        <v>6.66</v>
      </c>
      <c r="H1575" t="str">
        <f t="shared" si="29"/>
        <v>GUARDIAN</v>
      </c>
    </row>
    <row r="1576" spans="1:8" x14ac:dyDescent="0.25">
      <c r="E1576" t="str">
        <f>"AEG202006247386"</f>
        <v>AEG202006247386</v>
      </c>
      <c r="F1576" t="str">
        <f t="shared" si="28"/>
        <v>GUARDIAN</v>
      </c>
      <c r="G1576" s="5">
        <v>6.66</v>
      </c>
      <c r="H1576" t="str">
        <f t="shared" si="29"/>
        <v>GUARDIAN</v>
      </c>
    </row>
    <row r="1577" spans="1:8" x14ac:dyDescent="0.25">
      <c r="E1577" t="str">
        <f>"AFG202006097241"</f>
        <v>AFG202006097241</v>
      </c>
      <c r="F1577" t="str">
        <f t="shared" si="28"/>
        <v>GUARDIAN</v>
      </c>
      <c r="G1577" s="5">
        <v>26.6</v>
      </c>
      <c r="H1577" t="str">
        <f t="shared" si="29"/>
        <v>GUARDIAN</v>
      </c>
    </row>
    <row r="1578" spans="1:8" x14ac:dyDescent="0.25">
      <c r="E1578" t="str">
        <f>"AFG202006247386"</f>
        <v>AFG202006247386</v>
      </c>
      <c r="F1578" t="str">
        <f t="shared" si="28"/>
        <v>GUARDIAN</v>
      </c>
      <c r="G1578" s="5">
        <v>42.52</v>
      </c>
      <c r="H1578" t="str">
        <f t="shared" si="29"/>
        <v>GUARDIAN</v>
      </c>
    </row>
    <row r="1579" spans="1:8" x14ac:dyDescent="0.25">
      <c r="A1579" t="s">
        <v>330</v>
      </c>
      <c r="B1579">
        <v>549</v>
      </c>
      <c r="C1579" s="5">
        <v>251075.49</v>
      </c>
      <c r="D1579" s="1">
        <v>43994</v>
      </c>
      <c r="E1579" t="str">
        <f>"T1 202006097241"</f>
        <v>T1 202006097241</v>
      </c>
      <c r="F1579" t="str">
        <f>"FEDERAL WITHHOLDING"</f>
        <v>FEDERAL WITHHOLDING</v>
      </c>
      <c r="G1579" s="5">
        <v>85549.38</v>
      </c>
      <c r="H1579" t="str">
        <f>"FEDERAL WITHHOLDING"</f>
        <v>FEDERAL WITHHOLDING</v>
      </c>
    </row>
    <row r="1580" spans="1:8" x14ac:dyDescent="0.25">
      <c r="E1580" t="str">
        <f>"T1 202006107242"</f>
        <v>T1 202006107242</v>
      </c>
      <c r="F1580" t="str">
        <f>"FEDERAL WITHHOLDING"</f>
        <v>FEDERAL WITHHOLDING</v>
      </c>
      <c r="G1580" s="5">
        <v>3190.46</v>
      </c>
      <c r="H1580" t="str">
        <f>"FEDERAL WITHHOLDING"</f>
        <v>FEDERAL WITHHOLDING</v>
      </c>
    </row>
    <row r="1581" spans="1:8" x14ac:dyDescent="0.25">
      <c r="E1581" t="str">
        <f>"T1 202006107243"</f>
        <v>T1 202006107243</v>
      </c>
      <c r="F1581" t="str">
        <f>"FEDERAL WITHHOLDING"</f>
        <v>FEDERAL WITHHOLDING</v>
      </c>
      <c r="G1581" s="5">
        <v>3445.35</v>
      </c>
      <c r="H1581" t="str">
        <f>"FEDERAL WITHHOLDING"</f>
        <v>FEDERAL WITHHOLDING</v>
      </c>
    </row>
    <row r="1582" spans="1:8" x14ac:dyDescent="0.25">
      <c r="E1582" t="str">
        <f>"T3 202006097241"</f>
        <v>T3 202006097241</v>
      </c>
      <c r="F1582" t="str">
        <f>"SOCIAL SECURITY TAXES"</f>
        <v>SOCIAL SECURITY TAXES</v>
      </c>
      <c r="G1582" s="5">
        <v>119346</v>
      </c>
      <c r="H1582" t="str">
        <f t="shared" ref="H1582:H1613" si="30">"SOCIAL SECURITY TAXES"</f>
        <v>SOCIAL SECURITY TAXES</v>
      </c>
    </row>
    <row r="1583" spans="1:8" x14ac:dyDescent="0.25">
      <c r="E1583" t="str">
        <f>""</f>
        <v/>
      </c>
      <c r="F1583" t="str">
        <f>""</f>
        <v/>
      </c>
      <c r="H1583" t="str">
        <f t="shared" si="30"/>
        <v>SOCIAL SECURITY TAXES</v>
      </c>
    </row>
    <row r="1584" spans="1:8" x14ac:dyDescent="0.25">
      <c r="E1584" t="str">
        <f>""</f>
        <v/>
      </c>
      <c r="F1584" t="str">
        <f>""</f>
        <v/>
      </c>
      <c r="H1584" t="str">
        <f t="shared" si="30"/>
        <v>SOCIAL SECURITY TAXES</v>
      </c>
    </row>
    <row r="1585" spans="5:8" x14ac:dyDescent="0.25">
      <c r="E1585" t="str">
        <f>""</f>
        <v/>
      </c>
      <c r="F1585" t="str">
        <f>""</f>
        <v/>
      </c>
      <c r="H1585" t="str">
        <f t="shared" si="30"/>
        <v>SOCIAL SECURITY TAXES</v>
      </c>
    </row>
    <row r="1586" spans="5:8" x14ac:dyDescent="0.25">
      <c r="E1586" t="str">
        <f>""</f>
        <v/>
      </c>
      <c r="F1586" t="str">
        <f>""</f>
        <v/>
      </c>
      <c r="H1586" t="str">
        <f t="shared" si="30"/>
        <v>SOCIAL SECURITY TAXES</v>
      </c>
    </row>
    <row r="1587" spans="5:8" x14ac:dyDescent="0.25">
      <c r="E1587" t="str">
        <f>""</f>
        <v/>
      </c>
      <c r="F1587" t="str">
        <f>""</f>
        <v/>
      </c>
      <c r="H1587" t="str">
        <f t="shared" si="30"/>
        <v>SOCIAL SECURITY TAXES</v>
      </c>
    </row>
    <row r="1588" spans="5:8" x14ac:dyDescent="0.25">
      <c r="E1588" t="str">
        <f>""</f>
        <v/>
      </c>
      <c r="F1588" t="str">
        <f>""</f>
        <v/>
      </c>
      <c r="H1588" t="str">
        <f t="shared" si="30"/>
        <v>SOCIAL SECURITY TAXES</v>
      </c>
    </row>
    <row r="1589" spans="5:8" x14ac:dyDescent="0.25">
      <c r="E1589" t="str">
        <f>""</f>
        <v/>
      </c>
      <c r="F1589" t="str">
        <f>""</f>
        <v/>
      </c>
      <c r="H1589" t="str">
        <f t="shared" si="30"/>
        <v>SOCIAL SECURITY TAXES</v>
      </c>
    </row>
    <row r="1590" spans="5:8" x14ac:dyDescent="0.25">
      <c r="E1590" t="str">
        <f>""</f>
        <v/>
      </c>
      <c r="F1590" t="str">
        <f>""</f>
        <v/>
      </c>
      <c r="H1590" t="str">
        <f t="shared" si="30"/>
        <v>SOCIAL SECURITY TAXES</v>
      </c>
    </row>
    <row r="1591" spans="5:8" x14ac:dyDescent="0.25">
      <c r="E1591" t="str">
        <f>""</f>
        <v/>
      </c>
      <c r="F1591" t="str">
        <f>""</f>
        <v/>
      </c>
      <c r="H1591" t="str">
        <f t="shared" si="30"/>
        <v>SOCIAL SECURITY TAXES</v>
      </c>
    </row>
    <row r="1592" spans="5:8" x14ac:dyDescent="0.25">
      <c r="E1592" t="str">
        <f>""</f>
        <v/>
      </c>
      <c r="F1592" t="str">
        <f>""</f>
        <v/>
      </c>
      <c r="H1592" t="str">
        <f t="shared" si="30"/>
        <v>SOCIAL SECURITY TAXES</v>
      </c>
    </row>
    <row r="1593" spans="5:8" x14ac:dyDescent="0.25">
      <c r="E1593" t="str">
        <f>""</f>
        <v/>
      </c>
      <c r="F1593" t="str">
        <f>""</f>
        <v/>
      </c>
      <c r="H1593" t="str">
        <f t="shared" si="30"/>
        <v>SOCIAL SECURITY TAXES</v>
      </c>
    </row>
    <row r="1594" spans="5:8" x14ac:dyDescent="0.25">
      <c r="E1594" t="str">
        <f>""</f>
        <v/>
      </c>
      <c r="F1594" t="str">
        <f>""</f>
        <v/>
      </c>
      <c r="H1594" t="str">
        <f t="shared" si="30"/>
        <v>SOCIAL SECURITY TAXES</v>
      </c>
    </row>
    <row r="1595" spans="5:8" x14ac:dyDescent="0.25">
      <c r="E1595" t="str">
        <f>""</f>
        <v/>
      </c>
      <c r="F1595" t="str">
        <f>""</f>
        <v/>
      </c>
      <c r="H1595" t="str">
        <f t="shared" si="30"/>
        <v>SOCIAL SECURITY TAXES</v>
      </c>
    </row>
    <row r="1596" spans="5:8" x14ac:dyDescent="0.25">
      <c r="E1596" t="str">
        <f>""</f>
        <v/>
      </c>
      <c r="F1596" t="str">
        <f>""</f>
        <v/>
      </c>
      <c r="H1596" t="str">
        <f t="shared" si="30"/>
        <v>SOCIAL SECURITY TAXES</v>
      </c>
    </row>
    <row r="1597" spans="5:8" x14ac:dyDescent="0.25">
      <c r="E1597" t="str">
        <f>""</f>
        <v/>
      </c>
      <c r="F1597" t="str">
        <f>""</f>
        <v/>
      </c>
      <c r="H1597" t="str">
        <f t="shared" si="30"/>
        <v>SOCIAL SECURITY TAXES</v>
      </c>
    </row>
    <row r="1598" spans="5:8" x14ac:dyDescent="0.25">
      <c r="E1598" t="str">
        <f>""</f>
        <v/>
      </c>
      <c r="F1598" t="str">
        <f>""</f>
        <v/>
      </c>
      <c r="H1598" t="str">
        <f t="shared" si="30"/>
        <v>SOCIAL SECURITY TAXES</v>
      </c>
    </row>
    <row r="1599" spans="5:8" x14ac:dyDescent="0.25">
      <c r="E1599" t="str">
        <f>""</f>
        <v/>
      </c>
      <c r="F1599" t="str">
        <f>""</f>
        <v/>
      </c>
      <c r="H1599" t="str">
        <f t="shared" si="30"/>
        <v>SOCIAL SECURITY TAXES</v>
      </c>
    </row>
    <row r="1600" spans="5:8" x14ac:dyDescent="0.25">
      <c r="E1600" t="str">
        <f>""</f>
        <v/>
      </c>
      <c r="F1600" t="str">
        <f>""</f>
        <v/>
      </c>
      <c r="H1600" t="str">
        <f t="shared" si="30"/>
        <v>SOCIAL SECURITY TAXES</v>
      </c>
    </row>
    <row r="1601" spans="5:8" x14ac:dyDescent="0.25">
      <c r="E1601" t="str">
        <f>""</f>
        <v/>
      </c>
      <c r="F1601" t="str">
        <f>""</f>
        <v/>
      </c>
      <c r="H1601" t="str">
        <f t="shared" si="30"/>
        <v>SOCIAL SECURITY TAXES</v>
      </c>
    </row>
    <row r="1602" spans="5:8" x14ac:dyDescent="0.25">
      <c r="E1602" t="str">
        <f>""</f>
        <v/>
      </c>
      <c r="F1602" t="str">
        <f>""</f>
        <v/>
      </c>
      <c r="H1602" t="str">
        <f t="shared" si="30"/>
        <v>SOCIAL SECURITY TAXES</v>
      </c>
    </row>
    <row r="1603" spans="5:8" x14ac:dyDescent="0.25">
      <c r="E1603" t="str">
        <f>""</f>
        <v/>
      </c>
      <c r="F1603" t="str">
        <f>""</f>
        <v/>
      </c>
      <c r="H1603" t="str">
        <f t="shared" si="30"/>
        <v>SOCIAL SECURITY TAXES</v>
      </c>
    </row>
    <row r="1604" spans="5:8" x14ac:dyDescent="0.25">
      <c r="E1604" t="str">
        <f>""</f>
        <v/>
      </c>
      <c r="F1604" t="str">
        <f>""</f>
        <v/>
      </c>
      <c r="H1604" t="str">
        <f t="shared" si="30"/>
        <v>SOCIAL SECURITY TAXES</v>
      </c>
    </row>
    <row r="1605" spans="5:8" x14ac:dyDescent="0.25">
      <c r="E1605" t="str">
        <f>""</f>
        <v/>
      </c>
      <c r="F1605" t="str">
        <f>""</f>
        <v/>
      </c>
      <c r="H1605" t="str">
        <f t="shared" si="30"/>
        <v>SOCIAL SECURITY TAXES</v>
      </c>
    </row>
    <row r="1606" spans="5:8" x14ac:dyDescent="0.25">
      <c r="E1606" t="str">
        <f>""</f>
        <v/>
      </c>
      <c r="F1606" t="str">
        <f>""</f>
        <v/>
      </c>
      <c r="H1606" t="str">
        <f t="shared" si="30"/>
        <v>SOCIAL SECURITY TAXES</v>
      </c>
    </row>
    <row r="1607" spans="5:8" x14ac:dyDescent="0.25">
      <c r="E1607" t="str">
        <f>""</f>
        <v/>
      </c>
      <c r="F1607" t="str">
        <f>""</f>
        <v/>
      </c>
      <c r="H1607" t="str">
        <f t="shared" si="30"/>
        <v>SOCIAL SECURITY TAXES</v>
      </c>
    </row>
    <row r="1608" spans="5:8" x14ac:dyDescent="0.25">
      <c r="E1608" t="str">
        <f>""</f>
        <v/>
      </c>
      <c r="F1608" t="str">
        <f>""</f>
        <v/>
      </c>
      <c r="H1608" t="str">
        <f t="shared" si="30"/>
        <v>SOCIAL SECURITY TAXES</v>
      </c>
    </row>
    <row r="1609" spans="5:8" x14ac:dyDescent="0.25">
      <c r="E1609" t="str">
        <f>""</f>
        <v/>
      </c>
      <c r="F1609" t="str">
        <f>""</f>
        <v/>
      </c>
      <c r="H1609" t="str">
        <f t="shared" si="30"/>
        <v>SOCIAL SECURITY TAXES</v>
      </c>
    </row>
    <row r="1610" spans="5:8" x14ac:dyDescent="0.25">
      <c r="E1610" t="str">
        <f>""</f>
        <v/>
      </c>
      <c r="F1610" t="str">
        <f>""</f>
        <v/>
      </c>
      <c r="H1610" t="str">
        <f t="shared" si="30"/>
        <v>SOCIAL SECURITY TAXES</v>
      </c>
    </row>
    <row r="1611" spans="5:8" x14ac:dyDescent="0.25">
      <c r="E1611" t="str">
        <f>""</f>
        <v/>
      </c>
      <c r="F1611" t="str">
        <f>""</f>
        <v/>
      </c>
      <c r="H1611" t="str">
        <f t="shared" si="30"/>
        <v>SOCIAL SECURITY TAXES</v>
      </c>
    </row>
    <row r="1612" spans="5:8" x14ac:dyDescent="0.25">
      <c r="E1612" t="str">
        <f>""</f>
        <v/>
      </c>
      <c r="F1612" t="str">
        <f>""</f>
        <v/>
      </c>
      <c r="H1612" t="str">
        <f t="shared" si="30"/>
        <v>SOCIAL SECURITY TAXES</v>
      </c>
    </row>
    <row r="1613" spans="5:8" x14ac:dyDescent="0.25">
      <c r="E1613" t="str">
        <f>""</f>
        <v/>
      </c>
      <c r="F1613" t="str">
        <f>""</f>
        <v/>
      </c>
      <c r="H1613" t="str">
        <f t="shared" si="30"/>
        <v>SOCIAL SECURITY TAXES</v>
      </c>
    </row>
    <row r="1614" spans="5:8" x14ac:dyDescent="0.25">
      <c r="E1614" t="str">
        <f>""</f>
        <v/>
      </c>
      <c r="F1614" t="str">
        <f>""</f>
        <v/>
      </c>
      <c r="H1614" t="str">
        <f t="shared" ref="H1614:H1638" si="31">"SOCIAL SECURITY TAXES"</f>
        <v>SOCIAL SECURITY TAXES</v>
      </c>
    </row>
    <row r="1615" spans="5:8" x14ac:dyDescent="0.25">
      <c r="E1615" t="str">
        <f>""</f>
        <v/>
      </c>
      <c r="F1615" t="str">
        <f>""</f>
        <v/>
      </c>
      <c r="H1615" t="str">
        <f t="shared" si="31"/>
        <v>SOCIAL SECURITY TAXES</v>
      </c>
    </row>
    <row r="1616" spans="5:8" x14ac:dyDescent="0.25">
      <c r="E1616" t="str">
        <f>""</f>
        <v/>
      </c>
      <c r="F1616" t="str">
        <f>""</f>
        <v/>
      </c>
      <c r="H1616" t="str">
        <f t="shared" si="31"/>
        <v>SOCIAL SECURITY TAXES</v>
      </c>
    </row>
    <row r="1617" spans="5:8" x14ac:dyDescent="0.25">
      <c r="E1617" t="str">
        <f>""</f>
        <v/>
      </c>
      <c r="F1617" t="str">
        <f>""</f>
        <v/>
      </c>
      <c r="H1617" t="str">
        <f t="shared" si="31"/>
        <v>SOCIAL SECURITY TAXES</v>
      </c>
    </row>
    <row r="1618" spans="5:8" x14ac:dyDescent="0.25">
      <c r="E1618" t="str">
        <f>""</f>
        <v/>
      </c>
      <c r="F1618" t="str">
        <f>""</f>
        <v/>
      </c>
      <c r="H1618" t="str">
        <f t="shared" si="31"/>
        <v>SOCIAL SECURITY TAXES</v>
      </c>
    </row>
    <row r="1619" spans="5:8" x14ac:dyDescent="0.25">
      <c r="E1619" t="str">
        <f>""</f>
        <v/>
      </c>
      <c r="F1619" t="str">
        <f>""</f>
        <v/>
      </c>
      <c r="H1619" t="str">
        <f t="shared" si="31"/>
        <v>SOCIAL SECURITY TAXES</v>
      </c>
    </row>
    <row r="1620" spans="5:8" x14ac:dyDescent="0.25">
      <c r="E1620" t="str">
        <f>""</f>
        <v/>
      </c>
      <c r="F1620" t="str">
        <f>""</f>
        <v/>
      </c>
      <c r="H1620" t="str">
        <f t="shared" si="31"/>
        <v>SOCIAL SECURITY TAXES</v>
      </c>
    </row>
    <row r="1621" spans="5:8" x14ac:dyDescent="0.25">
      <c r="E1621" t="str">
        <f>""</f>
        <v/>
      </c>
      <c r="F1621" t="str">
        <f>""</f>
        <v/>
      </c>
      <c r="H1621" t="str">
        <f t="shared" si="31"/>
        <v>SOCIAL SECURITY TAXES</v>
      </c>
    </row>
    <row r="1622" spans="5:8" x14ac:dyDescent="0.25">
      <c r="E1622" t="str">
        <f>""</f>
        <v/>
      </c>
      <c r="F1622" t="str">
        <f>""</f>
        <v/>
      </c>
      <c r="H1622" t="str">
        <f t="shared" si="31"/>
        <v>SOCIAL SECURITY TAXES</v>
      </c>
    </row>
    <row r="1623" spans="5:8" x14ac:dyDescent="0.25">
      <c r="E1623" t="str">
        <f>""</f>
        <v/>
      </c>
      <c r="F1623" t="str">
        <f>""</f>
        <v/>
      </c>
      <c r="H1623" t="str">
        <f t="shared" si="31"/>
        <v>SOCIAL SECURITY TAXES</v>
      </c>
    </row>
    <row r="1624" spans="5:8" x14ac:dyDescent="0.25">
      <c r="E1624" t="str">
        <f>""</f>
        <v/>
      </c>
      <c r="F1624" t="str">
        <f>""</f>
        <v/>
      </c>
      <c r="H1624" t="str">
        <f t="shared" si="31"/>
        <v>SOCIAL SECURITY TAXES</v>
      </c>
    </row>
    <row r="1625" spans="5:8" x14ac:dyDescent="0.25">
      <c r="E1625" t="str">
        <f>""</f>
        <v/>
      </c>
      <c r="F1625" t="str">
        <f>""</f>
        <v/>
      </c>
      <c r="H1625" t="str">
        <f t="shared" si="31"/>
        <v>SOCIAL SECURITY TAXES</v>
      </c>
    </row>
    <row r="1626" spans="5:8" x14ac:dyDescent="0.25">
      <c r="E1626" t="str">
        <f>""</f>
        <v/>
      </c>
      <c r="F1626" t="str">
        <f>""</f>
        <v/>
      </c>
      <c r="H1626" t="str">
        <f t="shared" si="31"/>
        <v>SOCIAL SECURITY TAXES</v>
      </c>
    </row>
    <row r="1627" spans="5:8" x14ac:dyDescent="0.25">
      <c r="E1627" t="str">
        <f>""</f>
        <v/>
      </c>
      <c r="F1627" t="str">
        <f>""</f>
        <v/>
      </c>
      <c r="H1627" t="str">
        <f t="shared" si="31"/>
        <v>SOCIAL SECURITY TAXES</v>
      </c>
    </row>
    <row r="1628" spans="5:8" x14ac:dyDescent="0.25">
      <c r="E1628" t="str">
        <f>""</f>
        <v/>
      </c>
      <c r="F1628" t="str">
        <f>""</f>
        <v/>
      </c>
      <c r="H1628" t="str">
        <f t="shared" si="31"/>
        <v>SOCIAL SECURITY TAXES</v>
      </c>
    </row>
    <row r="1629" spans="5:8" x14ac:dyDescent="0.25">
      <c r="E1629" t="str">
        <f>""</f>
        <v/>
      </c>
      <c r="F1629" t="str">
        <f>""</f>
        <v/>
      </c>
      <c r="H1629" t="str">
        <f t="shared" si="31"/>
        <v>SOCIAL SECURITY TAXES</v>
      </c>
    </row>
    <row r="1630" spans="5:8" x14ac:dyDescent="0.25">
      <c r="E1630" t="str">
        <f>""</f>
        <v/>
      </c>
      <c r="F1630" t="str">
        <f>""</f>
        <v/>
      </c>
      <c r="H1630" t="str">
        <f t="shared" si="31"/>
        <v>SOCIAL SECURITY TAXES</v>
      </c>
    </row>
    <row r="1631" spans="5:8" x14ac:dyDescent="0.25">
      <c r="E1631" t="str">
        <f>""</f>
        <v/>
      </c>
      <c r="F1631" t="str">
        <f>""</f>
        <v/>
      </c>
      <c r="H1631" t="str">
        <f t="shared" si="31"/>
        <v>SOCIAL SECURITY TAXES</v>
      </c>
    </row>
    <row r="1632" spans="5:8" x14ac:dyDescent="0.25">
      <c r="E1632" t="str">
        <f>""</f>
        <v/>
      </c>
      <c r="F1632" t="str">
        <f>""</f>
        <v/>
      </c>
      <c r="H1632" t="str">
        <f t="shared" si="31"/>
        <v>SOCIAL SECURITY TAXES</v>
      </c>
    </row>
    <row r="1633" spans="5:8" x14ac:dyDescent="0.25">
      <c r="E1633" t="str">
        <f>""</f>
        <v/>
      </c>
      <c r="F1633" t="str">
        <f>""</f>
        <v/>
      </c>
      <c r="H1633" t="str">
        <f t="shared" si="31"/>
        <v>SOCIAL SECURITY TAXES</v>
      </c>
    </row>
    <row r="1634" spans="5:8" x14ac:dyDescent="0.25">
      <c r="E1634" t="str">
        <f>""</f>
        <v/>
      </c>
      <c r="F1634" t="str">
        <f>""</f>
        <v/>
      </c>
      <c r="H1634" t="str">
        <f t="shared" si="31"/>
        <v>SOCIAL SECURITY TAXES</v>
      </c>
    </row>
    <row r="1635" spans="5:8" x14ac:dyDescent="0.25">
      <c r="E1635" t="str">
        <f>"T3 202006107242"</f>
        <v>T3 202006107242</v>
      </c>
      <c r="F1635" t="str">
        <f>"SOCIAL SECURITY TAXES"</f>
        <v>SOCIAL SECURITY TAXES</v>
      </c>
      <c r="G1635" s="5">
        <v>4394.8599999999997</v>
      </c>
      <c r="H1635" t="str">
        <f t="shared" si="31"/>
        <v>SOCIAL SECURITY TAXES</v>
      </c>
    </row>
    <row r="1636" spans="5:8" x14ac:dyDescent="0.25">
      <c r="E1636" t="str">
        <f>""</f>
        <v/>
      </c>
      <c r="F1636" t="str">
        <f>""</f>
        <v/>
      </c>
      <c r="H1636" t="str">
        <f t="shared" si="31"/>
        <v>SOCIAL SECURITY TAXES</v>
      </c>
    </row>
    <row r="1637" spans="5:8" x14ac:dyDescent="0.25">
      <c r="E1637" t="str">
        <f>"T3 202006107243"</f>
        <v>T3 202006107243</v>
      </c>
      <c r="F1637" t="str">
        <f>"SOCIAL SECURITY TAXES"</f>
        <v>SOCIAL SECURITY TAXES</v>
      </c>
      <c r="G1637" s="5">
        <v>5033.1000000000004</v>
      </c>
      <c r="H1637" t="str">
        <f t="shared" si="31"/>
        <v>SOCIAL SECURITY TAXES</v>
      </c>
    </row>
    <row r="1638" spans="5:8" x14ac:dyDescent="0.25">
      <c r="E1638" t="str">
        <f>""</f>
        <v/>
      </c>
      <c r="F1638" t="str">
        <f>""</f>
        <v/>
      </c>
      <c r="H1638" t="str">
        <f t="shared" si="31"/>
        <v>SOCIAL SECURITY TAXES</v>
      </c>
    </row>
    <row r="1639" spans="5:8" x14ac:dyDescent="0.25">
      <c r="E1639" t="str">
        <f>"T4 202006097241"</f>
        <v>T4 202006097241</v>
      </c>
      <c r="F1639" t="str">
        <f>"MEDICARE TAXES"</f>
        <v>MEDICARE TAXES</v>
      </c>
      <c r="G1639" s="5">
        <v>27911.4</v>
      </c>
      <c r="H1639" t="str">
        <f t="shared" ref="H1639:H1670" si="32">"MEDICARE TAXES"</f>
        <v>MEDICARE TAXES</v>
      </c>
    </row>
    <row r="1640" spans="5:8" x14ac:dyDescent="0.25">
      <c r="E1640" t="str">
        <f>""</f>
        <v/>
      </c>
      <c r="F1640" t="str">
        <f>""</f>
        <v/>
      </c>
      <c r="H1640" t="str">
        <f t="shared" si="32"/>
        <v>MEDICARE TAXES</v>
      </c>
    </row>
    <row r="1641" spans="5:8" x14ac:dyDescent="0.25">
      <c r="E1641" t="str">
        <f>""</f>
        <v/>
      </c>
      <c r="F1641" t="str">
        <f>""</f>
        <v/>
      </c>
      <c r="H1641" t="str">
        <f t="shared" si="32"/>
        <v>MEDICARE TAXES</v>
      </c>
    </row>
    <row r="1642" spans="5:8" x14ac:dyDescent="0.25">
      <c r="E1642" t="str">
        <f>""</f>
        <v/>
      </c>
      <c r="F1642" t="str">
        <f>""</f>
        <v/>
      </c>
      <c r="H1642" t="str">
        <f t="shared" si="32"/>
        <v>MEDICARE TAXES</v>
      </c>
    </row>
    <row r="1643" spans="5:8" x14ac:dyDescent="0.25">
      <c r="E1643" t="str">
        <f>""</f>
        <v/>
      </c>
      <c r="F1643" t="str">
        <f>""</f>
        <v/>
      </c>
      <c r="H1643" t="str">
        <f t="shared" si="32"/>
        <v>MEDICARE TAXES</v>
      </c>
    </row>
    <row r="1644" spans="5:8" x14ac:dyDescent="0.25">
      <c r="E1644" t="str">
        <f>""</f>
        <v/>
      </c>
      <c r="F1644" t="str">
        <f>""</f>
        <v/>
      </c>
      <c r="H1644" t="str">
        <f t="shared" si="32"/>
        <v>MEDICARE TAXES</v>
      </c>
    </row>
    <row r="1645" spans="5:8" x14ac:dyDescent="0.25">
      <c r="E1645" t="str">
        <f>""</f>
        <v/>
      </c>
      <c r="F1645" t="str">
        <f>""</f>
        <v/>
      </c>
      <c r="H1645" t="str">
        <f t="shared" si="32"/>
        <v>MEDICARE TAXES</v>
      </c>
    </row>
    <row r="1646" spans="5:8" x14ac:dyDescent="0.25">
      <c r="E1646" t="str">
        <f>""</f>
        <v/>
      </c>
      <c r="F1646" t="str">
        <f>""</f>
        <v/>
      </c>
      <c r="H1646" t="str">
        <f t="shared" si="32"/>
        <v>MEDICARE TAXES</v>
      </c>
    </row>
    <row r="1647" spans="5:8" x14ac:dyDescent="0.25">
      <c r="E1647" t="str">
        <f>""</f>
        <v/>
      </c>
      <c r="F1647" t="str">
        <f>""</f>
        <v/>
      </c>
      <c r="H1647" t="str">
        <f t="shared" si="32"/>
        <v>MEDICARE TAXES</v>
      </c>
    </row>
    <row r="1648" spans="5:8" x14ac:dyDescent="0.25">
      <c r="E1648" t="str">
        <f>""</f>
        <v/>
      </c>
      <c r="F1648" t="str">
        <f>""</f>
        <v/>
      </c>
      <c r="H1648" t="str">
        <f t="shared" si="32"/>
        <v>MEDICARE TAXES</v>
      </c>
    </row>
    <row r="1649" spans="5:8" x14ac:dyDescent="0.25">
      <c r="E1649" t="str">
        <f>""</f>
        <v/>
      </c>
      <c r="F1649" t="str">
        <f>""</f>
        <v/>
      </c>
      <c r="H1649" t="str">
        <f t="shared" si="32"/>
        <v>MEDICARE TAXES</v>
      </c>
    </row>
    <row r="1650" spans="5:8" x14ac:dyDescent="0.25">
      <c r="E1650" t="str">
        <f>""</f>
        <v/>
      </c>
      <c r="F1650" t="str">
        <f>""</f>
        <v/>
      </c>
      <c r="H1650" t="str">
        <f t="shared" si="32"/>
        <v>MEDICARE TAXES</v>
      </c>
    </row>
    <row r="1651" spans="5:8" x14ac:dyDescent="0.25">
      <c r="E1651" t="str">
        <f>""</f>
        <v/>
      </c>
      <c r="F1651" t="str">
        <f>""</f>
        <v/>
      </c>
      <c r="H1651" t="str">
        <f t="shared" si="32"/>
        <v>MEDICARE TAXES</v>
      </c>
    </row>
    <row r="1652" spans="5:8" x14ac:dyDescent="0.25">
      <c r="E1652" t="str">
        <f>""</f>
        <v/>
      </c>
      <c r="F1652" t="str">
        <f>""</f>
        <v/>
      </c>
      <c r="H1652" t="str">
        <f t="shared" si="32"/>
        <v>MEDICARE TAXES</v>
      </c>
    </row>
    <row r="1653" spans="5:8" x14ac:dyDescent="0.25">
      <c r="E1653" t="str">
        <f>""</f>
        <v/>
      </c>
      <c r="F1653" t="str">
        <f>""</f>
        <v/>
      </c>
      <c r="H1653" t="str">
        <f t="shared" si="32"/>
        <v>MEDICARE TAXES</v>
      </c>
    </row>
    <row r="1654" spans="5:8" x14ac:dyDescent="0.25">
      <c r="E1654" t="str">
        <f>""</f>
        <v/>
      </c>
      <c r="F1654" t="str">
        <f>""</f>
        <v/>
      </c>
      <c r="H1654" t="str">
        <f t="shared" si="32"/>
        <v>MEDICARE TAXES</v>
      </c>
    </row>
    <row r="1655" spans="5:8" x14ac:dyDescent="0.25">
      <c r="E1655" t="str">
        <f>""</f>
        <v/>
      </c>
      <c r="F1655" t="str">
        <f>""</f>
        <v/>
      </c>
      <c r="H1655" t="str">
        <f t="shared" si="32"/>
        <v>MEDICARE TAXES</v>
      </c>
    </row>
    <row r="1656" spans="5:8" x14ac:dyDescent="0.25">
      <c r="E1656" t="str">
        <f>""</f>
        <v/>
      </c>
      <c r="F1656" t="str">
        <f>""</f>
        <v/>
      </c>
      <c r="H1656" t="str">
        <f t="shared" si="32"/>
        <v>MEDICARE TAXES</v>
      </c>
    </row>
    <row r="1657" spans="5:8" x14ac:dyDescent="0.25">
      <c r="E1657" t="str">
        <f>""</f>
        <v/>
      </c>
      <c r="F1657" t="str">
        <f>""</f>
        <v/>
      </c>
      <c r="H1657" t="str">
        <f t="shared" si="32"/>
        <v>MEDICARE TAXES</v>
      </c>
    </row>
    <row r="1658" spans="5:8" x14ac:dyDescent="0.25">
      <c r="E1658" t="str">
        <f>""</f>
        <v/>
      </c>
      <c r="F1658" t="str">
        <f>""</f>
        <v/>
      </c>
      <c r="H1658" t="str">
        <f t="shared" si="32"/>
        <v>MEDICARE TAXES</v>
      </c>
    </row>
    <row r="1659" spans="5:8" x14ac:dyDescent="0.25">
      <c r="E1659" t="str">
        <f>""</f>
        <v/>
      </c>
      <c r="F1659" t="str">
        <f>""</f>
        <v/>
      </c>
      <c r="H1659" t="str">
        <f t="shared" si="32"/>
        <v>MEDICARE TAXES</v>
      </c>
    </row>
    <row r="1660" spans="5:8" x14ac:dyDescent="0.25">
      <c r="E1660" t="str">
        <f>""</f>
        <v/>
      </c>
      <c r="F1660" t="str">
        <f>""</f>
        <v/>
      </c>
      <c r="H1660" t="str">
        <f t="shared" si="32"/>
        <v>MEDICARE TAXES</v>
      </c>
    </row>
    <row r="1661" spans="5:8" x14ac:dyDescent="0.25">
      <c r="E1661" t="str">
        <f>""</f>
        <v/>
      </c>
      <c r="F1661" t="str">
        <f>""</f>
        <v/>
      </c>
      <c r="H1661" t="str">
        <f t="shared" si="32"/>
        <v>MEDICARE TAXES</v>
      </c>
    </row>
    <row r="1662" spans="5:8" x14ac:dyDescent="0.25">
      <c r="E1662" t="str">
        <f>""</f>
        <v/>
      </c>
      <c r="F1662" t="str">
        <f>""</f>
        <v/>
      </c>
      <c r="H1662" t="str">
        <f t="shared" si="32"/>
        <v>MEDICARE TAXES</v>
      </c>
    </row>
    <row r="1663" spans="5:8" x14ac:dyDescent="0.25">
      <c r="E1663" t="str">
        <f>""</f>
        <v/>
      </c>
      <c r="F1663" t="str">
        <f>""</f>
        <v/>
      </c>
      <c r="H1663" t="str">
        <f t="shared" si="32"/>
        <v>MEDICARE TAXES</v>
      </c>
    </row>
    <row r="1664" spans="5:8" x14ac:dyDescent="0.25">
      <c r="E1664" t="str">
        <f>""</f>
        <v/>
      </c>
      <c r="F1664" t="str">
        <f>""</f>
        <v/>
      </c>
      <c r="H1664" t="str">
        <f t="shared" si="32"/>
        <v>MEDICARE TAXES</v>
      </c>
    </row>
    <row r="1665" spans="5:8" x14ac:dyDescent="0.25">
      <c r="E1665" t="str">
        <f>""</f>
        <v/>
      </c>
      <c r="F1665" t="str">
        <f>""</f>
        <v/>
      </c>
      <c r="H1665" t="str">
        <f t="shared" si="32"/>
        <v>MEDICARE TAXES</v>
      </c>
    </row>
    <row r="1666" spans="5:8" x14ac:dyDescent="0.25">
      <c r="E1666" t="str">
        <f>""</f>
        <v/>
      </c>
      <c r="F1666" t="str">
        <f>""</f>
        <v/>
      </c>
      <c r="H1666" t="str">
        <f t="shared" si="32"/>
        <v>MEDICARE TAXES</v>
      </c>
    </row>
    <row r="1667" spans="5:8" x14ac:dyDescent="0.25">
      <c r="E1667" t="str">
        <f>""</f>
        <v/>
      </c>
      <c r="F1667" t="str">
        <f>""</f>
        <v/>
      </c>
      <c r="H1667" t="str">
        <f t="shared" si="32"/>
        <v>MEDICARE TAXES</v>
      </c>
    </row>
    <row r="1668" spans="5:8" x14ac:dyDescent="0.25">
      <c r="E1668" t="str">
        <f>""</f>
        <v/>
      </c>
      <c r="F1668" t="str">
        <f>""</f>
        <v/>
      </c>
      <c r="H1668" t="str">
        <f t="shared" si="32"/>
        <v>MEDICARE TAXES</v>
      </c>
    </row>
    <row r="1669" spans="5:8" x14ac:dyDescent="0.25">
      <c r="E1669" t="str">
        <f>""</f>
        <v/>
      </c>
      <c r="F1669" t="str">
        <f>""</f>
        <v/>
      </c>
      <c r="H1669" t="str">
        <f t="shared" si="32"/>
        <v>MEDICARE TAXES</v>
      </c>
    </row>
    <row r="1670" spans="5:8" x14ac:dyDescent="0.25">
      <c r="E1670" t="str">
        <f>""</f>
        <v/>
      </c>
      <c r="F1670" t="str">
        <f>""</f>
        <v/>
      </c>
      <c r="H1670" t="str">
        <f t="shared" si="32"/>
        <v>MEDICARE TAXES</v>
      </c>
    </row>
    <row r="1671" spans="5:8" x14ac:dyDescent="0.25">
      <c r="E1671" t="str">
        <f>""</f>
        <v/>
      </c>
      <c r="F1671" t="str">
        <f>""</f>
        <v/>
      </c>
      <c r="H1671" t="str">
        <f t="shared" ref="H1671:H1695" si="33">"MEDICARE TAXES"</f>
        <v>MEDICARE TAXES</v>
      </c>
    </row>
    <row r="1672" spans="5:8" x14ac:dyDescent="0.25">
      <c r="E1672" t="str">
        <f>""</f>
        <v/>
      </c>
      <c r="F1672" t="str">
        <f>""</f>
        <v/>
      </c>
      <c r="H1672" t="str">
        <f t="shared" si="33"/>
        <v>MEDICARE TAXES</v>
      </c>
    </row>
    <row r="1673" spans="5:8" x14ac:dyDescent="0.25">
      <c r="E1673" t="str">
        <f>""</f>
        <v/>
      </c>
      <c r="F1673" t="str">
        <f>""</f>
        <v/>
      </c>
      <c r="H1673" t="str">
        <f t="shared" si="33"/>
        <v>MEDICARE TAXES</v>
      </c>
    </row>
    <row r="1674" spans="5:8" x14ac:dyDescent="0.25">
      <c r="E1674" t="str">
        <f>""</f>
        <v/>
      </c>
      <c r="F1674" t="str">
        <f>""</f>
        <v/>
      </c>
      <c r="H1674" t="str">
        <f t="shared" si="33"/>
        <v>MEDICARE TAXES</v>
      </c>
    </row>
    <row r="1675" spans="5:8" x14ac:dyDescent="0.25">
      <c r="E1675" t="str">
        <f>""</f>
        <v/>
      </c>
      <c r="F1675" t="str">
        <f>""</f>
        <v/>
      </c>
      <c r="H1675" t="str">
        <f t="shared" si="33"/>
        <v>MEDICARE TAXES</v>
      </c>
    </row>
    <row r="1676" spans="5:8" x14ac:dyDescent="0.25">
      <c r="E1676" t="str">
        <f>""</f>
        <v/>
      </c>
      <c r="F1676" t="str">
        <f>""</f>
        <v/>
      </c>
      <c r="H1676" t="str">
        <f t="shared" si="33"/>
        <v>MEDICARE TAXES</v>
      </c>
    </row>
    <row r="1677" spans="5:8" x14ac:dyDescent="0.25">
      <c r="E1677" t="str">
        <f>""</f>
        <v/>
      </c>
      <c r="F1677" t="str">
        <f>""</f>
        <v/>
      </c>
      <c r="H1677" t="str">
        <f t="shared" si="33"/>
        <v>MEDICARE TAXES</v>
      </c>
    </row>
    <row r="1678" spans="5:8" x14ac:dyDescent="0.25">
      <c r="E1678" t="str">
        <f>""</f>
        <v/>
      </c>
      <c r="F1678" t="str">
        <f>""</f>
        <v/>
      </c>
      <c r="H1678" t="str">
        <f t="shared" si="33"/>
        <v>MEDICARE TAXES</v>
      </c>
    </row>
    <row r="1679" spans="5:8" x14ac:dyDescent="0.25">
      <c r="E1679" t="str">
        <f>""</f>
        <v/>
      </c>
      <c r="F1679" t="str">
        <f>""</f>
        <v/>
      </c>
      <c r="H1679" t="str">
        <f t="shared" si="33"/>
        <v>MEDICARE TAXES</v>
      </c>
    </row>
    <row r="1680" spans="5:8" x14ac:dyDescent="0.25">
      <c r="E1680" t="str">
        <f>""</f>
        <v/>
      </c>
      <c r="F1680" t="str">
        <f>""</f>
        <v/>
      </c>
      <c r="H1680" t="str">
        <f t="shared" si="33"/>
        <v>MEDICARE TAXES</v>
      </c>
    </row>
    <row r="1681" spans="1:8" x14ac:dyDescent="0.25">
      <c r="E1681" t="str">
        <f>""</f>
        <v/>
      </c>
      <c r="F1681" t="str">
        <f>""</f>
        <v/>
      </c>
      <c r="H1681" t="str">
        <f t="shared" si="33"/>
        <v>MEDICARE TAXES</v>
      </c>
    </row>
    <row r="1682" spans="1:8" x14ac:dyDescent="0.25">
      <c r="E1682" t="str">
        <f>""</f>
        <v/>
      </c>
      <c r="F1682" t="str">
        <f>""</f>
        <v/>
      </c>
      <c r="H1682" t="str">
        <f t="shared" si="33"/>
        <v>MEDICARE TAXES</v>
      </c>
    </row>
    <row r="1683" spans="1:8" x14ac:dyDescent="0.25">
      <c r="E1683" t="str">
        <f>""</f>
        <v/>
      </c>
      <c r="F1683" t="str">
        <f>""</f>
        <v/>
      </c>
      <c r="H1683" t="str">
        <f t="shared" si="33"/>
        <v>MEDICARE TAXES</v>
      </c>
    </row>
    <row r="1684" spans="1:8" x14ac:dyDescent="0.25">
      <c r="E1684" t="str">
        <f>""</f>
        <v/>
      </c>
      <c r="F1684" t="str">
        <f>""</f>
        <v/>
      </c>
      <c r="H1684" t="str">
        <f t="shared" si="33"/>
        <v>MEDICARE TAXES</v>
      </c>
    </row>
    <row r="1685" spans="1:8" x14ac:dyDescent="0.25">
      <c r="E1685" t="str">
        <f>""</f>
        <v/>
      </c>
      <c r="F1685" t="str">
        <f>""</f>
        <v/>
      </c>
      <c r="H1685" t="str">
        <f t="shared" si="33"/>
        <v>MEDICARE TAXES</v>
      </c>
    </row>
    <row r="1686" spans="1:8" x14ac:dyDescent="0.25">
      <c r="E1686" t="str">
        <f>""</f>
        <v/>
      </c>
      <c r="F1686" t="str">
        <f>""</f>
        <v/>
      </c>
      <c r="H1686" t="str">
        <f t="shared" si="33"/>
        <v>MEDICARE TAXES</v>
      </c>
    </row>
    <row r="1687" spans="1:8" x14ac:dyDescent="0.25">
      <c r="E1687" t="str">
        <f>""</f>
        <v/>
      </c>
      <c r="F1687" t="str">
        <f>""</f>
        <v/>
      </c>
      <c r="H1687" t="str">
        <f t="shared" si="33"/>
        <v>MEDICARE TAXES</v>
      </c>
    </row>
    <row r="1688" spans="1:8" x14ac:dyDescent="0.25">
      <c r="E1688" t="str">
        <f>""</f>
        <v/>
      </c>
      <c r="F1688" t="str">
        <f>""</f>
        <v/>
      </c>
      <c r="H1688" t="str">
        <f t="shared" si="33"/>
        <v>MEDICARE TAXES</v>
      </c>
    </row>
    <row r="1689" spans="1:8" x14ac:dyDescent="0.25">
      <c r="E1689" t="str">
        <f>""</f>
        <v/>
      </c>
      <c r="F1689" t="str">
        <f>""</f>
        <v/>
      </c>
      <c r="H1689" t="str">
        <f t="shared" si="33"/>
        <v>MEDICARE TAXES</v>
      </c>
    </row>
    <row r="1690" spans="1:8" x14ac:dyDescent="0.25">
      <c r="E1690" t="str">
        <f>""</f>
        <v/>
      </c>
      <c r="F1690" t="str">
        <f>""</f>
        <v/>
      </c>
      <c r="H1690" t="str">
        <f t="shared" si="33"/>
        <v>MEDICARE TAXES</v>
      </c>
    </row>
    <row r="1691" spans="1:8" x14ac:dyDescent="0.25">
      <c r="E1691" t="str">
        <f>""</f>
        <v/>
      </c>
      <c r="F1691" t="str">
        <f>""</f>
        <v/>
      </c>
      <c r="H1691" t="str">
        <f t="shared" si="33"/>
        <v>MEDICARE TAXES</v>
      </c>
    </row>
    <row r="1692" spans="1:8" x14ac:dyDescent="0.25">
      <c r="E1692" t="str">
        <f>"T4 202006107242"</f>
        <v>T4 202006107242</v>
      </c>
      <c r="F1692" t="str">
        <f>"MEDICARE TAXES"</f>
        <v>MEDICARE TAXES</v>
      </c>
      <c r="G1692" s="5">
        <v>1027.8399999999999</v>
      </c>
      <c r="H1692" t="str">
        <f t="shared" si="33"/>
        <v>MEDICARE TAXES</v>
      </c>
    </row>
    <row r="1693" spans="1:8" x14ac:dyDescent="0.25">
      <c r="E1693" t="str">
        <f>""</f>
        <v/>
      </c>
      <c r="F1693" t="str">
        <f>""</f>
        <v/>
      </c>
      <c r="H1693" t="str">
        <f t="shared" si="33"/>
        <v>MEDICARE TAXES</v>
      </c>
    </row>
    <row r="1694" spans="1:8" x14ac:dyDescent="0.25">
      <c r="E1694" t="str">
        <f>"T4 202006107243"</f>
        <v>T4 202006107243</v>
      </c>
      <c r="F1694" t="str">
        <f>"MEDICARE TAXES"</f>
        <v>MEDICARE TAXES</v>
      </c>
      <c r="G1694" s="5">
        <v>1177.0999999999999</v>
      </c>
      <c r="H1694" t="str">
        <f t="shared" si="33"/>
        <v>MEDICARE TAXES</v>
      </c>
    </row>
    <row r="1695" spans="1:8" x14ac:dyDescent="0.25">
      <c r="E1695" t="str">
        <f>""</f>
        <v/>
      </c>
      <c r="F1695" t="str">
        <f>""</f>
        <v/>
      </c>
      <c r="H1695" t="str">
        <f t="shared" si="33"/>
        <v>MEDICARE TAXES</v>
      </c>
    </row>
    <row r="1696" spans="1:8" x14ac:dyDescent="0.25">
      <c r="A1696" t="s">
        <v>330</v>
      </c>
      <c r="B1696">
        <v>556</v>
      </c>
      <c r="C1696" s="5">
        <v>243934.78</v>
      </c>
      <c r="D1696" s="1">
        <v>44008</v>
      </c>
      <c r="E1696" t="str">
        <f>"T1 202006247386"</f>
        <v>T1 202006247386</v>
      </c>
      <c r="F1696" t="str">
        <f>"FEDERAL WITHHOLDING"</f>
        <v>FEDERAL WITHHOLDING</v>
      </c>
      <c r="G1696" s="5">
        <v>81849.919999999998</v>
      </c>
      <c r="H1696" t="str">
        <f>"FEDERAL WITHHOLDING"</f>
        <v>FEDERAL WITHHOLDING</v>
      </c>
    </row>
    <row r="1697" spans="5:8" x14ac:dyDescent="0.25">
      <c r="E1697" t="str">
        <f>"T1 202006247387"</f>
        <v>T1 202006247387</v>
      </c>
      <c r="F1697" t="str">
        <f>"FEDERAL WITHHOLDING"</f>
        <v>FEDERAL WITHHOLDING</v>
      </c>
      <c r="G1697" s="5">
        <v>3192.04</v>
      </c>
      <c r="H1697" t="str">
        <f>"FEDERAL WITHHOLDING"</f>
        <v>FEDERAL WITHHOLDING</v>
      </c>
    </row>
    <row r="1698" spans="5:8" x14ac:dyDescent="0.25">
      <c r="E1698" t="str">
        <f>"T1 202006247388"</f>
        <v>T1 202006247388</v>
      </c>
      <c r="F1698" t="str">
        <f>"FEDERAL WITHHOLDING"</f>
        <v>FEDERAL WITHHOLDING</v>
      </c>
      <c r="G1698" s="5">
        <v>3341.56</v>
      </c>
      <c r="H1698" t="str">
        <f>"FEDERAL WITHHOLDING"</f>
        <v>FEDERAL WITHHOLDING</v>
      </c>
    </row>
    <row r="1699" spans="5:8" x14ac:dyDescent="0.25">
      <c r="E1699" t="str">
        <f>"T3 202006247386"</f>
        <v>T3 202006247386</v>
      </c>
      <c r="F1699" t="str">
        <f>"SOCIAL SECURITY TAXES"</f>
        <v>SOCIAL SECURITY TAXES</v>
      </c>
      <c r="G1699" s="5">
        <v>116737.5</v>
      </c>
      <c r="H1699" t="str">
        <f t="shared" ref="H1699:H1730" si="34">"SOCIAL SECURITY TAXES"</f>
        <v>SOCIAL SECURITY TAXES</v>
      </c>
    </row>
    <row r="1700" spans="5:8" x14ac:dyDescent="0.25">
      <c r="E1700" t="str">
        <f>""</f>
        <v/>
      </c>
      <c r="F1700" t="str">
        <f>""</f>
        <v/>
      </c>
      <c r="H1700" t="str">
        <f t="shared" si="34"/>
        <v>SOCIAL SECURITY TAXES</v>
      </c>
    </row>
    <row r="1701" spans="5:8" x14ac:dyDescent="0.25">
      <c r="E1701" t="str">
        <f>""</f>
        <v/>
      </c>
      <c r="F1701" t="str">
        <f>""</f>
        <v/>
      </c>
      <c r="H1701" t="str">
        <f t="shared" si="34"/>
        <v>SOCIAL SECURITY TAXES</v>
      </c>
    </row>
    <row r="1702" spans="5:8" x14ac:dyDescent="0.25">
      <c r="E1702" t="str">
        <f>""</f>
        <v/>
      </c>
      <c r="F1702" t="str">
        <f>""</f>
        <v/>
      </c>
      <c r="H1702" t="str">
        <f t="shared" si="34"/>
        <v>SOCIAL SECURITY TAXES</v>
      </c>
    </row>
    <row r="1703" spans="5:8" x14ac:dyDescent="0.25">
      <c r="E1703" t="str">
        <f>""</f>
        <v/>
      </c>
      <c r="F1703" t="str">
        <f>""</f>
        <v/>
      </c>
      <c r="H1703" t="str">
        <f t="shared" si="34"/>
        <v>SOCIAL SECURITY TAXES</v>
      </c>
    </row>
    <row r="1704" spans="5:8" x14ac:dyDescent="0.25">
      <c r="E1704" t="str">
        <f>""</f>
        <v/>
      </c>
      <c r="F1704" t="str">
        <f>""</f>
        <v/>
      </c>
      <c r="H1704" t="str">
        <f t="shared" si="34"/>
        <v>SOCIAL SECURITY TAXES</v>
      </c>
    </row>
    <row r="1705" spans="5:8" x14ac:dyDescent="0.25">
      <c r="E1705" t="str">
        <f>""</f>
        <v/>
      </c>
      <c r="F1705" t="str">
        <f>""</f>
        <v/>
      </c>
      <c r="H1705" t="str">
        <f t="shared" si="34"/>
        <v>SOCIAL SECURITY TAXES</v>
      </c>
    </row>
    <row r="1706" spans="5:8" x14ac:dyDescent="0.25">
      <c r="E1706" t="str">
        <f>""</f>
        <v/>
      </c>
      <c r="F1706" t="str">
        <f>""</f>
        <v/>
      </c>
      <c r="H1706" t="str">
        <f t="shared" si="34"/>
        <v>SOCIAL SECURITY TAXES</v>
      </c>
    </row>
    <row r="1707" spans="5:8" x14ac:dyDescent="0.25">
      <c r="E1707" t="str">
        <f>""</f>
        <v/>
      </c>
      <c r="F1707" t="str">
        <f>""</f>
        <v/>
      </c>
      <c r="H1707" t="str">
        <f t="shared" si="34"/>
        <v>SOCIAL SECURITY TAXES</v>
      </c>
    </row>
    <row r="1708" spans="5:8" x14ac:dyDescent="0.25">
      <c r="E1708" t="str">
        <f>""</f>
        <v/>
      </c>
      <c r="F1708" t="str">
        <f>""</f>
        <v/>
      </c>
      <c r="H1708" t="str">
        <f t="shared" si="34"/>
        <v>SOCIAL SECURITY TAXES</v>
      </c>
    </row>
    <row r="1709" spans="5:8" x14ac:dyDescent="0.25">
      <c r="E1709" t="str">
        <f>""</f>
        <v/>
      </c>
      <c r="F1709" t="str">
        <f>""</f>
        <v/>
      </c>
      <c r="H1709" t="str">
        <f t="shared" si="34"/>
        <v>SOCIAL SECURITY TAXES</v>
      </c>
    </row>
    <row r="1710" spans="5:8" x14ac:dyDescent="0.25">
      <c r="E1710" t="str">
        <f>""</f>
        <v/>
      </c>
      <c r="F1710" t="str">
        <f>""</f>
        <v/>
      </c>
      <c r="H1710" t="str">
        <f t="shared" si="34"/>
        <v>SOCIAL SECURITY TAXES</v>
      </c>
    </row>
    <row r="1711" spans="5:8" x14ac:dyDescent="0.25">
      <c r="E1711" t="str">
        <f>""</f>
        <v/>
      </c>
      <c r="F1711" t="str">
        <f>""</f>
        <v/>
      </c>
      <c r="H1711" t="str">
        <f t="shared" si="34"/>
        <v>SOCIAL SECURITY TAXES</v>
      </c>
    </row>
    <row r="1712" spans="5:8" x14ac:dyDescent="0.25">
      <c r="E1712" t="str">
        <f>""</f>
        <v/>
      </c>
      <c r="F1712" t="str">
        <f>""</f>
        <v/>
      </c>
      <c r="H1712" t="str">
        <f t="shared" si="34"/>
        <v>SOCIAL SECURITY TAXES</v>
      </c>
    </row>
    <row r="1713" spans="5:8" x14ac:dyDescent="0.25">
      <c r="E1713" t="str">
        <f>""</f>
        <v/>
      </c>
      <c r="F1713" t="str">
        <f>""</f>
        <v/>
      </c>
      <c r="H1713" t="str">
        <f t="shared" si="34"/>
        <v>SOCIAL SECURITY TAXES</v>
      </c>
    </row>
    <row r="1714" spans="5:8" x14ac:dyDescent="0.25">
      <c r="E1714" t="str">
        <f>""</f>
        <v/>
      </c>
      <c r="F1714" t="str">
        <f>""</f>
        <v/>
      </c>
      <c r="H1714" t="str">
        <f t="shared" si="34"/>
        <v>SOCIAL SECURITY TAXES</v>
      </c>
    </row>
    <row r="1715" spans="5:8" x14ac:dyDescent="0.25">
      <c r="E1715" t="str">
        <f>""</f>
        <v/>
      </c>
      <c r="F1715" t="str">
        <f>""</f>
        <v/>
      </c>
      <c r="H1715" t="str">
        <f t="shared" si="34"/>
        <v>SOCIAL SECURITY TAXES</v>
      </c>
    </row>
    <row r="1716" spans="5:8" x14ac:dyDescent="0.25">
      <c r="E1716" t="str">
        <f>""</f>
        <v/>
      </c>
      <c r="F1716" t="str">
        <f>""</f>
        <v/>
      </c>
      <c r="H1716" t="str">
        <f t="shared" si="34"/>
        <v>SOCIAL SECURITY TAXES</v>
      </c>
    </row>
    <row r="1717" spans="5:8" x14ac:dyDescent="0.25">
      <c r="E1717" t="str">
        <f>""</f>
        <v/>
      </c>
      <c r="F1717" t="str">
        <f>""</f>
        <v/>
      </c>
      <c r="H1717" t="str">
        <f t="shared" si="34"/>
        <v>SOCIAL SECURITY TAXES</v>
      </c>
    </row>
    <row r="1718" spans="5:8" x14ac:dyDescent="0.25">
      <c r="E1718" t="str">
        <f>""</f>
        <v/>
      </c>
      <c r="F1718" t="str">
        <f>""</f>
        <v/>
      </c>
      <c r="H1718" t="str">
        <f t="shared" si="34"/>
        <v>SOCIAL SECURITY TAXES</v>
      </c>
    </row>
    <row r="1719" spans="5:8" x14ac:dyDescent="0.25">
      <c r="E1719" t="str">
        <f>""</f>
        <v/>
      </c>
      <c r="F1719" t="str">
        <f>""</f>
        <v/>
      </c>
      <c r="H1719" t="str">
        <f t="shared" si="34"/>
        <v>SOCIAL SECURITY TAXES</v>
      </c>
    </row>
    <row r="1720" spans="5:8" x14ac:dyDescent="0.25">
      <c r="E1720" t="str">
        <f>""</f>
        <v/>
      </c>
      <c r="F1720" t="str">
        <f>""</f>
        <v/>
      </c>
      <c r="H1720" t="str">
        <f t="shared" si="34"/>
        <v>SOCIAL SECURITY TAXES</v>
      </c>
    </row>
    <row r="1721" spans="5:8" x14ac:dyDescent="0.25">
      <c r="E1721" t="str">
        <f>""</f>
        <v/>
      </c>
      <c r="F1721" t="str">
        <f>""</f>
        <v/>
      </c>
      <c r="H1721" t="str">
        <f t="shared" si="34"/>
        <v>SOCIAL SECURITY TAXES</v>
      </c>
    </row>
    <row r="1722" spans="5:8" x14ac:dyDescent="0.25">
      <c r="E1722" t="str">
        <f>""</f>
        <v/>
      </c>
      <c r="F1722" t="str">
        <f>""</f>
        <v/>
      </c>
      <c r="H1722" t="str">
        <f t="shared" si="34"/>
        <v>SOCIAL SECURITY TAXES</v>
      </c>
    </row>
    <row r="1723" spans="5:8" x14ac:dyDescent="0.25">
      <c r="E1723" t="str">
        <f>""</f>
        <v/>
      </c>
      <c r="F1723" t="str">
        <f>""</f>
        <v/>
      </c>
      <c r="H1723" t="str">
        <f t="shared" si="34"/>
        <v>SOCIAL SECURITY TAXES</v>
      </c>
    </row>
    <row r="1724" spans="5:8" x14ac:dyDescent="0.25">
      <c r="E1724" t="str">
        <f>""</f>
        <v/>
      </c>
      <c r="F1724" t="str">
        <f>""</f>
        <v/>
      </c>
      <c r="H1724" t="str">
        <f t="shared" si="34"/>
        <v>SOCIAL SECURITY TAXES</v>
      </c>
    </row>
    <row r="1725" spans="5:8" x14ac:dyDescent="0.25">
      <c r="E1725" t="str">
        <f>""</f>
        <v/>
      </c>
      <c r="F1725" t="str">
        <f>""</f>
        <v/>
      </c>
      <c r="H1725" t="str">
        <f t="shared" si="34"/>
        <v>SOCIAL SECURITY TAXES</v>
      </c>
    </row>
    <row r="1726" spans="5:8" x14ac:dyDescent="0.25">
      <c r="E1726" t="str">
        <f>""</f>
        <v/>
      </c>
      <c r="F1726" t="str">
        <f>""</f>
        <v/>
      </c>
      <c r="H1726" t="str">
        <f t="shared" si="34"/>
        <v>SOCIAL SECURITY TAXES</v>
      </c>
    </row>
    <row r="1727" spans="5:8" x14ac:dyDescent="0.25">
      <c r="E1727" t="str">
        <f>""</f>
        <v/>
      </c>
      <c r="F1727" t="str">
        <f>""</f>
        <v/>
      </c>
      <c r="H1727" t="str">
        <f t="shared" si="34"/>
        <v>SOCIAL SECURITY TAXES</v>
      </c>
    </row>
    <row r="1728" spans="5:8" x14ac:dyDescent="0.25">
      <c r="E1728" t="str">
        <f>""</f>
        <v/>
      </c>
      <c r="F1728" t="str">
        <f>""</f>
        <v/>
      </c>
      <c r="H1728" t="str">
        <f t="shared" si="34"/>
        <v>SOCIAL SECURITY TAXES</v>
      </c>
    </row>
    <row r="1729" spans="5:8" x14ac:dyDescent="0.25">
      <c r="E1729" t="str">
        <f>""</f>
        <v/>
      </c>
      <c r="F1729" t="str">
        <f>""</f>
        <v/>
      </c>
      <c r="H1729" t="str">
        <f t="shared" si="34"/>
        <v>SOCIAL SECURITY TAXES</v>
      </c>
    </row>
    <row r="1730" spans="5:8" x14ac:dyDescent="0.25">
      <c r="E1730" t="str">
        <f>""</f>
        <v/>
      </c>
      <c r="F1730" t="str">
        <f>""</f>
        <v/>
      </c>
      <c r="H1730" t="str">
        <f t="shared" si="34"/>
        <v>SOCIAL SECURITY TAXES</v>
      </c>
    </row>
    <row r="1731" spans="5:8" x14ac:dyDescent="0.25">
      <c r="E1731" t="str">
        <f>""</f>
        <v/>
      </c>
      <c r="F1731" t="str">
        <f>""</f>
        <v/>
      </c>
      <c r="H1731" t="str">
        <f t="shared" ref="H1731:H1755" si="35">"SOCIAL SECURITY TAXES"</f>
        <v>SOCIAL SECURITY TAXES</v>
      </c>
    </row>
    <row r="1732" spans="5:8" x14ac:dyDescent="0.25">
      <c r="E1732" t="str">
        <f>""</f>
        <v/>
      </c>
      <c r="F1732" t="str">
        <f>""</f>
        <v/>
      </c>
      <c r="H1732" t="str">
        <f t="shared" si="35"/>
        <v>SOCIAL SECURITY TAXES</v>
      </c>
    </row>
    <row r="1733" spans="5:8" x14ac:dyDescent="0.25">
      <c r="E1733" t="str">
        <f>""</f>
        <v/>
      </c>
      <c r="F1733" t="str">
        <f>""</f>
        <v/>
      </c>
      <c r="H1733" t="str">
        <f t="shared" si="35"/>
        <v>SOCIAL SECURITY TAXES</v>
      </c>
    </row>
    <row r="1734" spans="5:8" x14ac:dyDescent="0.25">
      <c r="E1734" t="str">
        <f>""</f>
        <v/>
      </c>
      <c r="F1734" t="str">
        <f>""</f>
        <v/>
      </c>
      <c r="H1734" t="str">
        <f t="shared" si="35"/>
        <v>SOCIAL SECURITY TAXES</v>
      </c>
    </row>
    <row r="1735" spans="5:8" x14ac:dyDescent="0.25">
      <c r="E1735" t="str">
        <f>""</f>
        <v/>
      </c>
      <c r="F1735" t="str">
        <f>""</f>
        <v/>
      </c>
      <c r="H1735" t="str">
        <f t="shared" si="35"/>
        <v>SOCIAL SECURITY TAXES</v>
      </c>
    </row>
    <row r="1736" spans="5:8" x14ac:dyDescent="0.25">
      <c r="E1736" t="str">
        <f>""</f>
        <v/>
      </c>
      <c r="F1736" t="str">
        <f>""</f>
        <v/>
      </c>
      <c r="H1736" t="str">
        <f t="shared" si="35"/>
        <v>SOCIAL SECURITY TAXES</v>
      </c>
    </row>
    <row r="1737" spans="5:8" x14ac:dyDescent="0.25">
      <c r="E1737" t="str">
        <f>""</f>
        <v/>
      </c>
      <c r="F1737" t="str">
        <f>""</f>
        <v/>
      </c>
      <c r="H1737" t="str">
        <f t="shared" si="35"/>
        <v>SOCIAL SECURITY TAXES</v>
      </c>
    </row>
    <row r="1738" spans="5:8" x14ac:dyDescent="0.25">
      <c r="E1738" t="str">
        <f>""</f>
        <v/>
      </c>
      <c r="F1738" t="str">
        <f>""</f>
        <v/>
      </c>
      <c r="H1738" t="str">
        <f t="shared" si="35"/>
        <v>SOCIAL SECURITY TAXES</v>
      </c>
    </row>
    <row r="1739" spans="5:8" x14ac:dyDescent="0.25">
      <c r="E1739" t="str">
        <f>""</f>
        <v/>
      </c>
      <c r="F1739" t="str">
        <f>""</f>
        <v/>
      </c>
      <c r="H1739" t="str">
        <f t="shared" si="35"/>
        <v>SOCIAL SECURITY TAXES</v>
      </c>
    </row>
    <row r="1740" spans="5:8" x14ac:dyDescent="0.25">
      <c r="E1740" t="str">
        <f>""</f>
        <v/>
      </c>
      <c r="F1740" t="str">
        <f>""</f>
        <v/>
      </c>
      <c r="H1740" t="str">
        <f t="shared" si="35"/>
        <v>SOCIAL SECURITY TAXES</v>
      </c>
    </row>
    <row r="1741" spans="5:8" x14ac:dyDescent="0.25">
      <c r="E1741" t="str">
        <f>""</f>
        <v/>
      </c>
      <c r="F1741" t="str">
        <f>""</f>
        <v/>
      </c>
      <c r="H1741" t="str">
        <f t="shared" si="35"/>
        <v>SOCIAL SECURITY TAXES</v>
      </c>
    </row>
    <row r="1742" spans="5:8" x14ac:dyDescent="0.25">
      <c r="E1742" t="str">
        <f>""</f>
        <v/>
      </c>
      <c r="F1742" t="str">
        <f>""</f>
        <v/>
      </c>
      <c r="H1742" t="str">
        <f t="shared" si="35"/>
        <v>SOCIAL SECURITY TAXES</v>
      </c>
    </row>
    <row r="1743" spans="5:8" x14ac:dyDescent="0.25">
      <c r="E1743" t="str">
        <f>""</f>
        <v/>
      </c>
      <c r="F1743" t="str">
        <f>""</f>
        <v/>
      </c>
      <c r="H1743" t="str">
        <f t="shared" si="35"/>
        <v>SOCIAL SECURITY TAXES</v>
      </c>
    </row>
    <row r="1744" spans="5:8" x14ac:dyDescent="0.25">
      <c r="E1744" t="str">
        <f>""</f>
        <v/>
      </c>
      <c r="F1744" t="str">
        <f>""</f>
        <v/>
      </c>
      <c r="H1744" t="str">
        <f t="shared" si="35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35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35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35"/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35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35"/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35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35"/>
        <v>SOCIAL SECURITY TAXES</v>
      </c>
    </row>
    <row r="1752" spans="5:8" x14ac:dyDescent="0.25">
      <c r="E1752" t="str">
        <f>"T3 202006247387"</f>
        <v>T3 202006247387</v>
      </c>
      <c r="F1752" t="str">
        <f>"SOCIAL SECURITY TAXES"</f>
        <v>SOCIAL SECURITY TAXES</v>
      </c>
      <c r="G1752" s="5">
        <v>4412.5</v>
      </c>
      <c r="H1752" t="str">
        <f t="shared" si="35"/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35"/>
        <v>SOCIAL SECURITY TAXES</v>
      </c>
    </row>
    <row r="1754" spans="5:8" x14ac:dyDescent="0.25">
      <c r="E1754" t="str">
        <f>"T3 202006247388"</f>
        <v>T3 202006247388</v>
      </c>
      <c r="F1754" t="str">
        <f>"SOCIAL SECURITY TAXES"</f>
        <v>SOCIAL SECURITY TAXES</v>
      </c>
      <c r="G1754" s="5">
        <v>4917.78</v>
      </c>
      <c r="H1754" t="str">
        <f t="shared" si="35"/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35"/>
        <v>SOCIAL SECURITY TAXES</v>
      </c>
    </row>
    <row r="1756" spans="5:8" x14ac:dyDescent="0.25">
      <c r="E1756" t="str">
        <f>"T4 202006247386"</f>
        <v>T4 202006247386</v>
      </c>
      <c r="F1756" t="str">
        <f>"MEDICARE TAXES"</f>
        <v>MEDICARE TAXES</v>
      </c>
      <c r="G1756" s="5">
        <v>27301.38</v>
      </c>
      <c r="H1756" t="str">
        <f t="shared" ref="H1756:H1787" si="36">"MEDICARE TAXES"</f>
        <v>MEDICARE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36"/>
        <v>MEDICARE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36"/>
        <v>MEDICARE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36"/>
        <v>MEDICARE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36"/>
        <v>MEDICARE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36"/>
        <v>MEDICARE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36"/>
        <v>MEDICARE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36"/>
        <v>MEDICARE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36"/>
        <v>MEDICARE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36"/>
        <v>MEDICARE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36"/>
        <v>MEDICARE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36"/>
        <v>MEDICARE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36"/>
        <v>MEDICARE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36"/>
        <v>MEDICARE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36"/>
        <v>MEDICARE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36"/>
        <v>MEDICARE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36"/>
        <v>MEDICARE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36"/>
        <v>MEDICARE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36"/>
        <v>MEDICARE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36"/>
        <v>MEDICARE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36"/>
        <v>MEDICARE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36"/>
        <v>MEDICARE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36"/>
        <v>MEDICARE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36"/>
        <v>MEDICARE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36"/>
        <v>MEDICARE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36"/>
        <v>MEDICARE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36"/>
        <v>MEDICARE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36"/>
        <v>MEDICARE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36"/>
        <v>MEDICARE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36"/>
        <v>MEDICARE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36"/>
        <v>MEDICARE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36"/>
        <v>MEDICARE TAXES</v>
      </c>
    </row>
    <row r="1788" spans="5:8" x14ac:dyDescent="0.25">
      <c r="E1788" t="str">
        <f>""</f>
        <v/>
      </c>
      <c r="F1788" t="str">
        <f>""</f>
        <v/>
      </c>
      <c r="H1788" t="str">
        <f t="shared" ref="H1788:H1812" si="37">"MEDICARE TAXES"</f>
        <v>MEDICARE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37"/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37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37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37"/>
        <v>MEDICARE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37"/>
        <v>MEDICARE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37"/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37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37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37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37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37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37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37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37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37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37"/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37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37"/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37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37"/>
        <v>MEDICARE TAXES</v>
      </c>
    </row>
    <row r="1809" spans="1:8" x14ac:dyDescent="0.25">
      <c r="E1809" t="str">
        <f>"T4 202006247387"</f>
        <v>T4 202006247387</v>
      </c>
      <c r="F1809" t="str">
        <f>"MEDICARE TAXES"</f>
        <v>MEDICARE TAXES</v>
      </c>
      <c r="G1809" s="5">
        <v>1031.96</v>
      </c>
      <c r="H1809" t="str">
        <f t="shared" si="37"/>
        <v>MEDICARE TAXES</v>
      </c>
    </row>
    <row r="1810" spans="1:8" x14ac:dyDescent="0.25">
      <c r="E1810" t="str">
        <f>""</f>
        <v/>
      </c>
      <c r="F1810" t="str">
        <f>""</f>
        <v/>
      </c>
      <c r="H1810" t="str">
        <f t="shared" si="37"/>
        <v>MEDICARE TAXES</v>
      </c>
    </row>
    <row r="1811" spans="1:8" x14ac:dyDescent="0.25">
      <c r="E1811" t="str">
        <f>"T4 202006247388"</f>
        <v>T4 202006247388</v>
      </c>
      <c r="F1811" t="str">
        <f>"MEDICARE TAXES"</f>
        <v>MEDICARE TAXES</v>
      </c>
      <c r="G1811" s="5">
        <v>1150.1400000000001</v>
      </c>
      <c r="H1811" t="str">
        <f t="shared" si="37"/>
        <v>MEDICARE TAXES</v>
      </c>
    </row>
    <row r="1812" spans="1:8" x14ac:dyDescent="0.25">
      <c r="E1812" t="str">
        <f>""</f>
        <v/>
      </c>
      <c r="F1812" t="str">
        <f>""</f>
        <v/>
      </c>
      <c r="H1812" t="str">
        <f t="shared" si="37"/>
        <v>MEDICARE TAXES</v>
      </c>
    </row>
    <row r="1813" spans="1:8" x14ac:dyDescent="0.25">
      <c r="A1813" t="s">
        <v>331</v>
      </c>
      <c r="B1813">
        <v>565</v>
      </c>
      <c r="C1813" s="5">
        <v>535.82000000000005</v>
      </c>
      <c r="D1813" s="1">
        <v>44011</v>
      </c>
      <c r="E1813" t="str">
        <f>"LIX202006097241"</f>
        <v>LIX202006097241</v>
      </c>
      <c r="F1813" t="str">
        <f>"TEXAS LIFE/OLIVO GROUP"</f>
        <v>TEXAS LIFE/OLIVO GROUP</v>
      </c>
      <c r="G1813" s="5">
        <v>267.91000000000003</v>
      </c>
      <c r="H1813" t="str">
        <f>"TEXAS LIFE/OLIVO GROUP"</f>
        <v>TEXAS LIFE/OLIVO GROUP</v>
      </c>
    </row>
    <row r="1814" spans="1:8" x14ac:dyDescent="0.25">
      <c r="E1814" t="str">
        <f>"LIX202006247386"</f>
        <v>LIX202006247386</v>
      </c>
      <c r="F1814" t="str">
        <f>"TEXAS LIFE/OLIVO GROUP"</f>
        <v>TEXAS LIFE/OLIVO GROUP</v>
      </c>
      <c r="G1814" s="5">
        <v>267.91000000000003</v>
      </c>
      <c r="H1814" t="str">
        <f>"TEXAS LIFE/OLIVO GROUP"</f>
        <v>TEXAS LIFE/OLIVO GROUP</v>
      </c>
    </row>
    <row r="1815" spans="1:8" x14ac:dyDescent="0.25">
      <c r="A1815" t="s">
        <v>332</v>
      </c>
      <c r="B1815">
        <v>47973</v>
      </c>
      <c r="C1815" s="5">
        <v>80</v>
      </c>
      <c r="D1815" s="1">
        <v>44011</v>
      </c>
      <c r="E1815" t="str">
        <f>"PHI202005267009"</f>
        <v>PHI202005267009</v>
      </c>
      <c r="F1815" t="str">
        <f>"PHI AIR"</f>
        <v>PHI AIR</v>
      </c>
      <c r="G1815" s="5">
        <v>20</v>
      </c>
      <c r="H1815" t="str">
        <f>"PHI AIR"</f>
        <v>PHI AIR</v>
      </c>
    </row>
    <row r="1816" spans="1:8" x14ac:dyDescent="0.25">
      <c r="E1816" t="str">
        <f>"PHI202006097241"</f>
        <v>PHI202006097241</v>
      </c>
      <c r="F1816" t="str">
        <f>"PHI AIR"</f>
        <v>PHI AIR</v>
      </c>
      <c r="G1816" s="5">
        <v>40</v>
      </c>
      <c r="H1816" t="str">
        <f>"PHI AIR"</f>
        <v>PHI AIR</v>
      </c>
    </row>
    <row r="1817" spans="1:8" x14ac:dyDescent="0.25">
      <c r="E1817" t="str">
        <f>"PHI202006247386"</f>
        <v>PHI202006247386</v>
      </c>
      <c r="F1817" t="str">
        <f>"PHI AIR"</f>
        <v>PHI AIR</v>
      </c>
      <c r="G1817" s="5">
        <v>20</v>
      </c>
      <c r="H1817" t="str">
        <f>"PHI AIR"</f>
        <v>PHI AIR</v>
      </c>
    </row>
    <row r="1818" spans="1:8" x14ac:dyDescent="0.25">
      <c r="A1818" t="s">
        <v>333</v>
      </c>
      <c r="B1818">
        <v>47972</v>
      </c>
      <c r="C1818" s="5">
        <v>368058.22</v>
      </c>
      <c r="D1818" s="1">
        <v>44011</v>
      </c>
      <c r="E1818" t="str">
        <f>"202006267400"</f>
        <v>202006267400</v>
      </c>
      <c r="F1818" t="str">
        <f>"Retiree June 2020"</f>
        <v>Retiree June 2020</v>
      </c>
      <c r="G1818" s="5">
        <v>16155.12</v>
      </c>
      <c r="H1818" t="str">
        <f>"TAC HEALTH BENEFITS POOL"</f>
        <v>TAC HEALTH BENEFITS POOL</v>
      </c>
    </row>
    <row r="1819" spans="1:8" x14ac:dyDescent="0.25">
      <c r="E1819" t="str">
        <f>"2EC202006097241"</f>
        <v>2EC202006097241</v>
      </c>
      <c r="F1819" t="str">
        <f>"BCBS PAYABLE"</f>
        <v>BCBS PAYABLE</v>
      </c>
      <c r="G1819" s="5">
        <v>50624.88</v>
      </c>
      <c r="H1819" t="str">
        <f t="shared" ref="H1819:H1882" si="38">"BCBS PAYABLE"</f>
        <v>BCBS PAYABLE</v>
      </c>
    </row>
    <row r="1820" spans="1:8" x14ac:dyDescent="0.25">
      <c r="E1820" t="str">
        <f>""</f>
        <v/>
      </c>
      <c r="F1820" t="str">
        <f>""</f>
        <v/>
      </c>
      <c r="H1820" t="str">
        <f t="shared" si="38"/>
        <v>BCBS PAYABLE</v>
      </c>
    </row>
    <row r="1821" spans="1:8" x14ac:dyDescent="0.25">
      <c r="E1821" t="str">
        <f>""</f>
        <v/>
      </c>
      <c r="F1821" t="str">
        <f>""</f>
        <v/>
      </c>
      <c r="H1821" t="str">
        <f t="shared" si="38"/>
        <v>BCBS PAYABLE</v>
      </c>
    </row>
    <row r="1822" spans="1:8" x14ac:dyDescent="0.25">
      <c r="E1822" t="str">
        <f>""</f>
        <v/>
      </c>
      <c r="F1822" t="str">
        <f>""</f>
        <v/>
      </c>
      <c r="H1822" t="str">
        <f t="shared" si="38"/>
        <v>BCBS PAYABLE</v>
      </c>
    </row>
    <row r="1823" spans="1:8" x14ac:dyDescent="0.25">
      <c r="E1823" t="str">
        <f>""</f>
        <v/>
      </c>
      <c r="F1823" t="str">
        <f>""</f>
        <v/>
      </c>
      <c r="H1823" t="str">
        <f t="shared" si="38"/>
        <v>BCBS PAYABLE</v>
      </c>
    </row>
    <row r="1824" spans="1:8" x14ac:dyDescent="0.25">
      <c r="E1824" t="str">
        <f>""</f>
        <v/>
      </c>
      <c r="F1824" t="str">
        <f>""</f>
        <v/>
      </c>
      <c r="H1824" t="str">
        <f t="shared" si="38"/>
        <v>BCBS PAYABLE</v>
      </c>
    </row>
    <row r="1825" spans="5:8" x14ac:dyDescent="0.25">
      <c r="E1825" t="str">
        <f>""</f>
        <v/>
      </c>
      <c r="F1825" t="str">
        <f>""</f>
        <v/>
      </c>
      <c r="H1825" t="str">
        <f t="shared" si="38"/>
        <v>BCBS PAYABLE</v>
      </c>
    </row>
    <row r="1826" spans="5:8" x14ac:dyDescent="0.25">
      <c r="E1826" t="str">
        <f>""</f>
        <v/>
      </c>
      <c r="F1826" t="str">
        <f>""</f>
        <v/>
      </c>
      <c r="H1826" t="str">
        <f t="shared" si="38"/>
        <v>BCBS PAYABLE</v>
      </c>
    </row>
    <row r="1827" spans="5:8" x14ac:dyDescent="0.25">
      <c r="E1827" t="str">
        <f>""</f>
        <v/>
      </c>
      <c r="F1827" t="str">
        <f>""</f>
        <v/>
      </c>
      <c r="H1827" t="str">
        <f t="shared" si="38"/>
        <v>BCBS PAYABLE</v>
      </c>
    </row>
    <row r="1828" spans="5:8" x14ac:dyDescent="0.25">
      <c r="E1828" t="str">
        <f>""</f>
        <v/>
      </c>
      <c r="F1828" t="str">
        <f>""</f>
        <v/>
      </c>
      <c r="H1828" t="str">
        <f t="shared" si="38"/>
        <v>BCBS PAYABLE</v>
      </c>
    </row>
    <row r="1829" spans="5:8" x14ac:dyDescent="0.25">
      <c r="E1829" t="str">
        <f>""</f>
        <v/>
      </c>
      <c r="F1829" t="str">
        <f>""</f>
        <v/>
      </c>
      <c r="H1829" t="str">
        <f t="shared" si="38"/>
        <v>BCBS PAYABLE</v>
      </c>
    </row>
    <row r="1830" spans="5:8" x14ac:dyDescent="0.25">
      <c r="E1830" t="str">
        <f>""</f>
        <v/>
      </c>
      <c r="F1830" t="str">
        <f>""</f>
        <v/>
      </c>
      <c r="H1830" t="str">
        <f t="shared" si="38"/>
        <v>BCBS PAYABLE</v>
      </c>
    </row>
    <row r="1831" spans="5:8" x14ac:dyDescent="0.25">
      <c r="E1831" t="str">
        <f>""</f>
        <v/>
      </c>
      <c r="F1831" t="str">
        <f>""</f>
        <v/>
      </c>
      <c r="H1831" t="str">
        <f t="shared" si="38"/>
        <v>BCBS PAYABLE</v>
      </c>
    </row>
    <row r="1832" spans="5:8" x14ac:dyDescent="0.25">
      <c r="E1832" t="str">
        <f>""</f>
        <v/>
      </c>
      <c r="F1832" t="str">
        <f>""</f>
        <v/>
      </c>
      <c r="H1832" t="str">
        <f t="shared" si="38"/>
        <v>BCBS PAYABLE</v>
      </c>
    </row>
    <row r="1833" spans="5:8" x14ac:dyDescent="0.25">
      <c r="E1833" t="str">
        <f>""</f>
        <v/>
      </c>
      <c r="F1833" t="str">
        <f>""</f>
        <v/>
      </c>
      <c r="H1833" t="str">
        <f t="shared" si="38"/>
        <v>BCBS PAYABLE</v>
      </c>
    </row>
    <row r="1834" spans="5:8" x14ac:dyDescent="0.25">
      <c r="E1834" t="str">
        <f>""</f>
        <v/>
      </c>
      <c r="F1834" t="str">
        <f>""</f>
        <v/>
      </c>
      <c r="H1834" t="str">
        <f t="shared" si="38"/>
        <v>BCBS PAYABLE</v>
      </c>
    </row>
    <row r="1835" spans="5:8" x14ac:dyDescent="0.25">
      <c r="E1835" t="str">
        <f>""</f>
        <v/>
      </c>
      <c r="F1835" t="str">
        <f>""</f>
        <v/>
      </c>
      <c r="H1835" t="str">
        <f t="shared" si="38"/>
        <v>BCBS PAYABLE</v>
      </c>
    </row>
    <row r="1836" spans="5:8" x14ac:dyDescent="0.25">
      <c r="E1836" t="str">
        <f>""</f>
        <v/>
      </c>
      <c r="F1836" t="str">
        <f>""</f>
        <v/>
      </c>
      <c r="H1836" t="str">
        <f t="shared" si="38"/>
        <v>BCBS PAYABLE</v>
      </c>
    </row>
    <row r="1837" spans="5:8" x14ac:dyDescent="0.25">
      <c r="E1837" t="str">
        <f>""</f>
        <v/>
      </c>
      <c r="F1837" t="str">
        <f>""</f>
        <v/>
      </c>
      <c r="H1837" t="str">
        <f t="shared" si="38"/>
        <v>BCBS PAYABLE</v>
      </c>
    </row>
    <row r="1838" spans="5:8" x14ac:dyDescent="0.25">
      <c r="E1838" t="str">
        <f>""</f>
        <v/>
      </c>
      <c r="F1838" t="str">
        <f>""</f>
        <v/>
      </c>
      <c r="H1838" t="str">
        <f t="shared" si="38"/>
        <v>BCBS PAYABLE</v>
      </c>
    </row>
    <row r="1839" spans="5:8" x14ac:dyDescent="0.25">
      <c r="E1839" t="str">
        <f>""</f>
        <v/>
      </c>
      <c r="F1839" t="str">
        <f>""</f>
        <v/>
      </c>
      <c r="H1839" t="str">
        <f t="shared" si="38"/>
        <v>BCBS PAYABLE</v>
      </c>
    </row>
    <row r="1840" spans="5:8" x14ac:dyDescent="0.25">
      <c r="E1840" t="str">
        <f>""</f>
        <v/>
      </c>
      <c r="F1840" t="str">
        <f>""</f>
        <v/>
      </c>
      <c r="H1840" t="str">
        <f t="shared" si="38"/>
        <v>BCBS PAYABLE</v>
      </c>
    </row>
    <row r="1841" spans="5:8" x14ac:dyDescent="0.25">
      <c r="E1841" t="str">
        <f>""</f>
        <v/>
      </c>
      <c r="F1841" t="str">
        <f>""</f>
        <v/>
      </c>
      <c r="H1841" t="str">
        <f t="shared" si="38"/>
        <v>BCBS PAYABLE</v>
      </c>
    </row>
    <row r="1842" spans="5:8" x14ac:dyDescent="0.25">
      <c r="E1842" t="str">
        <f>""</f>
        <v/>
      </c>
      <c r="F1842" t="str">
        <f>""</f>
        <v/>
      </c>
      <c r="H1842" t="str">
        <f t="shared" si="38"/>
        <v>BCBS PAYABLE</v>
      </c>
    </row>
    <row r="1843" spans="5:8" x14ac:dyDescent="0.25">
      <c r="E1843" t="str">
        <f>""</f>
        <v/>
      </c>
      <c r="F1843" t="str">
        <f>""</f>
        <v/>
      </c>
      <c r="H1843" t="str">
        <f t="shared" si="38"/>
        <v>BCBS PAYABLE</v>
      </c>
    </row>
    <row r="1844" spans="5:8" x14ac:dyDescent="0.25">
      <c r="E1844" t="str">
        <f>""</f>
        <v/>
      </c>
      <c r="F1844" t="str">
        <f>""</f>
        <v/>
      </c>
      <c r="H1844" t="str">
        <f t="shared" si="38"/>
        <v>BCBS PAYABLE</v>
      </c>
    </row>
    <row r="1845" spans="5:8" x14ac:dyDescent="0.25">
      <c r="E1845" t="str">
        <f>""</f>
        <v/>
      </c>
      <c r="F1845" t="str">
        <f>""</f>
        <v/>
      </c>
      <c r="H1845" t="str">
        <f t="shared" si="38"/>
        <v>BCBS PAYABLE</v>
      </c>
    </row>
    <row r="1846" spans="5:8" x14ac:dyDescent="0.25">
      <c r="E1846" t="str">
        <f>""</f>
        <v/>
      </c>
      <c r="F1846" t="str">
        <f>""</f>
        <v/>
      </c>
      <c r="H1846" t="str">
        <f t="shared" si="38"/>
        <v>BCBS PAYABLE</v>
      </c>
    </row>
    <row r="1847" spans="5:8" x14ac:dyDescent="0.25">
      <c r="E1847" t="str">
        <f>""</f>
        <v/>
      </c>
      <c r="F1847" t="str">
        <f>""</f>
        <v/>
      </c>
      <c r="H1847" t="str">
        <f t="shared" si="38"/>
        <v>BCBS PAYABLE</v>
      </c>
    </row>
    <row r="1848" spans="5:8" x14ac:dyDescent="0.25">
      <c r="E1848" t="str">
        <f>""</f>
        <v/>
      </c>
      <c r="F1848" t="str">
        <f>""</f>
        <v/>
      </c>
      <c r="H1848" t="str">
        <f t="shared" si="38"/>
        <v>BCBS PAYABLE</v>
      </c>
    </row>
    <row r="1849" spans="5:8" x14ac:dyDescent="0.25">
      <c r="E1849" t="str">
        <f>""</f>
        <v/>
      </c>
      <c r="F1849" t="str">
        <f>""</f>
        <v/>
      </c>
      <c r="H1849" t="str">
        <f t="shared" si="38"/>
        <v>BCBS PAYABLE</v>
      </c>
    </row>
    <row r="1850" spans="5:8" x14ac:dyDescent="0.25">
      <c r="E1850" t="str">
        <f>""</f>
        <v/>
      </c>
      <c r="F1850" t="str">
        <f>""</f>
        <v/>
      </c>
      <c r="H1850" t="str">
        <f t="shared" si="38"/>
        <v>BCBS PAYABLE</v>
      </c>
    </row>
    <row r="1851" spans="5:8" x14ac:dyDescent="0.25">
      <c r="E1851" t="str">
        <f>"2EC202006107242"</f>
        <v>2EC202006107242</v>
      </c>
      <c r="F1851" t="str">
        <f>"BCBS PAYABLE"</f>
        <v>BCBS PAYABLE</v>
      </c>
      <c r="G1851" s="5">
        <v>1824.32</v>
      </c>
      <c r="H1851" t="str">
        <f t="shared" si="38"/>
        <v>BCBS PAYABLE</v>
      </c>
    </row>
    <row r="1852" spans="5:8" x14ac:dyDescent="0.25">
      <c r="E1852" t="str">
        <f>""</f>
        <v/>
      </c>
      <c r="F1852" t="str">
        <f>""</f>
        <v/>
      </c>
      <c r="H1852" t="str">
        <f t="shared" si="38"/>
        <v>BCBS PAYABLE</v>
      </c>
    </row>
    <row r="1853" spans="5:8" x14ac:dyDescent="0.25">
      <c r="E1853" t="str">
        <f>"2EC202006247386"</f>
        <v>2EC202006247386</v>
      </c>
      <c r="F1853" t="str">
        <f>"BCBS PAYABLE"</f>
        <v>BCBS PAYABLE</v>
      </c>
      <c r="G1853" s="5">
        <v>50293</v>
      </c>
      <c r="H1853" t="str">
        <f t="shared" si="38"/>
        <v>BCBS PAYABLE</v>
      </c>
    </row>
    <row r="1854" spans="5:8" x14ac:dyDescent="0.25">
      <c r="E1854" t="str">
        <f>""</f>
        <v/>
      </c>
      <c r="F1854" t="str">
        <f>""</f>
        <v/>
      </c>
      <c r="H1854" t="str">
        <f t="shared" si="38"/>
        <v>BCBS PAYABLE</v>
      </c>
    </row>
    <row r="1855" spans="5:8" x14ac:dyDescent="0.25">
      <c r="E1855" t="str">
        <f>""</f>
        <v/>
      </c>
      <c r="F1855" t="str">
        <f>""</f>
        <v/>
      </c>
      <c r="H1855" t="str">
        <f t="shared" si="38"/>
        <v>BCBS PAYABLE</v>
      </c>
    </row>
    <row r="1856" spans="5:8" x14ac:dyDescent="0.25">
      <c r="E1856" t="str">
        <f>""</f>
        <v/>
      </c>
      <c r="F1856" t="str">
        <f>""</f>
        <v/>
      </c>
      <c r="H1856" t="str">
        <f t="shared" si="38"/>
        <v>BCBS PAYABLE</v>
      </c>
    </row>
    <row r="1857" spans="5:8" x14ac:dyDescent="0.25">
      <c r="E1857" t="str">
        <f>""</f>
        <v/>
      </c>
      <c r="F1857" t="str">
        <f>""</f>
        <v/>
      </c>
      <c r="H1857" t="str">
        <f t="shared" si="38"/>
        <v>BCBS PAYABLE</v>
      </c>
    </row>
    <row r="1858" spans="5:8" x14ac:dyDescent="0.25">
      <c r="E1858" t="str">
        <f>""</f>
        <v/>
      </c>
      <c r="F1858" t="str">
        <f>""</f>
        <v/>
      </c>
      <c r="H1858" t="str">
        <f t="shared" si="38"/>
        <v>BCBS PAYABLE</v>
      </c>
    </row>
    <row r="1859" spans="5:8" x14ac:dyDescent="0.25">
      <c r="E1859" t="str">
        <f>""</f>
        <v/>
      </c>
      <c r="F1859" t="str">
        <f>""</f>
        <v/>
      </c>
      <c r="H1859" t="str">
        <f t="shared" si="38"/>
        <v>BCBS PAYABLE</v>
      </c>
    </row>
    <row r="1860" spans="5:8" x14ac:dyDescent="0.25">
      <c r="E1860" t="str">
        <f>""</f>
        <v/>
      </c>
      <c r="F1860" t="str">
        <f>""</f>
        <v/>
      </c>
      <c r="H1860" t="str">
        <f t="shared" si="38"/>
        <v>BCBS PAYABLE</v>
      </c>
    </row>
    <row r="1861" spans="5:8" x14ac:dyDescent="0.25">
      <c r="E1861" t="str">
        <f>""</f>
        <v/>
      </c>
      <c r="F1861" t="str">
        <f>""</f>
        <v/>
      </c>
      <c r="H1861" t="str">
        <f t="shared" si="38"/>
        <v>BCBS PAYABLE</v>
      </c>
    </row>
    <row r="1862" spans="5:8" x14ac:dyDescent="0.25">
      <c r="E1862" t="str">
        <f>""</f>
        <v/>
      </c>
      <c r="F1862" t="str">
        <f>""</f>
        <v/>
      </c>
      <c r="H1862" t="str">
        <f t="shared" si="38"/>
        <v>BCBS PAYABLE</v>
      </c>
    </row>
    <row r="1863" spans="5:8" x14ac:dyDescent="0.25">
      <c r="E1863" t="str">
        <f>""</f>
        <v/>
      </c>
      <c r="F1863" t="str">
        <f>""</f>
        <v/>
      </c>
      <c r="H1863" t="str">
        <f t="shared" si="38"/>
        <v>BCBS PAYABLE</v>
      </c>
    </row>
    <row r="1864" spans="5:8" x14ac:dyDescent="0.25">
      <c r="E1864" t="str">
        <f>""</f>
        <v/>
      </c>
      <c r="F1864" t="str">
        <f>""</f>
        <v/>
      </c>
      <c r="H1864" t="str">
        <f t="shared" si="38"/>
        <v>BCBS PAYABLE</v>
      </c>
    </row>
    <row r="1865" spans="5:8" x14ac:dyDescent="0.25">
      <c r="E1865" t="str">
        <f>""</f>
        <v/>
      </c>
      <c r="F1865" t="str">
        <f>""</f>
        <v/>
      </c>
      <c r="H1865" t="str">
        <f t="shared" si="38"/>
        <v>BCBS PAYABLE</v>
      </c>
    </row>
    <row r="1866" spans="5:8" x14ac:dyDescent="0.25">
      <c r="E1866" t="str">
        <f>""</f>
        <v/>
      </c>
      <c r="F1866" t="str">
        <f>""</f>
        <v/>
      </c>
      <c r="H1866" t="str">
        <f t="shared" si="38"/>
        <v>BCBS PAYABLE</v>
      </c>
    </row>
    <row r="1867" spans="5:8" x14ac:dyDescent="0.25">
      <c r="E1867" t="str">
        <f>""</f>
        <v/>
      </c>
      <c r="F1867" t="str">
        <f>""</f>
        <v/>
      </c>
      <c r="H1867" t="str">
        <f t="shared" si="38"/>
        <v>BCBS PAYABLE</v>
      </c>
    </row>
    <row r="1868" spans="5:8" x14ac:dyDescent="0.25">
      <c r="E1868" t="str">
        <f>""</f>
        <v/>
      </c>
      <c r="F1868" t="str">
        <f>""</f>
        <v/>
      </c>
      <c r="H1868" t="str">
        <f t="shared" si="38"/>
        <v>BCBS PAYABLE</v>
      </c>
    </row>
    <row r="1869" spans="5:8" x14ac:dyDescent="0.25">
      <c r="E1869" t="str">
        <f>""</f>
        <v/>
      </c>
      <c r="F1869" t="str">
        <f>""</f>
        <v/>
      </c>
      <c r="H1869" t="str">
        <f t="shared" si="38"/>
        <v>BCBS PAYABLE</v>
      </c>
    </row>
    <row r="1870" spans="5:8" x14ac:dyDescent="0.25">
      <c r="E1870" t="str">
        <f>""</f>
        <v/>
      </c>
      <c r="F1870" t="str">
        <f>""</f>
        <v/>
      </c>
      <c r="H1870" t="str">
        <f t="shared" si="38"/>
        <v>BCBS PAYABLE</v>
      </c>
    </row>
    <row r="1871" spans="5:8" x14ac:dyDescent="0.25">
      <c r="E1871" t="str">
        <f>""</f>
        <v/>
      </c>
      <c r="F1871" t="str">
        <f>""</f>
        <v/>
      </c>
      <c r="H1871" t="str">
        <f t="shared" si="38"/>
        <v>BCBS PAYABLE</v>
      </c>
    </row>
    <row r="1872" spans="5:8" x14ac:dyDescent="0.25">
      <c r="E1872" t="str">
        <f>""</f>
        <v/>
      </c>
      <c r="F1872" t="str">
        <f>""</f>
        <v/>
      </c>
      <c r="H1872" t="str">
        <f t="shared" si="38"/>
        <v>BCBS PAYABLE</v>
      </c>
    </row>
    <row r="1873" spans="5:8" x14ac:dyDescent="0.25">
      <c r="E1873" t="str">
        <f>""</f>
        <v/>
      </c>
      <c r="F1873" t="str">
        <f>""</f>
        <v/>
      </c>
      <c r="H1873" t="str">
        <f t="shared" si="38"/>
        <v>BCBS PAYABLE</v>
      </c>
    </row>
    <row r="1874" spans="5:8" x14ac:dyDescent="0.25">
      <c r="E1874" t="str">
        <f>""</f>
        <v/>
      </c>
      <c r="F1874" t="str">
        <f>""</f>
        <v/>
      </c>
      <c r="H1874" t="str">
        <f t="shared" si="38"/>
        <v>BCBS PAYABLE</v>
      </c>
    </row>
    <row r="1875" spans="5:8" x14ac:dyDescent="0.25">
      <c r="E1875" t="str">
        <f>""</f>
        <v/>
      </c>
      <c r="F1875" t="str">
        <f>""</f>
        <v/>
      </c>
      <c r="H1875" t="str">
        <f t="shared" si="38"/>
        <v>BCBS PAYABLE</v>
      </c>
    </row>
    <row r="1876" spans="5:8" x14ac:dyDescent="0.25">
      <c r="E1876" t="str">
        <f>""</f>
        <v/>
      </c>
      <c r="F1876" t="str">
        <f>""</f>
        <v/>
      </c>
      <c r="H1876" t="str">
        <f t="shared" si="38"/>
        <v>BCBS PAYABLE</v>
      </c>
    </row>
    <row r="1877" spans="5:8" x14ac:dyDescent="0.25">
      <c r="E1877" t="str">
        <f>""</f>
        <v/>
      </c>
      <c r="F1877" t="str">
        <f>""</f>
        <v/>
      </c>
      <c r="H1877" t="str">
        <f t="shared" si="38"/>
        <v>BCBS PAYABLE</v>
      </c>
    </row>
    <row r="1878" spans="5:8" x14ac:dyDescent="0.25">
      <c r="E1878" t="str">
        <f>""</f>
        <v/>
      </c>
      <c r="F1878" t="str">
        <f>""</f>
        <v/>
      </c>
      <c r="H1878" t="str">
        <f t="shared" si="38"/>
        <v>BCBS PAYABLE</v>
      </c>
    </row>
    <row r="1879" spans="5:8" x14ac:dyDescent="0.25">
      <c r="E1879" t="str">
        <f>""</f>
        <v/>
      </c>
      <c r="F1879" t="str">
        <f>""</f>
        <v/>
      </c>
      <c r="H1879" t="str">
        <f t="shared" si="38"/>
        <v>BCBS PAYABLE</v>
      </c>
    </row>
    <row r="1880" spans="5:8" x14ac:dyDescent="0.25">
      <c r="E1880" t="str">
        <f>""</f>
        <v/>
      </c>
      <c r="F1880" t="str">
        <f>""</f>
        <v/>
      </c>
      <c r="H1880" t="str">
        <f t="shared" si="38"/>
        <v>BCBS PAYABLE</v>
      </c>
    </row>
    <row r="1881" spans="5:8" x14ac:dyDescent="0.25">
      <c r="E1881" t="str">
        <f>""</f>
        <v/>
      </c>
      <c r="F1881" t="str">
        <f>""</f>
        <v/>
      </c>
      <c r="H1881" t="str">
        <f t="shared" si="38"/>
        <v>BCBS PAYABLE</v>
      </c>
    </row>
    <row r="1882" spans="5:8" x14ac:dyDescent="0.25">
      <c r="E1882" t="str">
        <f>""</f>
        <v/>
      </c>
      <c r="F1882" t="str">
        <f>""</f>
        <v/>
      </c>
      <c r="H1882" t="str">
        <f t="shared" si="38"/>
        <v>BCBS PAYABLE</v>
      </c>
    </row>
    <row r="1883" spans="5:8" x14ac:dyDescent="0.25">
      <c r="E1883" t="str">
        <f>""</f>
        <v/>
      </c>
      <c r="F1883" t="str">
        <f>""</f>
        <v/>
      </c>
      <c r="H1883" t="str">
        <f t="shared" ref="H1883:H1946" si="39">"BCBS PAYABLE"</f>
        <v>BCBS PAYABLE</v>
      </c>
    </row>
    <row r="1884" spans="5:8" x14ac:dyDescent="0.25">
      <c r="E1884" t="str">
        <f>"2EC202006247387"</f>
        <v>2EC202006247387</v>
      </c>
      <c r="F1884" t="str">
        <f>"BCBS PAYABLE"</f>
        <v>BCBS PAYABLE</v>
      </c>
      <c r="G1884" s="5">
        <v>1824.32</v>
      </c>
      <c r="H1884" t="str">
        <f t="shared" si="39"/>
        <v>BCBS PAYABLE</v>
      </c>
    </row>
    <row r="1885" spans="5:8" x14ac:dyDescent="0.25">
      <c r="E1885" t="str">
        <f>""</f>
        <v/>
      </c>
      <c r="F1885" t="str">
        <f>""</f>
        <v/>
      </c>
      <c r="H1885" t="str">
        <f t="shared" si="39"/>
        <v>BCBS PAYABLE</v>
      </c>
    </row>
    <row r="1886" spans="5:8" x14ac:dyDescent="0.25">
      <c r="E1886" t="str">
        <f>"2EF202006097241"</f>
        <v>2EF202006097241</v>
      </c>
      <c r="F1886" t="str">
        <f>"BCBS PAYABLE"</f>
        <v>BCBS PAYABLE</v>
      </c>
      <c r="G1886" s="5">
        <v>2718.27</v>
      </c>
      <c r="H1886" t="str">
        <f t="shared" si="39"/>
        <v>BCBS PAYABLE</v>
      </c>
    </row>
    <row r="1887" spans="5:8" x14ac:dyDescent="0.25">
      <c r="E1887" t="str">
        <f>""</f>
        <v/>
      </c>
      <c r="F1887" t="str">
        <f>""</f>
        <v/>
      </c>
      <c r="H1887" t="str">
        <f t="shared" si="39"/>
        <v>BCBS PAYABLE</v>
      </c>
    </row>
    <row r="1888" spans="5:8" x14ac:dyDescent="0.25">
      <c r="E1888" t="str">
        <f>""</f>
        <v/>
      </c>
      <c r="F1888" t="str">
        <f>""</f>
        <v/>
      </c>
      <c r="H1888" t="str">
        <f t="shared" si="39"/>
        <v>BCBS PAYABLE</v>
      </c>
    </row>
    <row r="1889" spans="5:8" x14ac:dyDescent="0.25">
      <c r="E1889" t="str">
        <f>"2EF202006247386"</f>
        <v>2EF202006247386</v>
      </c>
      <c r="F1889" t="str">
        <f>"BCBS PAYABLE"</f>
        <v>BCBS PAYABLE</v>
      </c>
      <c r="G1889" s="5">
        <v>2718.27</v>
      </c>
      <c r="H1889" t="str">
        <f t="shared" si="39"/>
        <v>BCBS PAYABLE</v>
      </c>
    </row>
    <row r="1890" spans="5:8" x14ac:dyDescent="0.25">
      <c r="E1890" t="str">
        <f>""</f>
        <v/>
      </c>
      <c r="F1890" t="str">
        <f>""</f>
        <v/>
      </c>
      <c r="H1890" t="str">
        <f t="shared" si="39"/>
        <v>BCBS PAYABLE</v>
      </c>
    </row>
    <row r="1891" spans="5:8" x14ac:dyDescent="0.25">
      <c r="E1891" t="str">
        <f>""</f>
        <v/>
      </c>
      <c r="F1891" t="str">
        <f>""</f>
        <v/>
      </c>
      <c r="H1891" t="str">
        <f t="shared" si="39"/>
        <v>BCBS PAYABLE</v>
      </c>
    </row>
    <row r="1892" spans="5:8" x14ac:dyDescent="0.25">
      <c r="E1892" t="str">
        <f>"2EO202006097241"</f>
        <v>2EO202006097241</v>
      </c>
      <c r="F1892" t="str">
        <f>"BCBS PAYABLE"</f>
        <v>BCBS PAYABLE</v>
      </c>
      <c r="G1892" s="5">
        <v>102550.92</v>
      </c>
      <c r="H1892" t="str">
        <f t="shared" si="39"/>
        <v>BCBS PAYABLE</v>
      </c>
    </row>
    <row r="1893" spans="5:8" x14ac:dyDescent="0.25">
      <c r="E1893" t="str">
        <f>""</f>
        <v/>
      </c>
      <c r="F1893" t="str">
        <f>""</f>
        <v/>
      </c>
      <c r="H1893" t="str">
        <f t="shared" si="39"/>
        <v>BCBS PAYABLE</v>
      </c>
    </row>
    <row r="1894" spans="5:8" x14ac:dyDescent="0.25">
      <c r="E1894" t="str">
        <f>""</f>
        <v/>
      </c>
      <c r="F1894" t="str">
        <f>""</f>
        <v/>
      </c>
      <c r="H1894" t="str">
        <f t="shared" si="39"/>
        <v>BCBS PAYABLE</v>
      </c>
    </row>
    <row r="1895" spans="5:8" x14ac:dyDescent="0.25">
      <c r="E1895" t="str">
        <f>""</f>
        <v/>
      </c>
      <c r="F1895" t="str">
        <f>""</f>
        <v/>
      </c>
      <c r="H1895" t="str">
        <f t="shared" si="39"/>
        <v>BCBS PAYABLE</v>
      </c>
    </row>
    <row r="1896" spans="5:8" x14ac:dyDescent="0.25">
      <c r="E1896" t="str">
        <f>""</f>
        <v/>
      </c>
      <c r="F1896" t="str">
        <f>""</f>
        <v/>
      </c>
      <c r="H1896" t="str">
        <f t="shared" si="39"/>
        <v>BCBS PAYABLE</v>
      </c>
    </row>
    <row r="1897" spans="5:8" x14ac:dyDescent="0.25">
      <c r="E1897" t="str">
        <f>""</f>
        <v/>
      </c>
      <c r="F1897" t="str">
        <f>""</f>
        <v/>
      </c>
      <c r="H1897" t="str">
        <f t="shared" si="39"/>
        <v>BCBS PAYABLE</v>
      </c>
    </row>
    <row r="1898" spans="5:8" x14ac:dyDescent="0.25">
      <c r="E1898" t="str">
        <f>""</f>
        <v/>
      </c>
      <c r="F1898" t="str">
        <f>""</f>
        <v/>
      </c>
      <c r="H1898" t="str">
        <f t="shared" si="39"/>
        <v>BCBS PAYABLE</v>
      </c>
    </row>
    <row r="1899" spans="5:8" x14ac:dyDescent="0.25">
      <c r="E1899" t="str">
        <f>""</f>
        <v/>
      </c>
      <c r="F1899" t="str">
        <f>""</f>
        <v/>
      </c>
      <c r="H1899" t="str">
        <f t="shared" si="39"/>
        <v>BCBS PAYABLE</v>
      </c>
    </row>
    <row r="1900" spans="5:8" x14ac:dyDescent="0.25">
      <c r="E1900" t="str">
        <f>""</f>
        <v/>
      </c>
      <c r="F1900" t="str">
        <f>""</f>
        <v/>
      </c>
      <c r="H1900" t="str">
        <f t="shared" si="39"/>
        <v>BCBS PAYABLE</v>
      </c>
    </row>
    <row r="1901" spans="5:8" x14ac:dyDescent="0.25">
      <c r="E1901" t="str">
        <f>""</f>
        <v/>
      </c>
      <c r="F1901" t="str">
        <f>""</f>
        <v/>
      </c>
      <c r="H1901" t="str">
        <f t="shared" si="39"/>
        <v>BCBS PAYABLE</v>
      </c>
    </row>
    <row r="1902" spans="5:8" x14ac:dyDescent="0.25">
      <c r="E1902" t="str">
        <f>""</f>
        <v/>
      </c>
      <c r="F1902" t="str">
        <f>""</f>
        <v/>
      </c>
      <c r="H1902" t="str">
        <f t="shared" si="39"/>
        <v>BCBS PAYABLE</v>
      </c>
    </row>
    <row r="1903" spans="5:8" x14ac:dyDescent="0.25">
      <c r="E1903" t="str">
        <f>""</f>
        <v/>
      </c>
      <c r="F1903" t="str">
        <f>""</f>
        <v/>
      </c>
      <c r="H1903" t="str">
        <f t="shared" si="39"/>
        <v>BCBS PAYABLE</v>
      </c>
    </row>
    <row r="1904" spans="5:8" x14ac:dyDescent="0.25">
      <c r="E1904" t="str">
        <f>""</f>
        <v/>
      </c>
      <c r="F1904" t="str">
        <f>""</f>
        <v/>
      </c>
      <c r="H1904" t="str">
        <f t="shared" si="39"/>
        <v>BCBS PAYABLE</v>
      </c>
    </row>
    <row r="1905" spans="5:8" x14ac:dyDescent="0.25">
      <c r="E1905" t="str">
        <f>""</f>
        <v/>
      </c>
      <c r="F1905" t="str">
        <f>""</f>
        <v/>
      </c>
      <c r="H1905" t="str">
        <f t="shared" si="39"/>
        <v>BCBS PAYABLE</v>
      </c>
    </row>
    <row r="1906" spans="5:8" x14ac:dyDescent="0.25">
      <c r="E1906" t="str">
        <f>""</f>
        <v/>
      </c>
      <c r="F1906" t="str">
        <f>""</f>
        <v/>
      </c>
      <c r="H1906" t="str">
        <f t="shared" si="39"/>
        <v>BCBS PAYABLE</v>
      </c>
    </row>
    <row r="1907" spans="5:8" x14ac:dyDescent="0.25">
      <c r="E1907" t="str">
        <f>""</f>
        <v/>
      </c>
      <c r="F1907" t="str">
        <f>""</f>
        <v/>
      </c>
      <c r="H1907" t="str">
        <f t="shared" si="39"/>
        <v>BCBS PAYABLE</v>
      </c>
    </row>
    <row r="1908" spans="5:8" x14ac:dyDescent="0.25">
      <c r="E1908" t="str">
        <f>""</f>
        <v/>
      </c>
      <c r="F1908" t="str">
        <f>""</f>
        <v/>
      </c>
      <c r="H1908" t="str">
        <f t="shared" si="39"/>
        <v>BCBS PAYABLE</v>
      </c>
    </row>
    <row r="1909" spans="5:8" x14ac:dyDescent="0.25">
      <c r="E1909" t="str">
        <f>""</f>
        <v/>
      </c>
      <c r="F1909" t="str">
        <f>""</f>
        <v/>
      </c>
      <c r="H1909" t="str">
        <f t="shared" si="39"/>
        <v>BCBS PAYABLE</v>
      </c>
    </row>
    <row r="1910" spans="5:8" x14ac:dyDescent="0.25">
      <c r="E1910" t="str">
        <f>""</f>
        <v/>
      </c>
      <c r="F1910" t="str">
        <f>""</f>
        <v/>
      </c>
      <c r="H1910" t="str">
        <f t="shared" si="39"/>
        <v>BCBS PAYABLE</v>
      </c>
    </row>
    <row r="1911" spans="5:8" x14ac:dyDescent="0.25">
      <c r="E1911" t="str">
        <f>""</f>
        <v/>
      </c>
      <c r="F1911" t="str">
        <f>""</f>
        <v/>
      </c>
      <c r="H1911" t="str">
        <f t="shared" si="39"/>
        <v>BCBS PAYABLE</v>
      </c>
    </row>
    <row r="1912" spans="5:8" x14ac:dyDescent="0.25">
      <c r="E1912" t="str">
        <f>""</f>
        <v/>
      </c>
      <c r="F1912" t="str">
        <f>""</f>
        <v/>
      </c>
      <c r="H1912" t="str">
        <f t="shared" si="39"/>
        <v>BCBS PAYABLE</v>
      </c>
    </row>
    <row r="1913" spans="5:8" x14ac:dyDescent="0.25">
      <c r="E1913" t="str">
        <f>""</f>
        <v/>
      </c>
      <c r="F1913" t="str">
        <f>""</f>
        <v/>
      </c>
      <c r="H1913" t="str">
        <f t="shared" si="39"/>
        <v>BCBS PAYABLE</v>
      </c>
    </row>
    <row r="1914" spans="5:8" x14ac:dyDescent="0.25">
      <c r="E1914" t="str">
        <f>""</f>
        <v/>
      </c>
      <c r="F1914" t="str">
        <f>""</f>
        <v/>
      </c>
      <c r="H1914" t="str">
        <f t="shared" si="39"/>
        <v>BCBS PAYABLE</v>
      </c>
    </row>
    <row r="1915" spans="5:8" x14ac:dyDescent="0.25">
      <c r="E1915" t="str">
        <f>""</f>
        <v/>
      </c>
      <c r="F1915" t="str">
        <f>""</f>
        <v/>
      </c>
      <c r="H1915" t="str">
        <f t="shared" si="39"/>
        <v>BCBS PAYABLE</v>
      </c>
    </row>
    <row r="1916" spans="5:8" x14ac:dyDescent="0.25">
      <c r="E1916" t="str">
        <f>""</f>
        <v/>
      </c>
      <c r="F1916" t="str">
        <f>""</f>
        <v/>
      </c>
      <c r="H1916" t="str">
        <f t="shared" si="39"/>
        <v>BCBS PAYABLE</v>
      </c>
    </row>
    <row r="1917" spans="5:8" x14ac:dyDescent="0.25">
      <c r="E1917" t="str">
        <f>""</f>
        <v/>
      </c>
      <c r="F1917" t="str">
        <f>""</f>
        <v/>
      </c>
      <c r="H1917" t="str">
        <f t="shared" si="39"/>
        <v>BCBS PAYABLE</v>
      </c>
    </row>
    <row r="1918" spans="5:8" x14ac:dyDescent="0.25">
      <c r="E1918" t="str">
        <f>""</f>
        <v/>
      </c>
      <c r="F1918" t="str">
        <f>""</f>
        <v/>
      </c>
      <c r="H1918" t="str">
        <f t="shared" si="39"/>
        <v>BCBS PAYABLE</v>
      </c>
    </row>
    <row r="1919" spans="5:8" x14ac:dyDescent="0.25">
      <c r="E1919" t="str">
        <f>""</f>
        <v/>
      </c>
      <c r="F1919" t="str">
        <f>""</f>
        <v/>
      </c>
      <c r="H1919" t="str">
        <f t="shared" si="39"/>
        <v>BCBS PAYABLE</v>
      </c>
    </row>
    <row r="1920" spans="5:8" x14ac:dyDescent="0.25">
      <c r="E1920" t="str">
        <f>""</f>
        <v/>
      </c>
      <c r="F1920" t="str">
        <f>""</f>
        <v/>
      </c>
      <c r="H1920" t="str">
        <f t="shared" si="39"/>
        <v>BCBS PAYABLE</v>
      </c>
    </row>
    <row r="1921" spans="5:8" x14ac:dyDescent="0.25">
      <c r="E1921" t="str">
        <f>""</f>
        <v/>
      </c>
      <c r="F1921" t="str">
        <f>""</f>
        <v/>
      </c>
      <c r="H1921" t="str">
        <f t="shared" si="39"/>
        <v>BCBS PAYABLE</v>
      </c>
    </row>
    <row r="1922" spans="5:8" x14ac:dyDescent="0.25">
      <c r="E1922" t="str">
        <f>""</f>
        <v/>
      </c>
      <c r="F1922" t="str">
        <f>""</f>
        <v/>
      </c>
      <c r="H1922" t="str">
        <f t="shared" si="39"/>
        <v>BCBS PAYABLE</v>
      </c>
    </row>
    <row r="1923" spans="5:8" x14ac:dyDescent="0.25">
      <c r="E1923" t="str">
        <f>""</f>
        <v/>
      </c>
      <c r="F1923" t="str">
        <f>""</f>
        <v/>
      </c>
      <c r="H1923" t="str">
        <f t="shared" si="39"/>
        <v>BCBS PAYABLE</v>
      </c>
    </row>
    <row r="1924" spans="5:8" x14ac:dyDescent="0.25">
      <c r="E1924" t="str">
        <f>""</f>
        <v/>
      </c>
      <c r="F1924" t="str">
        <f>""</f>
        <v/>
      </c>
      <c r="H1924" t="str">
        <f t="shared" si="39"/>
        <v>BCBS PAYABLE</v>
      </c>
    </row>
    <row r="1925" spans="5:8" x14ac:dyDescent="0.25">
      <c r="E1925" t="str">
        <f>""</f>
        <v/>
      </c>
      <c r="F1925" t="str">
        <f>""</f>
        <v/>
      </c>
      <c r="H1925" t="str">
        <f t="shared" si="39"/>
        <v>BCBS PAYABLE</v>
      </c>
    </row>
    <row r="1926" spans="5:8" x14ac:dyDescent="0.25">
      <c r="E1926" t="str">
        <f>""</f>
        <v/>
      </c>
      <c r="F1926" t="str">
        <f>""</f>
        <v/>
      </c>
      <c r="H1926" t="str">
        <f t="shared" si="39"/>
        <v>BCBS PAYABLE</v>
      </c>
    </row>
    <row r="1927" spans="5:8" x14ac:dyDescent="0.25">
      <c r="E1927" t="str">
        <f>""</f>
        <v/>
      </c>
      <c r="F1927" t="str">
        <f>""</f>
        <v/>
      </c>
      <c r="H1927" t="str">
        <f t="shared" si="39"/>
        <v>BCBS PAYABLE</v>
      </c>
    </row>
    <row r="1928" spans="5:8" x14ac:dyDescent="0.25">
      <c r="E1928" t="str">
        <f>""</f>
        <v/>
      </c>
      <c r="F1928" t="str">
        <f>""</f>
        <v/>
      </c>
      <c r="H1928" t="str">
        <f t="shared" si="39"/>
        <v>BCBS PAYABLE</v>
      </c>
    </row>
    <row r="1929" spans="5:8" x14ac:dyDescent="0.25">
      <c r="E1929" t="str">
        <f>""</f>
        <v/>
      </c>
      <c r="F1929" t="str">
        <f>""</f>
        <v/>
      </c>
      <c r="H1929" t="str">
        <f t="shared" si="39"/>
        <v>BCBS PAYABLE</v>
      </c>
    </row>
    <row r="1930" spans="5:8" x14ac:dyDescent="0.25">
      <c r="E1930" t="str">
        <f>""</f>
        <v/>
      </c>
      <c r="F1930" t="str">
        <f>""</f>
        <v/>
      </c>
      <c r="H1930" t="str">
        <f t="shared" si="39"/>
        <v>BCBS PAYABLE</v>
      </c>
    </row>
    <row r="1931" spans="5:8" x14ac:dyDescent="0.25">
      <c r="E1931" t="str">
        <f>""</f>
        <v/>
      </c>
      <c r="F1931" t="str">
        <f>""</f>
        <v/>
      </c>
      <c r="H1931" t="str">
        <f t="shared" si="39"/>
        <v>BCBS PAYABLE</v>
      </c>
    </row>
    <row r="1932" spans="5:8" x14ac:dyDescent="0.25">
      <c r="E1932" t="str">
        <f>""</f>
        <v/>
      </c>
      <c r="F1932" t="str">
        <f>""</f>
        <v/>
      </c>
      <c r="H1932" t="str">
        <f t="shared" si="39"/>
        <v>BCBS PAYABLE</v>
      </c>
    </row>
    <row r="1933" spans="5:8" x14ac:dyDescent="0.25">
      <c r="E1933" t="str">
        <f>""</f>
        <v/>
      </c>
      <c r="F1933" t="str">
        <f>""</f>
        <v/>
      </c>
      <c r="H1933" t="str">
        <f t="shared" si="39"/>
        <v>BCBS PAYABLE</v>
      </c>
    </row>
    <row r="1934" spans="5:8" x14ac:dyDescent="0.25">
      <c r="E1934" t="str">
        <f>""</f>
        <v/>
      </c>
      <c r="F1934" t="str">
        <f>""</f>
        <v/>
      </c>
      <c r="H1934" t="str">
        <f t="shared" si="39"/>
        <v>BCBS PAYABLE</v>
      </c>
    </row>
    <row r="1935" spans="5:8" x14ac:dyDescent="0.25">
      <c r="E1935" t="str">
        <f>""</f>
        <v/>
      </c>
      <c r="F1935" t="str">
        <f>""</f>
        <v/>
      </c>
      <c r="H1935" t="str">
        <f t="shared" si="39"/>
        <v>BCBS PAYABLE</v>
      </c>
    </row>
    <row r="1936" spans="5:8" x14ac:dyDescent="0.25">
      <c r="E1936" t="str">
        <f>""</f>
        <v/>
      </c>
      <c r="F1936" t="str">
        <f>""</f>
        <v/>
      </c>
      <c r="H1936" t="str">
        <f t="shared" si="39"/>
        <v>BCBS PAYABLE</v>
      </c>
    </row>
    <row r="1937" spans="5:8" x14ac:dyDescent="0.25">
      <c r="E1937" t="str">
        <f>""</f>
        <v/>
      </c>
      <c r="F1937" t="str">
        <f>""</f>
        <v/>
      </c>
      <c r="H1937" t="str">
        <f t="shared" si="39"/>
        <v>BCBS PAYABLE</v>
      </c>
    </row>
    <row r="1938" spans="5:8" x14ac:dyDescent="0.25">
      <c r="E1938" t="str">
        <f>""</f>
        <v/>
      </c>
      <c r="F1938" t="str">
        <f>""</f>
        <v/>
      </c>
      <c r="H1938" t="str">
        <f t="shared" si="39"/>
        <v>BCBS PAYABLE</v>
      </c>
    </row>
    <row r="1939" spans="5:8" x14ac:dyDescent="0.25">
      <c r="E1939" t="str">
        <f>""</f>
        <v/>
      </c>
      <c r="F1939" t="str">
        <f>""</f>
        <v/>
      </c>
      <c r="H1939" t="str">
        <f t="shared" si="39"/>
        <v>BCBS PAYABLE</v>
      </c>
    </row>
    <row r="1940" spans="5:8" x14ac:dyDescent="0.25">
      <c r="E1940" t="str">
        <f>"2EO202006107242"</f>
        <v>2EO202006107242</v>
      </c>
      <c r="F1940" t="str">
        <f>"BCBS PAYABLE"</f>
        <v>BCBS PAYABLE</v>
      </c>
      <c r="G1940" s="5">
        <v>4314.4399999999996</v>
      </c>
      <c r="H1940" t="str">
        <f t="shared" si="39"/>
        <v>BCBS PAYABLE</v>
      </c>
    </row>
    <row r="1941" spans="5:8" x14ac:dyDescent="0.25">
      <c r="E1941" t="str">
        <f>"2EO202006247386"</f>
        <v>2EO202006247386</v>
      </c>
      <c r="F1941" t="str">
        <f>"BCBS PAYABLE"</f>
        <v>BCBS PAYABLE</v>
      </c>
      <c r="G1941" s="5">
        <v>102219.04</v>
      </c>
      <c r="H1941" t="str">
        <f t="shared" si="39"/>
        <v>BCBS PAYABLE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BCBS PAYABLE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BCBS PAYABLE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BCBS PAYABLE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BCBS PAYABLE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BCBS PAYABLE</v>
      </c>
    </row>
    <row r="1947" spans="5:8" x14ac:dyDescent="0.25">
      <c r="E1947" t="str">
        <f>""</f>
        <v/>
      </c>
      <c r="F1947" t="str">
        <f>""</f>
        <v/>
      </c>
      <c r="H1947" t="str">
        <f t="shared" ref="H1947:H2010" si="40">"BCBS PAYABLE"</f>
        <v>BCBS PAYABLE</v>
      </c>
    </row>
    <row r="1948" spans="5:8" x14ac:dyDescent="0.25">
      <c r="E1948" t="str">
        <f>""</f>
        <v/>
      </c>
      <c r="F1948" t="str">
        <f>""</f>
        <v/>
      </c>
      <c r="H1948" t="str">
        <f t="shared" si="40"/>
        <v>BCBS PAYABLE</v>
      </c>
    </row>
    <row r="1949" spans="5:8" x14ac:dyDescent="0.25">
      <c r="E1949" t="str">
        <f>""</f>
        <v/>
      </c>
      <c r="F1949" t="str">
        <f>""</f>
        <v/>
      </c>
      <c r="H1949" t="str">
        <f t="shared" si="40"/>
        <v>BCBS PAYABLE</v>
      </c>
    </row>
    <row r="1950" spans="5:8" x14ac:dyDescent="0.25">
      <c r="E1950" t="str">
        <f>""</f>
        <v/>
      </c>
      <c r="F1950" t="str">
        <f>""</f>
        <v/>
      </c>
      <c r="H1950" t="str">
        <f t="shared" si="40"/>
        <v>BCBS PAYABLE</v>
      </c>
    </row>
    <row r="1951" spans="5:8" x14ac:dyDescent="0.25">
      <c r="E1951" t="str">
        <f>""</f>
        <v/>
      </c>
      <c r="F1951" t="str">
        <f>""</f>
        <v/>
      </c>
      <c r="H1951" t="str">
        <f t="shared" si="40"/>
        <v>BCBS PAYABLE</v>
      </c>
    </row>
    <row r="1952" spans="5:8" x14ac:dyDescent="0.25">
      <c r="E1952" t="str">
        <f>""</f>
        <v/>
      </c>
      <c r="F1952" t="str">
        <f>""</f>
        <v/>
      </c>
      <c r="H1952" t="str">
        <f t="shared" si="40"/>
        <v>BCBS PAYABLE</v>
      </c>
    </row>
    <row r="1953" spans="5:8" x14ac:dyDescent="0.25">
      <c r="E1953" t="str">
        <f>""</f>
        <v/>
      </c>
      <c r="F1953" t="str">
        <f>""</f>
        <v/>
      </c>
      <c r="H1953" t="str">
        <f t="shared" si="40"/>
        <v>BCBS PAYABLE</v>
      </c>
    </row>
    <row r="1954" spans="5:8" x14ac:dyDescent="0.25">
      <c r="E1954" t="str">
        <f>""</f>
        <v/>
      </c>
      <c r="F1954" t="str">
        <f>""</f>
        <v/>
      </c>
      <c r="H1954" t="str">
        <f t="shared" si="40"/>
        <v>BCBS PAYABLE</v>
      </c>
    </row>
    <row r="1955" spans="5:8" x14ac:dyDescent="0.25">
      <c r="E1955" t="str">
        <f>""</f>
        <v/>
      </c>
      <c r="F1955" t="str">
        <f>""</f>
        <v/>
      </c>
      <c r="H1955" t="str">
        <f t="shared" si="40"/>
        <v>BCBS PAYABLE</v>
      </c>
    </row>
    <row r="1956" spans="5:8" x14ac:dyDescent="0.25">
      <c r="E1956" t="str">
        <f>""</f>
        <v/>
      </c>
      <c r="F1956" t="str">
        <f>""</f>
        <v/>
      </c>
      <c r="H1956" t="str">
        <f t="shared" si="40"/>
        <v>BCBS PAYABLE</v>
      </c>
    </row>
    <row r="1957" spans="5:8" x14ac:dyDescent="0.25">
      <c r="E1957" t="str">
        <f>""</f>
        <v/>
      </c>
      <c r="F1957" t="str">
        <f>""</f>
        <v/>
      </c>
      <c r="H1957" t="str">
        <f t="shared" si="40"/>
        <v>BCBS PAYABLE</v>
      </c>
    </row>
    <row r="1958" spans="5:8" x14ac:dyDescent="0.25">
      <c r="E1958" t="str">
        <f>""</f>
        <v/>
      </c>
      <c r="F1958" t="str">
        <f>""</f>
        <v/>
      </c>
      <c r="H1958" t="str">
        <f t="shared" si="40"/>
        <v>BCBS PAYABLE</v>
      </c>
    </row>
    <row r="1959" spans="5:8" x14ac:dyDescent="0.25">
      <c r="E1959" t="str">
        <f>""</f>
        <v/>
      </c>
      <c r="F1959" t="str">
        <f>""</f>
        <v/>
      </c>
      <c r="H1959" t="str">
        <f t="shared" si="40"/>
        <v>BCBS PAYABLE</v>
      </c>
    </row>
    <row r="1960" spans="5:8" x14ac:dyDescent="0.25">
      <c r="E1960" t="str">
        <f>""</f>
        <v/>
      </c>
      <c r="F1960" t="str">
        <f>""</f>
        <v/>
      </c>
      <c r="H1960" t="str">
        <f t="shared" si="40"/>
        <v>BCBS PAYABLE</v>
      </c>
    </row>
    <row r="1961" spans="5:8" x14ac:dyDescent="0.25">
      <c r="E1961" t="str">
        <f>""</f>
        <v/>
      </c>
      <c r="F1961" t="str">
        <f>""</f>
        <v/>
      </c>
      <c r="H1961" t="str">
        <f t="shared" si="40"/>
        <v>BCBS PAYABLE</v>
      </c>
    </row>
    <row r="1962" spans="5:8" x14ac:dyDescent="0.25">
      <c r="E1962" t="str">
        <f>""</f>
        <v/>
      </c>
      <c r="F1962" t="str">
        <f>""</f>
        <v/>
      </c>
      <c r="H1962" t="str">
        <f t="shared" si="40"/>
        <v>BCBS PAYABLE</v>
      </c>
    </row>
    <row r="1963" spans="5:8" x14ac:dyDescent="0.25">
      <c r="E1963" t="str">
        <f>""</f>
        <v/>
      </c>
      <c r="F1963" t="str">
        <f>""</f>
        <v/>
      </c>
      <c r="H1963" t="str">
        <f t="shared" si="40"/>
        <v>BCBS PAYABLE</v>
      </c>
    </row>
    <row r="1964" spans="5:8" x14ac:dyDescent="0.25">
      <c r="E1964" t="str">
        <f>""</f>
        <v/>
      </c>
      <c r="F1964" t="str">
        <f>""</f>
        <v/>
      </c>
      <c r="H1964" t="str">
        <f t="shared" si="40"/>
        <v>BCBS PAYABLE</v>
      </c>
    </row>
    <row r="1965" spans="5:8" x14ac:dyDescent="0.25">
      <c r="E1965" t="str">
        <f>""</f>
        <v/>
      </c>
      <c r="F1965" t="str">
        <f>""</f>
        <v/>
      </c>
      <c r="H1965" t="str">
        <f t="shared" si="40"/>
        <v>BCBS PAYABLE</v>
      </c>
    </row>
    <row r="1966" spans="5:8" x14ac:dyDescent="0.25">
      <c r="E1966" t="str">
        <f>""</f>
        <v/>
      </c>
      <c r="F1966" t="str">
        <f>""</f>
        <v/>
      </c>
      <c r="H1966" t="str">
        <f t="shared" si="40"/>
        <v>BCBS PAYABLE</v>
      </c>
    </row>
    <row r="1967" spans="5:8" x14ac:dyDescent="0.25">
      <c r="E1967" t="str">
        <f>""</f>
        <v/>
      </c>
      <c r="F1967" t="str">
        <f>""</f>
        <v/>
      </c>
      <c r="H1967" t="str">
        <f t="shared" si="40"/>
        <v>BCBS PAYABLE</v>
      </c>
    </row>
    <row r="1968" spans="5:8" x14ac:dyDescent="0.25">
      <c r="E1968" t="str">
        <f>""</f>
        <v/>
      </c>
      <c r="F1968" t="str">
        <f>""</f>
        <v/>
      </c>
      <c r="H1968" t="str">
        <f t="shared" si="40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40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40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40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40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40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40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si="40"/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40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40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40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40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40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40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40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40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40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40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40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40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40"/>
        <v>BCBS PAYABLE</v>
      </c>
    </row>
    <row r="1989" spans="5:8" x14ac:dyDescent="0.25">
      <c r="E1989" t="str">
        <f>"2EO202006247387"</f>
        <v>2EO202006247387</v>
      </c>
      <c r="F1989" t="str">
        <f>"BCBS PAYABLE"</f>
        <v>BCBS PAYABLE</v>
      </c>
      <c r="G1989" s="5">
        <v>4314.4399999999996</v>
      </c>
      <c r="H1989" t="str">
        <f t="shared" si="40"/>
        <v>BCBS PAYABLE</v>
      </c>
    </row>
    <row r="1990" spans="5:8" x14ac:dyDescent="0.25">
      <c r="E1990" t="str">
        <f>"2ES202006097241"</f>
        <v>2ES202006097241</v>
      </c>
      <c r="F1990" t="str">
        <f>"BCBS PAYABLE"</f>
        <v>BCBS PAYABLE</v>
      </c>
      <c r="G1990" s="5">
        <v>14250.6</v>
      </c>
      <c r="H1990" t="str">
        <f t="shared" si="40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si="40"/>
        <v>BCBS PAYABLE</v>
      </c>
    </row>
    <row r="1992" spans="5:8" x14ac:dyDescent="0.25">
      <c r="E1992" t="str">
        <f>""</f>
        <v/>
      </c>
      <c r="F1992" t="str">
        <f>""</f>
        <v/>
      </c>
      <c r="H1992" t="str">
        <f t="shared" si="40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0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si="40"/>
        <v>BCBS PAYABLE</v>
      </c>
    </row>
    <row r="1995" spans="5:8" x14ac:dyDescent="0.25">
      <c r="E1995" t="str">
        <f>""</f>
        <v/>
      </c>
      <c r="F1995" t="str">
        <f>""</f>
        <v/>
      </c>
      <c r="H1995" t="str">
        <f t="shared" si="40"/>
        <v>BCBS PAYABLE</v>
      </c>
    </row>
    <row r="1996" spans="5:8" x14ac:dyDescent="0.25">
      <c r="E1996" t="str">
        <f>""</f>
        <v/>
      </c>
      <c r="F1996" t="str">
        <f>""</f>
        <v/>
      </c>
      <c r="H1996" t="str">
        <f t="shared" si="40"/>
        <v>BCBS PAYABLE</v>
      </c>
    </row>
    <row r="1997" spans="5:8" x14ac:dyDescent="0.25">
      <c r="E1997" t="str">
        <f>""</f>
        <v/>
      </c>
      <c r="F1997" t="str">
        <f>""</f>
        <v/>
      </c>
      <c r="H1997" t="str">
        <f t="shared" si="40"/>
        <v>BCBS PAYABLE</v>
      </c>
    </row>
    <row r="1998" spans="5:8" x14ac:dyDescent="0.25">
      <c r="E1998" t="str">
        <f>""</f>
        <v/>
      </c>
      <c r="F1998" t="str">
        <f>""</f>
        <v/>
      </c>
      <c r="H1998" t="str">
        <f t="shared" si="40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0"/>
        <v>BCBS PAYABLE</v>
      </c>
    </row>
    <row r="2000" spans="5:8" x14ac:dyDescent="0.25">
      <c r="E2000" t="str">
        <f>""</f>
        <v/>
      </c>
      <c r="F2000" t="str">
        <f>""</f>
        <v/>
      </c>
      <c r="H2000" t="str">
        <f t="shared" si="40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0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0"/>
        <v>BCBS PAYABLE</v>
      </c>
    </row>
    <row r="2003" spans="5:8" x14ac:dyDescent="0.25">
      <c r="E2003" t="str">
        <f>""</f>
        <v/>
      </c>
      <c r="F2003" t="str">
        <f>""</f>
        <v/>
      </c>
      <c r="H2003" t="str">
        <f t="shared" si="40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0"/>
        <v>BCBS PAYABLE</v>
      </c>
    </row>
    <row r="2005" spans="5:8" x14ac:dyDescent="0.25">
      <c r="E2005" t="str">
        <f>"2ES202006247386"</f>
        <v>2ES202006247386</v>
      </c>
      <c r="F2005" t="str">
        <f>"BCBS PAYABLE"</f>
        <v>BCBS PAYABLE</v>
      </c>
      <c r="G2005" s="5">
        <v>14250.6</v>
      </c>
      <c r="H2005" t="str">
        <f t="shared" si="40"/>
        <v>BCBS PAYABLE</v>
      </c>
    </row>
    <row r="2006" spans="5:8" x14ac:dyDescent="0.25">
      <c r="E2006" t="str">
        <f>""</f>
        <v/>
      </c>
      <c r="F2006" t="str">
        <f>""</f>
        <v/>
      </c>
      <c r="H2006" t="str">
        <f t="shared" si="40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0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0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0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0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ref="H2011:H2019" si="41">"BCBS PAYABLE"</f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1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1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1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1"/>
        <v>BCBS PAYABLE</v>
      </c>
    </row>
    <row r="2016" spans="5:8" x14ac:dyDescent="0.25">
      <c r="E2016" t="str">
        <f>""</f>
        <v/>
      </c>
      <c r="F2016" t="str">
        <f>""</f>
        <v/>
      </c>
      <c r="H2016" t="str">
        <f t="shared" si="41"/>
        <v>BCBS PAYABLE</v>
      </c>
    </row>
    <row r="2017" spans="1:8" x14ac:dyDescent="0.25">
      <c r="E2017" t="str">
        <f>""</f>
        <v/>
      </c>
      <c r="F2017" t="str">
        <f>""</f>
        <v/>
      </c>
      <c r="H2017" t="str">
        <f t="shared" si="41"/>
        <v>BCBS PAYABLE</v>
      </c>
    </row>
    <row r="2018" spans="1:8" x14ac:dyDescent="0.25">
      <c r="E2018" t="str">
        <f>""</f>
        <v/>
      </c>
      <c r="F2018" t="str">
        <f>""</f>
        <v/>
      </c>
      <c r="H2018" t="str">
        <f t="shared" si="41"/>
        <v>BCBS PAYABLE</v>
      </c>
    </row>
    <row r="2019" spans="1:8" x14ac:dyDescent="0.25">
      <c r="E2019" t="str">
        <f>""</f>
        <v/>
      </c>
      <c r="F2019" t="str">
        <f>""</f>
        <v/>
      </c>
      <c r="H2019" t="str">
        <f t="shared" si="41"/>
        <v>BCBS PAYABLE</v>
      </c>
    </row>
    <row r="2020" spans="1:8" x14ac:dyDescent="0.25">
      <c r="A2020" t="s">
        <v>334</v>
      </c>
      <c r="B2020">
        <v>553</v>
      </c>
      <c r="C2020" s="5">
        <v>10822</v>
      </c>
      <c r="D2020" s="1">
        <v>43994</v>
      </c>
      <c r="E2020" t="str">
        <f>"FSA202006097241"</f>
        <v>FSA202006097241</v>
      </c>
      <c r="F2020" t="str">
        <f>"TASC FSA"</f>
        <v>TASC FSA</v>
      </c>
      <c r="G2020" s="5">
        <v>7758.81</v>
      </c>
      <c r="H2020" t="str">
        <f>"TASC FSA"</f>
        <v>TASC FSA</v>
      </c>
    </row>
    <row r="2021" spans="1:8" x14ac:dyDescent="0.25">
      <c r="E2021" t="str">
        <f>"FSA202006107242"</f>
        <v>FSA202006107242</v>
      </c>
      <c r="F2021" t="str">
        <f>"TASC FSA"</f>
        <v>TASC FSA</v>
      </c>
      <c r="G2021" s="5">
        <v>445.4</v>
      </c>
      <c r="H2021" t="str">
        <f>"TASC FSA"</f>
        <v>TASC FSA</v>
      </c>
    </row>
    <row r="2022" spans="1:8" x14ac:dyDescent="0.25">
      <c r="E2022" t="str">
        <f>"FSC202006097241"</f>
        <v>FSC202006097241</v>
      </c>
      <c r="F2022" t="str">
        <f>"TASC DEPENDENT CARE"</f>
        <v>TASC DEPENDENT CARE</v>
      </c>
      <c r="G2022" s="5">
        <v>345.83</v>
      </c>
      <c r="H2022" t="str">
        <f>"TASC DEPENDENT CARE"</f>
        <v>TASC DEPENDENT CARE</v>
      </c>
    </row>
    <row r="2023" spans="1:8" x14ac:dyDescent="0.25">
      <c r="E2023" t="str">
        <f>"FSF202006097241"</f>
        <v>FSF202006097241</v>
      </c>
      <c r="F2023" t="str">
        <f>"TASC - FSA  FEES"</f>
        <v>TASC - FSA  FEES</v>
      </c>
      <c r="G2023" s="5">
        <v>253.8</v>
      </c>
      <c r="H2023" t="str">
        <f t="shared" ref="H2023:H2064" si="42">"TASC - FSA  FEES"</f>
        <v>TASC - FSA  FEES</v>
      </c>
    </row>
    <row r="2024" spans="1:8" x14ac:dyDescent="0.25">
      <c r="E2024" t="str">
        <f>""</f>
        <v/>
      </c>
      <c r="F2024" t="str">
        <f>""</f>
        <v/>
      </c>
      <c r="H2024" t="str">
        <f t="shared" si="42"/>
        <v>TASC - FSA  FEES</v>
      </c>
    </row>
    <row r="2025" spans="1:8" x14ac:dyDescent="0.25">
      <c r="E2025" t="str">
        <f>""</f>
        <v/>
      </c>
      <c r="F2025" t="str">
        <f>""</f>
        <v/>
      </c>
      <c r="H2025" t="str">
        <f t="shared" si="42"/>
        <v>TASC - FSA  FEES</v>
      </c>
    </row>
    <row r="2026" spans="1:8" x14ac:dyDescent="0.25">
      <c r="E2026" t="str">
        <f>""</f>
        <v/>
      </c>
      <c r="F2026" t="str">
        <f>""</f>
        <v/>
      </c>
      <c r="H2026" t="str">
        <f t="shared" si="42"/>
        <v>TASC - FSA  FEES</v>
      </c>
    </row>
    <row r="2027" spans="1:8" x14ac:dyDescent="0.25">
      <c r="E2027" t="str">
        <f>""</f>
        <v/>
      </c>
      <c r="F2027" t="str">
        <f>""</f>
        <v/>
      </c>
      <c r="H2027" t="str">
        <f t="shared" si="42"/>
        <v>TASC - FSA  FEES</v>
      </c>
    </row>
    <row r="2028" spans="1:8" x14ac:dyDescent="0.25">
      <c r="E2028" t="str">
        <f>""</f>
        <v/>
      </c>
      <c r="F2028" t="str">
        <f>""</f>
        <v/>
      </c>
      <c r="H2028" t="str">
        <f t="shared" si="42"/>
        <v>TASC - FSA  FEES</v>
      </c>
    </row>
    <row r="2029" spans="1:8" x14ac:dyDescent="0.25">
      <c r="E2029" t="str">
        <f>""</f>
        <v/>
      </c>
      <c r="F2029" t="str">
        <f>""</f>
        <v/>
      </c>
      <c r="H2029" t="str">
        <f t="shared" si="42"/>
        <v>TASC - FSA  FEES</v>
      </c>
    </row>
    <row r="2030" spans="1:8" x14ac:dyDescent="0.25">
      <c r="E2030" t="str">
        <f>""</f>
        <v/>
      </c>
      <c r="F2030" t="str">
        <f>""</f>
        <v/>
      </c>
      <c r="H2030" t="str">
        <f t="shared" si="42"/>
        <v>TASC - FSA  FEES</v>
      </c>
    </row>
    <row r="2031" spans="1:8" x14ac:dyDescent="0.25">
      <c r="E2031" t="str">
        <f>""</f>
        <v/>
      </c>
      <c r="F2031" t="str">
        <f>""</f>
        <v/>
      </c>
      <c r="H2031" t="str">
        <f t="shared" si="42"/>
        <v>TASC - FSA  FEES</v>
      </c>
    </row>
    <row r="2032" spans="1:8" x14ac:dyDescent="0.25">
      <c r="E2032" t="str">
        <f>""</f>
        <v/>
      </c>
      <c r="F2032" t="str">
        <f>""</f>
        <v/>
      </c>
      <c r="H2032" t="str">
        <f t="shared" si="42"/>
        <v>TASC - FSA  FEES</v>
      </c>
    </row>
    <row r="2033" spans="5:8" x14ac:dyDescent="0.25">
      <c r="E2033" t="str">
        <f>""</f>
        <v/>
      </c>
      <c r="F2033" t="str">
        <f>""</f>
        <v/>
      </c>
      <c r="H2033" t="str">
        <f t="shared" si="42"/>
        <v>TASC - FSA  FEES</v>
      </c>
    </row>
    <row r="2034" spans="5:8" x14ac:dyDescent="0.25">
      <c r="E2034" t="str">
        <f>""</f>
        <v/>
      </c>
      <c r="F2034" t="str">
        <f>""</f>
        <v/>
      </c>
      <c r="H2034" t="str">
        <f t="shared" si="42"/>
        <v>TASC - FSA  FEES</v>
      </c>
    </row>
    <row r="2035" spans="5:8" x14ac:dyDescent="0.25">
      <c r="E2035" t="str">
        <f>""</f>
        <v/>
      </c>
      <c r="F2035" t="str">
        <f>""</f>
        <v/>
      </c>
      <c r="H2035" t="str">
        <f t="shared" si="42"/>
        <v>TASC - FSA  FEES</v>
      </c>
    </row>
    <row r="2036" spans="5:8" x14ac:dyDescent="0.25">
      <c r="E2036" t="str">
        <f>""</f>
        <v/>
      </c>
      <c r="F2036" t="str">
        <f>""</f>
        <v/>
      </c>
      <c r="H2036" t="str">
        <f t="shared" si="42"/>
        <v>TASC - FSA  FEES</v>
      </c>
    </row>
    <row r="2037" spans="5:8" x14ac:dyDescent="0.25">
      <c r="E2037" t="str">
        <f>""</f>
        <v/>
      </c>
      <c r="F2037" t="str">
        <f>""</f>
        <v/>
      </c>
      <c r="H2037" t="str">
        <f t="shared" si="42"/>
        <v>TASC - FSA  FEES</v>
      </c>
    </row>
    <row r="2038" spans="5:8" x14ac:dyDescent="0.25">
      <c r="E2038" t="str">
        <f>""</f>
        <v/>
      </c>
      <c r="F2038" t="str">
        <f>""</f>
        <v/>
      </c>
      <c r="H2038" t="str">
        <f t="shared" si="42"/>
        <v>TASC - FSA  FEES</v>
      </c>
    </row>
    <row r="2039" spans="5:8" x14ac:dyDescent="0.25">
      <c r="E2039" t="str">
        <f>""</f>
        <v/>
      </c>
      <c r="F2039" t="str">
        <f>""</f>
        <v/>
      </c>
      <c r="H2039" t="str">
        <f t="shared" si="42"/>
        <v>TASC - FSA  FEES</v>
      </c>
    </row>
    <row r="2040" spans="5:8" x14ac:dyDescent="0.25">
      <c r="E2040" t="str">
        <f>""</f>
        <v/>
      </c>
      <c r="F2040" t="str">
        <f>""</f>
        <v/>
      </c>
      <c r="H2040" t="str">
        <f t="shared" si="42"/>
        <v>TASC - FSA  FEES</v>
      </c>
    </row>
    <row r="2041" spans="5:8" x14ac:dyDescent="0.25">
      <c r="E2041" t="str">
        <f>""</f>
        <v/>
      </c>
      <c r="F2041" t="str">
        <f>""</f>
        <v/>
      </c>
      <c r="H2041" t="str">
        <f t="shared" si="42"/>
        <v>TASC - FSA  FEES</v>
      </c>
    </row>
    <row r="2042" spans="5:8" x14ac:dyDescent="0.25">
      <c r="E2042" t="str">
        <f>""</f>
        <v/>
      </c>
      <c r="F2042" t="str">
        <f>""</f>
        <v/>
      </c>
      <c r="H2042" t="str">
        <f t="shared" si="42"/>
        <v>TASC - FSA  FEES</v>
      </c>
    </row>
    <row r="2043" spans="5:8" x14ac:dyDescent="0.25">
      <c r="E2043" t="str">
        <f>""</f>
        <v/>
      </c>
      <c r="F2043" t="str">
        <f>""</f>
        <v/>
      </c>
      <c r="H2043" t="str">
        <f t="shared" si="42"/>
        <v>TASC - FSA  FEES</v>
      </c>
    </row>
    <row r="2044" spans="5:8" x14ac:dyDescent="0.25">
      <c r="E2044" t="str">
        <f>""</f>
        <v/>
      </c>
      <c r="F2044" t="str">
        <f>""</f>
        <v/>
      </c>
      <c r="H2044" t="str">
        <f t="shared" si="42"/>
        <v>TASC - FSA  FEES</v>
      </c>
    </row>
    <row r="2045" spans="5:8" x14ac:dyDescent="0.25">
      <c r="E2045" t="str">
        <f>""</f>
        <v/>
      </c>
      <c r="F2045" t="str">
        <f>""</f>
        <v/>
      </c>
      <c r="H2045" t="str">
        <f t="shared" si="42"/>
        <v>TASC - FSA  FEES</v>
      </c>
    </row>
    <row r="2046" spans="5:8" x14ac:dyDescent="0.25">
      <c r="E2046" t="str">
        <f>""</f>
        <v/>
      </c>
      <c r="F2046" t="str">
        <f>""</f>
        <v/>
      </c>
      <c r="H2046" t="str">
        <f t="shared" si="42"/>
        <v>TASC - FSA  FEES</v>
      </c>
    </row>
    <row r="2047" spans="5:8" x14ac:dyDescent="0.25">
      <c r="E2047" t="str">
        <f>""</f>
        <v/>
      </c>
      <c r="F2047" t="str">
        <f>""</f>
        <v/>
      </c>
      <c r="H2047" t="str">
        <f t="shared" si="42"/>
        <v>TASC - FSA  FEES</v>
      </c>
    </row>
    <row r="2048" spans="5:8" x14ac:dyDescent="0.25">
      <c r="E2048" t="str">
        <f>""</f>
        <v/>
      </c>
      <c r="F2048" t="str">
        <f>""</f>
        <v/>
      </c>
      <c r="H2048" t="str">
        <f t="shared" si="42"/>
        <v>TASC - FSA  FEES</v>
      </c>
    </row>
    <row r="2049" spans="5:8" x14ac:dyDescent="0.25">
      <c r="E2049" t="str">
        <f>""</f>
        <v/>
      </c>
      <c r="F2049" t="str">
        <f>""</f>
        <v/>
      </c>
      <c r="H2049" t="str">
        <f t="shared" si="42"/>
        <v>TASC - FSA  FEES</v>
      </c>
    </row>
    <row r="2050" spans="5:8" x14ac:dyDescent="0.25">
      <c r="E2050" t="str">
        <f>""</f>
        <v/>
      </c>
      <c r="F2050" t="str">
        <f>""</f>
        <v/>
      </c>
      <c r="H2050" t="str">
        <f t="shared" si="42"/>
        <v>TASC - FSA  FEES</v>
      </c>
    </row>
    <row r="2051" spans="5:8" x14ac:dyDescent="0.25">
      <c r="E2051" t="str">
        <f>""</f>
        <v/>
      </c>
      <c r="F2051" t="str">
        <f>""</f>
        <v/>
      </c>
      <c r="H2051" t="str">
        <f t="shared" si="42"/>
        <v>TASC - FSA  FEES</v>
      </c>
    </row>
    <row r="2052" spans="5:8" x14ac:dyDescent="0.25">
      <c r="E2052" t="str">
        <f>""</f>
        <v/>
      </c>
      <c r="F2052" t="str">
        <f>""</f>
        <v/>
      </c>
      <c r="H2052" t="str">
        <f t="shared" si="42"/>
        <v>TASC - FSA  FEES</v>
      </c>
    </row>
    <row r="2053" spans="5:8" x14ac:dyDescent="0.25">
      <c r="E2053" t="str">
        <f>""</f>
        <v/>
      </c>
      <c r="F2053" t="str">
        <f>""</f>
        <v/>
      </c>
      <c r="H2053" t="str">
        <f t="shared" si="42"/>
        <v>TASC - FSA  FEES</v>
      </c>
    </row>
    <row r="2054" spans="5:8" x14ac:dyDescent="0.25">
      <c r="E2054" t="str">
        <f>""</f>
        <v/>
      </c>
      <c r="F2054" t="str">
        <f>""</f>
        <v/>
      </c>
      <c r="H2054" t="str">
        <f t="shared" si="42"/>
        <v>TASC - FSA  FEES</v>
      </c>
    </row>
    <row r="2055" spans="5:8" x14ac:dyDescent="0.25">
      <c r="E2055" t="str">
        <f>""</f>
        <v/>
      </c>
      <c r="F2055" t="str">
        <f>""</f>
        <v/>
      </c>
      <c r="H2055" t="str">
        <f t="shared" si="42"/>
        <v>TASC - FSA  FEES</v>
      </c>
    </row>
    <row r="2056" spans="5:8" x14ac:dyDescent="0.25">
      <c r="E2056" t="str">
        <f>""</f>
        <v/>
      </c>
      <c r="F2056" t="str">
        <f>""</f>
        <v/>
      </c>
      <c r="H2056" t="str">
        <f t="shared" si="42"/>
        <v>TASC - FSA  FEES</v>
      </c>
    </row>
    <row r="2057" spans="5:8" x14ac:dyDescent="0.25">
      <c r="E2057" t="str">
        <f>""</f>
        <v/>
      </c>
      <c r="F2057" t="str">
        <f>""</f>
        <v/>
      </c>
      <c r="H2057" t="str">
        <f t="shared" si="42"/>
        <v>TASC - FSA  FEES</v>
      </c>
    </row>
    <row r="2058" spans="5:8" x14ac:dyDescent="0.25">
      <c r="E2058" t="str">
        <f>""</f>
        <v/>
      </c>
      <c r="F2058" t="str">
        <f>""</f>
        <v/>
      </c>
      <c r="H2058" t="str">
        <f t="shared" si="42"/>
        <v>TASC - FSA  FEES</v>
      </c>
    </row>
    <row r="2059" spans="5:8" x14ac:dyDescent="0.25">
      <c r="E2059" t="str">
        <f>""</f>
        <v/>
      </c>
      <c r="F2059" t="str">
        <f>""</f>
        <v/>
      </c>
      <c r="H2059" t="str">
        <f t="shared" si="42"/>
        <v>TASC - FSA  FEES</v>
      </c>
    </row>
    <row r="2060" spans="5:8" x14ac:dyDescent="0.25">
      <c r="E2060" t="str">
        <f>""</f>
        <v/>
      </c>
      <c r="F2060" t="str">
        <f>""</f>
        <v/>
      </c>
      <c r="H2060" t="str">
        <f t="shared" si="42"/>
        <v>TASC - FSA  FEES</v>
      </c>
    </row>
    <row r="2061" spans="5:8" x14ac:dyDescent="0.25">
      <c r="E2061" t="str">
        <f>""</f>
        <v/>
      </c>
      <c r="F2061" t="str">
        <f>""</f>
        <v/>
      </c>
      <c r="H2061" t="str">
        <f t="shared" si="42"/>
        <v>TASC - FSA  FEES</v>
      </c>
    </row>
    <row r="2062" spans="5:8" x14ac:dyDescent="0.25">
      <c r="E2062" t="str">
        <f>""</f>
        <v/>
      </c>
      <c r="F2062" t="str">
        <f>""</f>
        <v/>
      </c>
      <c r="H2062" t="str">
        <f t="shared" si="42"/>
        <v>TASC - FSA  FEES</v>
      </c>
    </row>
    <row r="2063" spans="5:8" x14ac:dyDescent="0.25">
      <c r="E2063" t="str">
        <f>""</f>
        <v/>
      </c>
      <c r="F2063" t="str">
        <f>""</f>
        <v/>
      </c>
      <c r="H2063" t="str">
        <f t="shared" si="42"/>
        <v>TASC - FSA  FEES</v>
      </c>
    </row>
    <row r="2064" spans="5:8" x14ac:dyDescent="0.25">
      <c r="E2064" t="str">
        <f>"FSF202006107242"</f>
        <v>FSF202006107242</v>
      </c>
      <c r="F2064" t="str">
        <f>"TASC - FSA  FEES"</f>
        <v>TASC - FSA  FEES</v>
      </c>
      <c r="G2064" s="5">
        <v>12.6</v>
      </c>
      <c r="H2064" t="str">
        <f t="shared" si="42"/>
        <v>TASC - FSA  FEES</v>
      </c>
    </row>
    <row r="2065" spans="5:8" x14ac:dyDescent="0.25">
      <c r="E2065" t="str">
        <f>"HRA202006097241"</f>
        <v>HRA202006097241</v>
      </c>
      <c r="F2065" t="str">
        <f>"TASC HRA"</f>
        <v>TASC HRA</v>
      </c>
      <c r="G2065" s="5">
        <v>1166.76</v>
      </c>
      <c r="H2065" t="str">
        <f t="shared" ref="H2065:H2070" si="43">"TASC HRA"</f>
        <v>TASC HRA</v>
      </c>
    </row>
    <row r="2066" spans="5:8" x14ac:dyDescent="0.25">
      <c r="E2066" t="str">
        <f>""</f>
        <v/>
      </c>
      <c r="F2066" t="str">
        <f>""</f>
        <v/>
      </c>
      <c r="H2066" t="str">
        <f t="shared" si="43"/>
        <v>TASC HRA</v>
      </c>
    </row>
    <row r="2067" spans="5:8" x14ac:dyDescent="0.25">
      <c r="E2067" t="str">
        <f>""</f>
        <v/>
      </c>
      <c r="F2067" t="str">
        <f>""</f>
        <v/>
      </c>
      <c r="H2067" t="str">
        <f t="shared" si="43"/>
        <v>TASC HRA</v>
      </c>
    </row>
    <row r="2068" spans="5:8" x14ac:dyDescent="0.25">
      <c r="E2068" t="str">
        <f>""</f>
        <v/>
      </c>
      <c r="F2068" t="str">
        <f>""</f>
        <v/>
      </c>
      <c r="H2068" t="str">
        <f t="shared" si="43"/>
        <v>TASC HRA</v>
      </c>
    </row>
    <row r="2069" spans="5:8" x14ac:dyDescent="0.25">
      <c r="E2069" t="str">
        <f>""</f>
        <v/>
      </c>
      <c r="F2069" t="str">
        <f>""</f>
        <v/>
      </c>
      <c r="H2069" t="str">
        <f t="shared" si="43"/>
        <v>TASC HRA</v>
      </c>
    </row>
    <row r="2070" spans="5:8" x14ac:dyDescent="0.25">
      <c r="E2070" t="str">
        <f>""</f>
        <v/>
      </c>
      <c r="F2070" t="str">
        <f>""</f>
        <v/>
      </c>
      <c r="H2070" t="str">
        <f t="shared" si="43"/>
        <v>TASC HRA</v>
      </c>
    </row>
    <row r="2071" spans="5:8" x14ac:dyDescent="0.25">
      <c r="E2071" t="str">
        <f>"HRF202006097241"</f>
        <v>HRF202006097241</v>
      </c>
      <c r="F2071" t="str">
        <f>"TASC - HRA FEES"</f>
        <v>TASC - HRA FEES</v>
      </c>
      <c r="G2071" s="5">
        <v>808.2</v>
      </c>
      <c r="H2071" t="str">
        <f t="shared" ref="H2071:H2102" si="44">"TASC - HRA FEES"</f>
        <v>TASC - HRA FEES</v>
      </c>
    </row>
    <row r="2072" spans="5:8" x14ac:dyDescent="0.25">
      <c r="E2072" t="str">
        <f>""</f>
        <v/>
      </c>
      <c r="F2072" t="str">
        <f>""</f>
        <v/>
      </c>
      <c r="H2072" t="str">
        <f t="shared" si="44"/>
        <v>TASC - HRA FEES</v>
      </c>
    </row>
    <row r="2073" spans="5:8" x14ac:dyDescent="0.25">
      <c r="E2073" t="str">
        <f>""</f>
        <v/>
      </c>
      <c r="F2073" t="str">
        <f>""</f>
        <v/>
      </c>
      <c r="H2073" t="str">
        <f t="shared" si="44"/>
        <v>TASC - HRA FEES</v>
      </c>
    </row>
    <row r="2074" spans="5:8" x14ac:dyDescent="0.25">
      <c r="E2074" t="str">
        <f>""</f>
        <v/>
      </c>
      <c r="F2074" t="str">
        <f>""</f>
        <v/>
      </c>
      <c r="H2074" t="str">
        <f t="shared" si="44"/>
        <v>TASC - HRA FEES</v>
      </c>
    </row>
    <row r="2075" spans="5:8" x14ac:dyDescent="0.25">
      <c r="E2075" t="str">
        <f>""</f>
        <v/>
      </c>
      <c r="F2075" t="str">
        <f>""</f>
        <v/>
      </c>
      <c r="H2075" t="str">
        <f t="shared" si="44"/>
        <v>TASC - HRA FEES</v>
      </c>
    </row>
    <row r="2076" spans="5:8" x14ac:dyDescent="0.25">
      <c r="E2076" t="str">
        <f>""</f>
        <v/>
      </c>
      <c r="F2076" t="str">
        <f>""</f>
        <v/>
      </c>
      <c r="H2076" t="str">
        <f t="shared" si="44"/>
        <v>TASC - HRA FEES</v>
      </c>
    </row>
    <row r="2077" spans="5:8" x14ac:dyDescent="0.25">
      <c r="E2077" t="str">
        <f>""</f>
        <v/>
      </c>
      <c r="F2077" t="str">
        <f>""</f>
        <v/>
      </c>
      <c r="H2077" t="str">
        <f t="shared" si="44"/>
        <v>TASC - HRA FEES</v>
      </c>
    </row>
    <row r="2078" spans="5:8" x14ac:dyDescent="0.25">
      <c r="E2078" t="str">
        <f>""</f>
        <v/>
      </c>
      <c r="F2078" t="str">
        <f>""</f>
        <v/>
      </c>
      <c r="H2078" t="str">
        <f t="shared" si="44"/>
        <v>TASC - HRA FEES</v>
      </c>
    </row>
    <row r="2079" spans="5:8" x14ac:dyDescent="0.25">
      <c r="E2079" t="str">
        <f>""</f>
        <v/>
      </c>
      <c r="F2079" t="str">
        <f>""</f>
        <v/>
      </c>
      <c r="H2079" t="str">
        <f t="shared" si="44"/>
        <v>TASC - HRA FEES</v>
      </c>
    </row>
    <row r="2080" spans="5:8" x14ac:dyDescent="0.25">
      <c r="E2080" t="str">
        <f>""</f>
        <v/>
      </c>
      <c r="F2080" t="str">
        <f>""</f>
        <v/>
      </c>
      <c r="H2080" t="str">
        <f t="shared" si="44"/>
        <v>TASC - HRA FEES</v>
      </c>
    </row>
    <row r="2081" spans="5:8" x14ac:dyDescent="0.25">
      <c r="E2081" t="str">
        <f>""</f>
        <v/>
      </c>
      <c r="F2081" t="str">
        <f>""</f>
        <v/>
      </c>
      <c r="H2081" t="str">
        <f t="shared" si="44"/>
        <v>TASC - HRA FEES</v>
      </c>
    </row>
    <row r="2082" spans="5:8" x14ac:dyDescent="0.25">
      <c r="E2082" t="str">
        <f>""</f>
        <v/>
      </c>
      <c r="F2082" t="str">
        <f>""</f>
        <v/>
      </c>
      <c r="H2082" t="str">
        <f t="shared" si="44"/>
        <v>TASC - HRA FEES</v>
      </c>
    </row>
    <row r="2083" spans="5:8" x14ac:dyDescent="0.25">
      <c r="E2083" t="str">
        <f>""</f>
        <v/>
      </c>
      <c r="F2083" t="str">
        <f>""</f>
        <v/>
      </c>
      <c r="H2083" t="str">
        <f t="shared" si="44"/>
        <v>TASC - HRA FEES</v>
      </c>
    </row>
    <row r="2084" spans="5:8" x14ac:dyDescent="0.25">
      <c r="E2084" t="str">
        <f>""</f>
        <v/>
      </c>
      <c r="F2084" t="str">
        <f>""</f>
        <v/>
      </c>
      <c r="H2084" t="str">
        <f t="shared" si="44"/>
        <v>TASC - HRA FEES</v>
      </c>
    </row>
    <row r="2085" spans="5:8" x14ac:dyDescent="0.25">
      <c r="E2085" t="str">
        <f>""</f>
        <v/>
      </c>
      <c r="F2085" t="str">
        <f>""</f>
        <v/>
      </c>
      <c r="H2085" t="str">
        <f t="shared" si="44"/>
        <v>TASC - HRA FEES</v>
      </c>
    </row>
    <row r="2086" spans="5:8" x14ac:dyDescent="0.25">
      <c r="E2086" t="str">
        <f>""</f>
        <v/>
      </c>
      <c r="F2086" t="str">
        <f>""</f>
        <v/>
      </c>
      <c r="H2086" t="str">
        <f t="shared" si="44"/>
        <v>TASC - HRA FEES</v>
      </c>
    </row>
    <row r="2087" spans="5:8" x14ac:dyDescent="0.25">
      <c r="E2087" t="str">
        <f>""</f>
        <v/>
      </c>
      <c r="F2087" t="str">
        <f>""</f>
        <v/>
      </c>
      <c r="H2087" t="str">
        <f t="shared" si="44"/>
        <v>TASC - HRA FEES</v>
      </c>
    </row>
    <row r="2088" spans="5:8" x14ac:dyDescent="0.25">
      <c r="E2088" t="str">
        <f>""</f>
        <v/>
      </c>
      <c r="F2088" t="str">
        <f>""</f>
        <v/>
      </c>
      <c r="H2088" t="str">
        <f t="shared" si="44"/>
        <v>TASC - HRA FEES</v>
      </c>
    </row>
    <row r="2089" spans="5:8" x14ac:dyDescent="0.25">
      <c r="E2089" t="str">
        <f>""</f>
        <v/>
      </c>
      <c r="F2089" t="str">
        <f>""</f>
        <v/>
      </c>
      <c r="H2089" t="str">
        <f t="shared" si="44"/>
        <v>TASC - HRA FEES</v>
      </c>
    </row>
    <row r="2090" spans="5:8" x14ac:dyDescent="0.25">
      <c r="E2090" t="str">
        <f>""</f>
        <v/>
      </c>
      <c r="F2090" t="str">
        <f>""</f>
        <v/>
      </c>
      <c r="H2090" t="str">
        <f t="shared" si="44"/>
        <v>TASC - HRA FEES</v>
      </c>
    </row>
    <row r="2091" spans="5:8" x14ac:dyDescent="0.25">
      <c r="E2091" t="str">
        <f>""</f>
        <v/>
      </c>
      <c r="F2091" t="str">
        <f>""</f>
        <v/>
      </c>
      <c r="H2091" t="str">
        <f t="shared" si="44"/>
        <v>TASC - HRA FEES</v>
      </c>
    </row>
    <row r="2092" spans="5:8" x14ac:dyDescent="0.25">
      <c r="E2092" t="str">
        <f>""</f>
        <v/>
      </c>
      <c r="F2092" t="str">
        <f>""</f>
        <v/>
      </c>
      <c r="H2092" t="str">
        <f t="shared" si="44"/>
        <v>TASC - HRA FEES</v>
      </c>
    </row>
    <row r="2093" spans="5:8" x14ac:dyDescent="0.25">
      <c r="E2093" t="str">
        <f>""</f>
        <v/>
      </c>
      <c r="F2093" t="str">
        <f>""</f>
        <v/>
      </c>
      <c r="H2093" t="str">
        <f t="shared" si="44"/>
        <v>TASC - HRA FEES</v>
      </c>
    </row>
    <row r="2094" spans="5:8" x14ac:dyDescent="0.25">
      <c r="E2094" t="str">
        <f>""</f>
        <v/>
      </c>
      <c r="F2094" t="str">
        <f>""</f>
        <v/>
      </c>
      <c r="H2094" t="str">
        <f t="shared" si="44"/>
        <v>TASC - HRA FEES</v>
      </c>
    </row>
    <row r="2095" spans="5:8" x14ac:dyDescent="0.25">
      <c r="E2095" t="str">
        <f>""</f>
        <v/>
      </c>
      <c r="F2095" t="str">
        <f>""</f>
        <v/>
      </c>
      <c r="H2095" t="str">
        <f t="shared" si="44"/>
        <v>TASC - HRA FEES</v>
      </c>
    </row>
    <row r="2096" spans="5:8" x14ac:dyDescent="0.25">
      <c r="E2096" t="str">
        <f>""</f>
        <v/>
      </c>
      <c r="F2096" t="str">
        <f>""</f>
        <v/>
      </c>
      <c r="H2096" t="str">
        <f t="shared" si="44"/>
        <v>TASC - HRA FEES</v>
      </c>
    </row>
    <row r="2097" spans="5:8" x14ac:dyDescent="0.25">
      <c r="E2097" t="str">
        <f>""</f>
        <v/>
      </c>
      <c r="F2097" t="str">
        <f>""</f>
        <v/>
      </c>
      <c r="H2097" t="str">
        <f t="shared" si="44"/>
        <v>TASC - HRA FEES</v>
      </c>
    </row>
    <row r="2098" spans="5:8" x14ac:dyDescent="0.25">
      <c r="E2098" t="str">
        <f>""</f>
        <v/>
      </c>
      <c r="F2098" t="str">
        <f>""</f>
        <v/>
      </c>
      <c r="H2098" t="str">
        <f t="shared" si="44"/>
        <v>TASC - HRA FEES</v>
      </c>
    </row>
    <row r="2099" spans="5:8" x14ac:dyDescent="0.25">
      <c r="E2099" t="str">
        <f>""</f>
        <v/>
      </c>
      <c r="F2099" t="str">
        <f>""</f>
        <v/>
      </c>
      <c r="H2099" t="str">
        <f t="shared" si="44"/>
        <v>TASC - HRA FEES</v>
      </c>
    </row>
    <row r="2100" spans="5:8" x14ac:dyDescent="0.25">
      <c r="E2100" t="str">
        <f>""</f>
        <v/>
      </c>
      <c r="F2100" t="str">
        <f>""</f>
        <v/>
      </c>
      <c r="H2100" t="str">
        <f t="shared" si="44"/>
        <v>TASC - HRA FEES</v>
      </c>
    </row>
    <row r="2101" spans="5:8" x14ac:dyDescent="0.25">
      <c r="E2101" t="str">
        <f>""</f>
        <v/>
      </c>
      <c r="F2101" t="str">
        <f>""</f>
        <v/>
      </c>
      <c r="H2101" t="str">
        <f t="shared" si="44"/>
        <v>TASC - HRA FEES</v>
      </c>
    </row>
    <row r="2102" spans="5:8" x14ac:dyDescent="0.25">
      <c r="E2102" t="str">
        <f>""</f>
        <v/>
      </c>
      <c r="F2102" t="str">
        <f>""</f>
        <v/>
      </c>
      <c r="H2102" t="str">
        <f t="shared" si="44"/>
        <v>TASC - HRA FEES</v>
      </c>
    </row>
    <row r="2103" spans="5:8" x14ac:dyDescent="0.25">
      <c r="E2103" t="str">
        <f>""</f>
        <v/>
      </c>
      <c r="F2103" t="str">
        <f>""</f>
        <v/>
      </c>
      <c r="H2103" t="str">
        <f t="shared" ref="H2103:H2122" si="45">"TASC - HRA FEES"</f>
        <v>TASC - HRA FEES</v>
      </c>
    </row>
    <row r="2104" spans="5:8" x14ac:dyDescent="0.25">
      <c r="E2104" t="str">
        <f>""</f>
        <v/>
      </c>
      <c r="F2104" t="str">
        <f>""</f>
        <v/>
      </c>
      <c r="H2104" t="str">
        <f t="shared" si="45"/>
        <v>TASC - HRA FEES</v>
      </c>
    </row>
    <row r="2105" spans="5:8" x14ac:dyDescent="0.25">
      <c r="E2105" t="str">
        <f>""</f>
        <v/>
      </c>
      <c r="F2105" t="str">
        <f>""</f>
        <v/>
      </c>
      <c r="H2105" t="str">
        <f t="shared" si="45"/>
        <v>TASC - HRA FEES</v>
      </c>
    </row>
    <row r="2106" spans="5:8" x14ac:dyDescent="0.25">
      <c r="E2106" t="str">
        <f>""</f>
        <v/>
      </c>
      <c r="F2106" t="str">
        <f>""</f>
        <v/>
      </c>
      <c r="H2106" t="str">
        <f t="shared" si="45"/>
        <v>TASC - HRA FEES</v>
      </c>
    </row>
    <row r="2107" spans="5:8" x14ac:dyDescent="0.25">
      <c r="E2107" t="str">
        <f>""</f>
        <v/>
      </c>
      <c r="F2107" t="str">
        <f>""</f>
        <v/>
      </c>
      <c r="H2107" t="str">
        <f t="shared" si="45"/>
        <v>TASC - HRA FEES</v>
      </c>
    </row>
    <row r="2108" spans="5:8" x14ac:dyDescent="0.25">
      <c r="E2108" t="str">
        <f>""</f>
        <v/>
      </c>
      <c r="F2108" t="str">
        <f>""</f>
        <v/>
      </c>
      <c r="H2108" t="str">
        <f t="shared" si="45"/>
        <v>TASC - HRA FEES</v>
      </c>
    </row>
    <row r="2109" spans="5:8" x14ac:dyDescent="0.25">
      <c r="E2109" t="str">
        <f>""</f>
        <v/>
      </c>
      <c r="F2109" t="str">
        <f>""</f>
        <v/>
      </c>
      <c r="H2109" t="str">
        <f t="shared" si="45"/>
        <v>TASC - HRA FEES</v>
      </c>
    </row>
    <row r="2110" spans="5:8" x14ac:dyDescent="0.25">
      <c r="E2110" t="str">
        <f>""</f>
        <v/>
      </c>
      <c r="F2110" t="str">
        <f>""</f>
        <v/>
      </c>
      <c r="H2110" t="str">
        <f t="shared" si="45"/>
        <v>TASC - HRA FEES</v>
      </c>
    </row>
    <row r="2111" spans="5:8" x14ac:dyDescent="0.25">
      <c r="E2111" t="str">
        <f>""</f>
        <v/>
      </c>
      <c r="F2111" t="str">
        <f>""</f>
        <v/>
      </c>
      <c r="H2111" t="str">
        <f t="shared" si="45"/>
        <v>TASC - HRA FEES</v>
      </c>
    </row>
    <row r="2112" spans="5:8" x14ac:dyDescent="0.25">
      <c r="E2112" t="str">
        <f>""</f>
        <v/>
      </c>
      <c r="F2112" t="str">
        <f>""</f>
        <v/>
      </c>
      <c r="H2112" t="str">
        <f t="shared" si="45"/>
        <v>TASC - HRA FEES</v>
      </c>
    </row>
    <row r="2113" spans="1:8" x14ac:dyDescent="0.25">
      <c r="E2113" t="str">
        <f>""</f>
        <v/>
      </c>
      <c r="F2113" t="str">
        <f>""</f>
        <v/>
      </c>
      <c r="H2113" t="str">
        <f t="shared" si="45"/>
        <v>TASC - HRA FEES</v>
      </c>
    </row>
    <row r="2114" spans="1:8" x14ac:dyDescent="0.25">
      <c r="E2114" t="str">
        <f>""</f>
        <v/>
      </c>
      <c r="F2114" t="str">
        <f>""</f>
        <v/>
      </c>
      <c r="H2114" t="str">
        <f t="shared" si="45"/>
        <v>TASC - HRA FEES</v>
      </c>
    </row>
    <row r="2115" spans="1:8" x14ac:dyDescent="0.25">
      <c r="E2115" t="str">
        <f>""</f>
        <v/>
      </c>
      <c r="F2115" t="str">
        <f>""</f>
        <v/>
      </c>
      <c r="H2115" t="str">
        <f t="shared" si="45"/>
        <v>TASC - HRA FEES</v>
      </c>
    </row>
    <row r="2116" spans="1:8" x14ac:dyDescent="0.25">
      <c r="E2116" t="str">
        <f>""</f>
        <v/>
      </c>
      <c r="F2116" t="str">
        <f>""</f>
        <v/>
      </c>
      <c r="H2116" t="str">
        <f t="shared" si="45"/>
        <v>TASC - HRA FEES</v>
      </c>
    </row>
    <row r="2117" spans="1:8" x14ac:dyDescent="0.25">
      <c r="E2117" t="str">
        <f>""</f>
        <v/>
      </c>
      <c r="F2117" t="str">
        <f>""</f>
        <v/>
      </c>
      <c r="H2117" t="str">
        <f t="shared" si="45"/>
        <v>TASC - HRA FEES</v>
      </c>
    </row>
    <row r="2118" spans="1:8" x14ac:dyDescent="0.25">
      <c r="E2118" t="str">
        <f>""</f>
        <v/>
      </c>
      <c r="F2118" t="str">
        <f>""</f>
        <v/>
      </c>
      <c r="H2118" t="str">
        <f t="shared" si="45"/>
        <v>TASC - HRA FEES</v>
      </c>
    </row>
    <row r="2119" spans="1:8" x14ac:dyDescent="0.25">
      <c r="E2119" t="str">
        <f>""</f>
        <v/>
      </c>
      <c r="F2119" t="str">
        <f>""</f>
        <v/>
      </c>
      <c r="H2119" t="str">
        <f t="shared" si="45"/>
        <v>TASC - HRA FEES</v>
      </c>
    </row>
    <row r="2120" spans="1:8" x14ac:dyDescent="0.25">
      <c r="E2120" t="str">
        <f>""</f>
        <v/>
      </c>
      <c r="F2120" t="str">
        <f>""</f>
        <v/>
      </c>
      <c r="H2120" t="str">
        <f t="shared" si="45"/>
        <v>TASC - HRA FEES</v>
      </c>
    </row>
    <row r="2121" spans="1:8" x14ac:dyDescent="0.25">
      <c r="E2121" t="str">
        <f>""</f>
        <v/>
      </c>
      <c r="F2121" t="str">
        <f>""</f>
        <v/>
      </c>
      <c r="H2121" t="str">
        <f t="shared" si="45"/>
        <v>TASC - HRA FEES</v>
      </c>
    </row>
    <row r="2122" spans="1:8" x14ac:dyDescent="0.25">
      <c r="E2122" t="str">
        <f>"HRF202006107242"</f>
        <v>HRF202006107242</v>
      </c>
      <c r="F2122" t="str">
        <f>"TASC - HRA FEES"</f>
        <v>TASC - HRA FEES</v>
      </c>
      <c r="G2122" s="5">
        <v>30.6</v>
      </c>
      <c r="H2122" t="str">
        <f t="shared" si="45"/>
        <v>TASC - HRA FEES</v>
      </c>
    </row>
    <row r="2123" spans="1:8" x14ac:dyDescent="0.25">
      <c r="A2123" t="s">
        <v>334</v>
      </c>
      <c r="B2123">
        <v>560</v>
      </c>
      <c r="C2123" s="5">
        <v>9651.64</v>
      </c>
      <c r="D2123" s="1">
        <v>44008</v>
      </c>
      <c r="E2123" t="str">
        <f>"FSA202006247386"</f>
        <v>FSA202006247386</v>
      </c>
      <c r="F2123" t="str">
        <f>"TASC FSA"</f>
        <v>TASC FSA</v>
      </c>
      <c r="G2123" s="5">
        <v>7758.81</v>
      </c>
      <c r="H2123" t="str">
        <f>"TASC FSA"</f>
        <v>TASC FSA</v>
      </c>
    </row>
    <row r="2124" spans="1:8" x14ac:dyDescent="0.25">
      <c r="E2124" t="str">
        <f>"FSA202006247387"</f>
        <v>FSA202006247387</v>
      </c>
      <c r="F2124" t="str">
        <f>"TASC FSA"</f>
        <v>TASC FSA</v>
      </c>
      <c r="G2124" s="5">
        <v>445.4</v>
      </c>
      <c r="H2124" t="str">
        <f>"TASC FSA"</f>
        <v>TASC FSA</v>
      </c>
    </row>
    <row r="2125" spans="1:8" x14ac:dyDescent="0.25">
      <c r="E2125" t="str">
        <f>"FSC202006247386"</f>
        <v>FSC202006247386</v>
      </c>
      <c r="F2125" t="str">
        <f>"TASC DEPENDENT CARE"</f>
        <v>TASC DEPENDENT CARE</v>
      </c>
      <c r="G2125" s="5">
        <v>345.83</v>
      </c>
      <c r="H2125" t="str">
        <f>"TASC DEPENDENT CARE"</f>
        <v>TASC DEPENDENT CARE</v>
      </c>
    </row>
    <row r="2126" spans="1:8" x14ac:dyDescent="0.25">
      <c r="E2126" t="str">
        <f>"FSF202006247386"</f>
        <v>FSF202006247386</v>
      </c>
      <c r="F2126" t="str">
        <f>"TASC - FSA  FEES"</f>
        <v>TASC - FSA  FEES</v>
      </c>
      <c r="G2126" s="5">
        <v>253.8</v>
      </c>
      <c r="H2126" t="str">
        <f t="shared" ref="H2126:H2166" si="46">"TASC - FSA  FEES"</f>
        <v>TASC - FSA  FEES</v>
      </c>
    </row>
    <row r="2127" spans="1:8" x14ac:dyDescent="0.25">
      <c r="E2127" t="str">
        <f>""</f>
        <v/>
      </c>
      <c r="F2127" t="str">
        <f>""</f>
        <v/>
      </c>
      <c r="H2127" t="str">
        <f t="shared" si="46"/>
        <v>TASC - FSA  FEES</v>
      </c>
    </row>
    <row r="2128" spans="1:8" x14ac:dyDescent="0.25">
      <c r="E2128" t="str">
        <f>""</f>
        <v/>
      </c>
      <c r="F2128" t="str">
        <f>""</f>
        <v/>
      </c>
      <c r="H2128" t="str">
        <f t="shared" si="46"/>
        <v>TASC - FSA  FEES</v>
      </c>
    </row>
    <row r="2129" spans="5:8" x14ac:dyDescent="0.25">
      <c r="E2129" t="str">
        <f>""</f>
        <v/>
      </c>
      <c r="F2129" t="str">
        <f>""</f>
        <v/>
      </c>
      <c r="H2129" t="str">
        <f t="shared" si="46"/>
        <v>TASC - FSA  FEES</v>
      </c>
    </row>
    <row r="2130" spans="5:8" x14ac:dyDescent="0.25">
      <c r="E2130" t="str">
        <f>""</f>
        <v/>
      </c>
      <c r="F2130" t="str">
        <f>""</f>
        <v/>
      </c>
      <c r="H2130" t="str">
        <f t="shared" si="46"/>
        <v>TASC - FSA  FEES</v>
      </c>
    </row>
    <row r="2131" spans="5:8" x14ac:dyDescent="0.25">
      <c r="E2131" t="str">
        <f>""</f>
        <v/>
      </c>
      <c r="F2131" t="str">
        <f>""</f>
        <v/>
      </c>
      <c r="H2131" t="str">
        <f t="shared" si="46"/>
        <v>TASC - FSA  FEES</v>
      </c>
    </row>
    <row r="2132" spans="5:8" x14ac:dyDescent="0.25">
      <c r="E2132" t="str">
        <f>""</f>
        <v/>
      </c>
      <c r="F2132" t="str">
        <f>""</f>
        <v/>
      </c>
      <c r="H2132" t="str">
        <f t="shared" si="46"/>
        <v>TASC - FSA  FEES</v>
      </c>
    </row>
    <row r="2133" spans="5:8" x14ac:dyDescent="0.25">
      <c r="E2133" t="str">
        <f>""</f>
        <v/>
      </c>
      <c r="F2133" t="str">
        <f>""</f>
        <v/>
      </c>
      <c r="H2133" t="str">
        <f t="shared" si="46"/>
        <v>TASC - FSA  FEES</v>
      </c>
    </row>
    <row r="2134" spans="5:8" x14ac:dyDescent="0.25">
      <c r="E2134" t="str">
        <f>""</f>
        <v/>
      </c>
      <c r="F2134" t="str">
        <f>""</f>
        <v/>
      </c>
      <c r="H2134" t="str">
        <f t="shared" si="46"/>
        <v>TASC - FSA  FEES</v>
      </c>
    </row>
    <row r="2135" spans="5:8" x14ac:dyDescent="0.25">
      <c r="E2135" t="str">
        <f>""</f>
        <v/>
      </c>
      <c r="F2135" t="str">
        <f>""</f>
        <v/>
      </c>
      <c r="H2135" t="str">
        <f t="shared" si="46"/>
        <v>TASC - FSA  FEES</v>
      </c>
    </row>
    <row r="2136" spans="5:8" x14ac:dyDescent="0.25">
      <c r="E2136" t="str">
        <f>""</f>
        <v/>
      </c>
      <c r="F2136" t="str">
        <f>""</f>
        <v/>
      </c>
      <c r="H2136" t="str">
        <f t="shared" si="46"/>
        <v>TASC - FSA  FEES</v>
      </c>
    </row>
    <row r="2137" spans="5:8" x14ac:dyDescent="0.25">
      <c r="E2137" t="str">
        <f>""</f>
        <v/>
      </c>
      <c r="F2137" t="str">
        <f>""</f>
        <v/>
      </c>
      <c r="H2137" t="str">
        <f t="shared" si="46"/>
        <v>TASC - FSA  FEES</v>
      </c>
    </row>
    <row r="2138" spans="5:8" x14ac:dyDescent="0.25">
      <c r="E2138" t="str">
        <f>""</f>
        <v/>
      </c>
      <c r="F2138" t="str">
        <f>""</f>
        <v/>
      </c>
      <c r="H2138" t="str">
        <f t="shared" si="46"/>
        <v>TASC - FSA  FEES</v>
      </c>
    </row>
    <row r="2139" spans="5:8" x14ac:dyDescent="0.25">
      <c r="E2139" t="str">
        <f>""</f>
        <v/>
      </c>
      <c r="F2139" t="str">
        <f>""</f>
        <v/>
      </c>
      <c r="H2139" t="str">
        <f t="shared" si="46"/>
        <v>TASC - FSA  FEES</v>
      </c>
    </row>
    <row r="2140" spans="5:8" x14ac:dyDescent="0.25">
      <c r="E2140" t="str">
        <f>""</f>
        <v/>
      </c>
      <c r="F2140" t="str">
        <f>""</f>
        <v/>
      </c>
      <c r="H2140" t="str">
        <f t="shared" si="46"/>
        <v>TASC - FSA  FEES</v>
      </c>
    </row>
    <row r="2141" spans="5:8" x14ac:dyDescent="0.25">
      <c r="E2141" t="str">
        <f>""</f>
        <v/>
      </c>
      <c r="F2141" t="str">
        <f>""</f>
        <v/>
      </c>
      <c r="H2141" t="str">
        <f t="shared" si="46"/>
        <v>TASC - FSA  FEES</v>
      </c>
    </row>
    <row r="2142" spans="5:8" x14ac:dyDescent="0.25">
      <c r="E2142" t="str">
        <f>""</f>
        <v/>
      </c>
      <c r="F2142" t="str">
        <f>""</f>
        <v/>
      </c>
      <c r="H2142" t="str">
        <f t="shared" si="46"/>
        <v>TASC - FSA  FEES</v>
      </c>
    </row>
    <row r="2143" spans="5:8" x14ac:dyDescent="0.25">
      <c r="E2143" t="str">
        <f>""</f>
        <v/>
      </c>
      <c r="F2143" t="str">
        <f>""</f>
        <v/>
      </c>
      <c r="H2143" t="str">
        <f t="shared" si="46"/>
        <v>TASC - FSA  FEES</v>
      </c>
    </row>
    <row r="2144" spans="5:8" x14ac:dyDescent="0.25">
      <c r="E2144" t="str">
        <f>""</f>
        <v/>
      </c>
      <c r="F2144" t="str">
        <f>""</f>
        <v/>
      </c>
      <c r="H2144" t="str">
        <f t="shared" si="46"/>
        <v>TASC - FSA  FEES</v>
      </c>
    </row>
    <row r="2145" spans="5:8" x14ac:dyDescent="0.25">
      <c r="E2145" t="str">
        <f>""</f>
        <v/>
      </c>
      <c r="F2145" t="str">
        <f>""</f>
        <v/>
      </c>
      <c r="H2145" t="str">
        <f t="shared" si="46"/>
        <v>TASC - FSA  FEES</v>
      </c>
    </row>
    <row r="2146" spans="5:8" x14ac:dyDescent="0.25">
      <c r="E2146" t="str">
        <f>""</f>
        <v/>
      </c>
      <c r="F2146" t="str">
        <f>""</f>
        <v/>
      </c>
      <c r="H2146" t="str">
        <f t="shared" si="46"/>
        <v>TASC - FSA  FEES</v>
      </c>
    </row>
    <row r="2147" spans="5:8" x14ac:dyDescent="0.25">
      <c r="E2147" t="str">
        <f>""</f>
        <v/>
      </c>
      <c r="F2147" t="str">
        <f>""</f>
        <v/>
      </c>
      <c r="H2147" t="str">
        <f t="shared" si="46"/>
        <v>TASC - FSA  FEES</v>
      </c>
    </row>
    <row r="2148" spans="5:8" x14ac:dyDescent="0.25">
      <c r="E2148" t="str">
        <f>""</f>
        <v/>
      </c>
      <c r="F2148" t="str">
        <f>""</f>
        <v/>
      </c>
      <c r="H2148" t="str">
        <f t="shared" si="46"/>
        <v>TASC - FSA  FEES</v>
      </c>
    </row>
    <row r="2149" spans="5:8" x14ac:dyDescent="0.25">
      <c r="E2149" t="str">
        <f>""</f>
        <v/>
      </c>
      <c r="F2149" t="str">
        <f>""</f>
        <v/>
      </c>
      <c r="H2149" t="str">
        <f t="shared" si="46"/>
        <v>TASC - FSA  FEES</v>
      </c>
    </row>
    <row r="2150" spans="5:8" x14ac:dyDescent="0.25">
      <c r="E2150" t="str">
        <f>""</f>
        <v/>
      </c>
      <c r="F2150" t="str">
        <f>""</f>
        <v/>
      </c>
      <c r="H2150" t="str">
        <f t="shared" si="46"/>
        <v>TASC - FSA  FEES</v>
      </c>
    </row>
    <row r="2151" spans="5:8" x14ac:dyDescent="0.25">
      <c r="E2151" t="str">
        <f>""</f>
        <v/>
      </c>
      <c r="F2151" t="str">
        <f>""</f>
        <v/>
      </c>
      <c r="H2151" t="str">
        <f t="shared" si="46"/>
        <v>TASC - FSA  FEES</v>
      </c>
    </row>
    <row r="2152" spans="5:8" x14ac:dyDescent="0.25">
      <c r="E2152" t="str">
        <f>""</f>
        <v/>
      </c>
      <c r="F2152" t="str">
        <f>""</f>
        <v/>
      </c>
      <c r="H2152" t="str">
        <f t="shared" si="46"/>
        <v>TASC - FSA  FEES</v>
      </c>
    </row>
    <row r="2153" spans="5:8" x14ac:dyDescent="0.25">
      <c r="E2153" t="str">
        <f>""</f>
        <v/>
      </c>
      <c r="F2153" t="str">
        <f>""</f>
        <v/>
      </c>
      <c r="H2153" t="str">
        <f t="shared" si="46"/>
        <v>TASC - FSA  FEES</v>
      </c>
    </row>
    <row r="2154" spans="5:8" x14ac:dyDescent="0.25">
      <c r="E2154" t="str">
        <f>""</f>
        <v/>
      </c>
      <c r="F2154" t="str">
        <f>""</f>
        <v/>
      </c>
      <c r="H2154" t="str">
        <f t="shared" si="46"/>
        <v>TASC - FSA  FEES</v>
      </c>
    </row>
    <row r="2155" spans="5:8" x14ac:dyDescent="0.25">
      <c r="E2155" t="str">
        <f>""</f>
        <v/>
      </c>
      <c r="F2155" t="str">
        <f>""</f>
        <v/>
      </c>
      <c r="H2155" t="str">
        <f t="shared" si="46"/>
        <v>TASC - FSA  FEES</v>
      </c>
    </row>
    <row r="2156" spans="5:8" x14ac:dyDescent="0.25">
      <c r="E2156" t="str">
        <f>""</f>
        <v/>
      </c>
      <c r="F2156" t="str">
        <f>""</f>
        <v/>
      </c>
      <c r="H2156" t="str">
        <f t="shared" si="46"/>
        <v>TASC - FSA  FEES</v>
      </c>
    </row>
    <row r="2157" spans="5:8" x14ac:dyDescent="0.25">
      <c r="E2157" t="str">
        <f>""</f>
        <v/>
      </c>
      <c r="F2157" t="str">
        <f>""</f>
        <v/>
      </c>
      <c r="H2157" t="str">
        <f t="shared" si="46"/>
        <v>TASC - FSA  FEES</v>
      </c>
    </row>
    <row r="2158" spans="5:8" x14ac:dyDescent="0.25">
      <c r="E2158" t="str">
        <f>""</f>
        <v/>
      </c>
      <c r="F2158" t="str">
        <f>""</f>
        <v/>
      </c>
      <c r="H2158" t="str">
        <f t="shared" si="46"/>
        <v>TASC - FSA  FEES</v>
      </c>
    </row>
    <row r="2159" spans="5:8" x14ac:dyDescent="0.25">
      <c r="E2159" t="str">
        <f>""</f>
        <v/>
      </c>
      <c r="F2159" t="str">
        <f>""</f>
        <v/>
      </c>
      <c r="H2159" t="str">
        <f t="shared" si="46"/>
        <v>TASC - FSA  FEES</v>
      </c>
    </row>
    <row r="2160" spans="5:8" x14ac:dyDescent="0.25">
      <c r="E2160" t="str">
        <f>""</f>
        <v/>
      </c>
      <c r="F2160" t="str">
        <f>""</f>
        <v/>
      </c>
      <c r="H2160" t="str">
        <f t="shared" si="46"/>
        <v>TASC - FSA  FEES</v>
      </c>
    </row>
    <row r="2161" spans="5:8" x14ac:dyDescent="0.25">
      <c r="E2161" t="str">
        <f>""</f>
        <v/>
      </c>
      <c r="F2161" t="str">
        <f>""</f>
        <v/>
      </c>
      <c r="H2161" t="str">
        <f t="shared" si="46"/>
        <v>TASC - FSA  FEES</v>
      </c>
    </row>
    <row r="2162" spans="5:8" x14ac:dyDescent="0.25">
      <c r="E2162" t="str">
        <f>""</f>
        <v/>
      </c>
      <c r="F2162" t="str">
        <f>""</f>
        <v/>
      </c>
      <c r="H2162" t="str">
        <f t="shared" si="46"/>
        <v>TASC - FSA  FEES</v>
      </c>
    </row>
    <row r="2163" spans="5:8" x14ac:dyDescent="0.25">
      <c r="E2163" t="str">
        <f>""</f>
        <v/>
      </c>
      <c r="F2163" t="str">
        <f>""</f>
        <v/>
      </c>
      <c r="H2163" t="str">
        <f t="shared" si="46"/>
        <v>TASC - FSA  FEES</v>
      </c>
    </row>
    <row r="2164" spans="5:8" x14ac:dyDescent="0.25">
      <c r="E2164" t="str">
        <f>""</f>
        <v/>
      </c>
      <c r="F2164" t="str">
        <f>""</f>
        <v/>
      </c>
      <c r="H2164" t="str">
        <f t="shared" si="46"/>
        <v>TASC - FSA  FEES</v>
      </c>
    </row>
    <row r="2165" spans="5:8" x14ac:dyDescent="0.25">
      <c r="E2165" t="str">
        <f>""</f>
        <v/>
      </c>
      <c r="F2165" t="str">
        <f>""</f>
        <v/>
      </c>
      <c r="H2165" t="str">
        <f t="shared" si="46"/>
        <v>TASC - FSA  FEES</v>
      </c>
    </row>
    <row r="2166" spans="5:8" x14ac:dyDescent="0.25">
      <c r="E2166" t="str">
        <f>"FSF202006247387"</f>
        <v>FSF202006247387</v>
      </c>
      <c r="F2166" t="str">
        <f>"TASC - FSA  FEES"</f>
        <v>TASC - FSA  FEES</v>
      </c>
      <c r="G2166" s="5">
        <v>12.6</v>
      </c>
      <c r="H2166" t="str">
        <f t="shared" si="46"/>
        <v>TASC - FSA  FEES</v>
      </c>
    </row>
    <row r="2167" spans="5:8" x14ac:dyDescent="0.25">
      <c r="E2167" t="str">
        <f>"HRF202006247386"</f>
        <v>HRF202006247386</v>
      </c>
      <c r="F2167" t="str">
        <f>"TASC - HRA FEES"</f>
        <v>TASC - HRA FEES</v>
      </c>
      <c r="G2167" s="5">
        <v>804.6</v>
      </c>
      <c r="H2167" t="str">
        <f t="shared" ref="H2167:H2198" si="47">"TASC - HRA FEES"</f>
        <v>TASC - HRA FEES</v>
      </c>
    </row>
    <row r="2168" spans="5:8" x14ac:dyDescent="0.25">
      <c r="E2168" t="str">
        <f>""</f>
        <v/>
      </c>
      <c r="F2168" t="str">
        <f>""</f>
        <v/>
      </c>
      <c r="H2168" t="str">
        <f t="shared" si="47"/>
        <v>TASC - HRA FEES</v>
      </c>
    </row>
    <row r="2169" spans="5:8" x14ac:dyDescent="0.25">
      <c r="E2169" t="str">
        <f>""</f>
        <v/>
      </c>
      <c r="F2169" t="str">
        <f>""</f>
        <v/>
      </c>
      <c r="H2169" t="str">
        <f t="shared" si="47"/>
        <v>TASC - HRA FEES</v>
      </c>
    </row>
    <row r="2170" spans="5:8" x14ac:dyDescent="0.25">
      <c r="E2170" t="str">
        <f>""</f>
        <v/>
      </c>
      <c r="F2170" t="str">
        <f>""</f>
        <v/>
      </c>
      <c r="H2170" t="str">
        <f t="shared" si="47"/>
        <v>TASC - HRA FEES</v>
      </c>
    </row>
    <row r="2171" spans="5:8" x14ac:dyDescent="0.25">
      <c r="E2171" t="str">
        <f>""</f>
        <v/>
      </c>
      <c r="F2171" t="str">
        <f>""</f>
        <v/>
      </c>
      <c r="H2171" t="str">
        <f t="shared" si="47"/>
        <v>TASC - HRA FEES</v>
      </c>
    </row>
    <row r="2172" spans="5:8" x14ac:dyDescent="0.25">
      <c r="E2172" t="str">
        <f>""</f>
        <v/>
      </c>
      <c r="F2172" t="str">
        <f>""</f>
        <v/>
      </c>
      <c r="H2172" t="str">
        <f t="shared" si="47"/>
        <v>TASC - HRA FEES</v>
      </c>
    </row>
    <row r="2173" spans="5:8" x14ac:dyDescent="0.25">
      <c r="E2173" t="str">
        <f>""</f>
        <v/>
      </c>
      <c r="F2173" t="str">
        <f>""</f>
        <v/>
      </c>
      <c r="H2173" t="str">
        <f t="shared" si="47"/>
        <v>TASC - HRA FEES</v>
      </c>
    </row>
    <row r="2174" spans="5:8" x14ac:dyDescent="0.25">
      <c r="E2174" t="str">
        <f>""</f>
        <v/>
      </c>
      <c r="F2174" t="str">
        <f>""</f>
        <v/>
      </c>
      <c r="H2174" t="str">
        <f t="shared" si="47"/>
        <v>TASC - HRA FEES</v>
      </c>
    </row>
    <row r="2175" spans="5:8" x14ac:dyDescent="0.25">
      <c r="E2175" t="str">
        <f>""</f>
        <v/>
      </c>
      <c r="F2175" t="str">
        <f>""</f>
        <v/>
      </c>
      <c r="H2175" t="str">
        <f t="shared" si="47"/>
        <v>TASC - HRA FEES</v>
      </c>
    </row>
    <row r="2176" spans="5:8" x14ac:dyDescent="0.25">
      <c r="E2176" t="str">
        <f>""</f>
        <v/>
      </c>
      <c r="F2176" t="str">
        <f>""</f>
        <v/>
      </c>
      <c r="H2176" t="str">
        <f t="shared" si="47"/>
        <v>TASC - HRA FEES</v>
      </c>
    </row>
    <row r="2177" spans="5:8" x14ac:dyDescent="0.25">
      <c r="E2177" t="str">
        <f>""</f>
        <v/>
      </c>
      <c r="F2177" t="str">
        <f>""</f>
        <v/>
      </c>
      <c r="H2177" t="str">
        <f t="shared" si="47"/>
        <v>TASC - HRA FEES</v>
      </c>
    </row>
    <row r="2178" spans="5:8" x14ac:dyDescent="0.25">
      <c r="E2178" t="str">
        <f>""</f>
        <v/>
      </c>
      <c r="F2178" t="str">
        <f>""</f>
        <v/>
      </c>
      <c r="H2178" t="str">
        <f t="shared" si="47"/>
        <v>TASC - HRA FEES</v>
      </c>
    </row>
    <row r="2179" spans="5:8" x14ac:dyDescent="0.25">
      <c r="E2179" t="str">
        <f>""</f>
        <v/>
      </c>
      <c r="F2179" t="str">
        <f>""</f>
        <v/>
      </c>
      <c r="H2179" t="str">
        <f t="shared" si="47"/>
        <v>TASC - HRA FEES</v>
      </c>
    </row>
    <row r="2180" spans="5:8" x14ac:dyDescent="0.25">
      <c r="E2180" t="str">
        <f>""</f>
        <v/>
      </c>
      <c r="F2180" t="str">
        <f>""</f>
        <v/>
      </c>
      <c r="H2180" t="str">
        <f t="shared" si="47"/>
        <v>TASC - HRA FEES</v>
      </c>
    </row>
    <row r="2181" spans="5:8" x14ac:dyDescent="0.25">
      <c r="E2181" t="str">
        <f>""</f>
        <v/>
      </c>
      <c r="F2181" t="str">
        <f>""</f>
        <v/>
      </c>
      <c r="H2181" t="str">
        <f t="shared" si="47"/>
        <v>TASC - HRA FEES</v>
      </c>
    </row>
    <row r="2182" spans="5:8" x14ac:dyDescent="0.25">
      <c r="E2182" t="str">
        <f>""</f>
        <v/>
      </c>
      <c r="F2182" t="str">
        <f>""</f>
        <v/>
      </c>
      <c r="H2182" t="str">
        <f t="shared" si="47"/>
        <v>TASC - HRA FEES</v>
      </c>
    </row>
    <row r="2183" spans="5:8" x14ac:dyDescent="0.25">
      <c r="E2183" t="str">
        <f>""</f>
        <v/>
      </c>
      <c r="F2183" t="str">
        <f>""</f>
        <v/>
      </c>
      <c r="H2183" t="str">
        <f t="shared" si="47"/>
        <v>TASC - HRA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47"/>
        <v>TASC - HRA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47"/>
        <v>TASC - HRA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47"/>
        <v>TASC - HRA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47"/>
        <v>TASC - HRA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47"/>
        <v>TASC - HRA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47"/>
        <v>TASC - HRA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47"/>
        <v>TASC - HRA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47"/>
        <v>TASC - HRA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47"/>
        <v>TASC - HRA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47"/>
        <v>TASC - HRA FEES</v>
      </c>
    </row>
    <row r="2194" spans="5:8" x14ac:dyDescent="0.25">
      <c r="E2194" t="str">
        <f>""</f>
        <v/>
      </c>
      <c r="F2194" t="str">
        <f>""</f>
        <v/>
      </c>
      <c r="H2194" t="str">
        <f t="shared" si="47"/>
        <v>TASC - HRA FEES</v>
      </c>
    </row>
    <row r="2195" spans="5:8" x14ac:dyDescent="0.25">
      <c r="E2195" t="str">
        <f>""</f>
        <v/>
      </c>
      <c r="F2195" t="str">
        <f>""</f>
        <v/>
      </c>
      <c r="H2195" t="str">
        <f t="shared" si="47"/>
        <v>TASC - HRA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47"/>
        <v>TASC - HRA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47"/>
        <v>TASC - HRA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47"/>
        <v>TASC - HRA FEES</v>
      </c>
    </row>
    <row r="2199" spans="5:8" x14ac:dyDescent="0.25">
      <c r="E2199" t="str">
        <f>""</f>
        <v/>
      </c>
      <c r="F2199" t="str">
        <f>""</f>
        <v/>
      </c>
      <c r="H2199" t="str">
        <f t="shared" ref="H2199:H2218" si="48">"TASC - HRA FEES"</f>
        <v>TASC - HRA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48"/>
        <v>TASC - HRA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48"/>
        <v>TASC - HRA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48"/>
        <v>TASC - HRA FEES</v>
      </c>
    </row>
    <row r="2203" spans="5:8" x14ac:dyDescent="0.25">
      <c r="E2203" t="str">
        <f>""</f>
        <v/>
      </c>
      <c r="F2203" t="str">
        <f>""</f>
        <v/>
      </c>
      <c r="H2203" t="str">
        <f t="shared" si="48"/>
        <v>TASC - HRA FEES</v>
      </c>
    </row>
    <row r="2204" spans="5:8" x14ac:dyDescent="0.25">
      <c r="E2204" t="str">
        <f>""</f>
        <v/>
      </c>
      <c r="F2204" t="str">
        <f>""</f>
        <v/>
      </c>
      <c r="H2204" t="str">
        <f t="shared" si="48"/>
        <v>TASC - HRA FEES</v>
      </c>
    </row>
    <row r="2205" spans="5:8" x14ac:dyDescent="0.25">
      <c r="E2205" t="str">
        <f>""</f>
        <v/>
      </c>
      <c r="F2205" t="str">
        <f>""</f>
        <v/>
      </c>
      <c r="H2205" t="str">
        <f t="shared" si="48"/>
        <v>TASC - HRA FEES</v>
      </c>
    </row>
    <row r="2206" spans="5:8" x14ac:dyDescent="0.25">
      <c r="E2206" t="str">
        <f>""</f>
        <v/>
      </c>
      <c r="F2206" t="str">
        <f>""</f>
        <v/>
      </c>
      <c r="H2206" t="str">
        <f t="shared" si="48"/>
        <v>TASC - HRA FEES</v>
      </c>
    </row>
    <row r="2207" spans="5:8" x14ac:dyDescent="0.25">
      <c r="E2207" t="str">
        <f>""</f>
        <v/>
      </c>
      <c r="F2207" t="str">
        <f>""</f>
        <v/>
      </c>
      <c r="H2207" t="str">
        <f t="shared" si="48"/>
        <v>TASC - HRA FEES</v>
      </c>
    </row>
    <row r="2208" spans="5:8" x14ac:dyDescent="0.25">
      <c r="E2208" t="str">
        <f>""</f>
        <v/>
      </c>
      <c r="F2208" t="str">
        <f>""</f>
        <v/>
      </c>
      <c r="H2208" t="str">
        <f t="shared" si="48"/>
        <v>TASC - HRA FEES</v>
      </c>
    </row>
    <row r="2209" spans="1:8" x14ac:dyDescent="0.25">
      <c r="E2209" t="str">
        <f>""</f>
        <v/>
      </c>
      <c r="F2209" t="str">
        <f>""</f>
        <v/>
      </c>
      <c r="H2209" t="str">
        <f t="shared" si="48"/>
        <v>TASC - HRA FEES</v>
      </c>
    </row>
    <row r="2210" spans="1:8" x14ac:dyDescent="0.25">
      <c r="E2210" t="str">
        <f>""</f>
        <v/>
      </c>
      <c r="F2210" t="str">
        <f>""</f>
        <v/>
      </c>
      <c r="H2210" t="str">
        <f t="shared" si="48"/>
        <v>TASC - HRA FEES</v>
      </c>
    </row>
    <row r="2211" spans="1:8" x14ac:dyDescent="0.25">
      <c r="E2211" t="str">
        <f>""</f>
        <v/>
      </c>
      <c r="F2211" t="str">
        <f>""</f>
        <v/>
      </c>
      <c r="H2211" t="str">
        <f t="shared" si="48"/>
        <v>TASC - HRA FEES</v>
      </c>
    </row>
    <row r="2212" spans="1:8" x14ac:dyDescent="0.25">
      <c r="E2212" t="str">
        <f>""</f>
        <v/>
      </c>
      <c r="F2212" t="str">
        <f>""</f>
        <v/>
      </c>
      <c r="H2212" t="str">
        <f t="shared" si="48"/>
        <v>TASC - HRA FEES</v>
      </c>
    </row>
    <row r="2213" spans="1:8" x14ac:dyDescent="0.25">
      <c r="E2213" t="str">
        <f>""</f>
        <v/>
      </c>
      <c r="F2213" t="str">
        <f>""</f>
        <v/>
      </c>
      <c r="H2213" t="str">
        <f t="shared" si="48"/>
        <v>TASC - HRA FEES</v>
      </c>
    </row>
    <row r="2214" spans="1:8" x14ac:dyDescent="0.25">
      <c r="E2214" t="str">
        <f>""</f>
        <v/>
      </c>
      <c r="F2214" t="str">
        <f>""</f>
        <v/>
      </c>
      <c r="H2214" t="str">
        <f t="shared" si="48"/>
        <v>TASC - HRA FEES</v>
      </c>
    </row>
    <row r="2215" spans="1:8" x14ac:dyDescent="0.25">
      <c r="E2215" t="str">
        <f>""</f>
        <v/>
      </c>
      <c r="F2215" t="str">
        <f>""</f>
        <v/>
      </c>
      <c r="H2215" t="str">
        <f t="shared" si="48"/>
        <v>TASC - HRA FEES</v>
      </c>
    </row>
    <row r="2216" spans="1:8" x14ac:dyDescent="0.25">
      <c r="E2216" t="str">
        <f>""</f>
        <v/>
      </c>
      <c r="F2216" t="str">
        <f>""</f>
        <v/>
      </c>
      <c r="H2216" t="str">
        <f t="shared" si="48"/>
        <v>TASC - HRA FEES</v>
      </c>
    </row>
    <row r="2217" spans="1:8" x14ac:dyDescent="0.25">
      <c r="E2217" t="str">
        <f>""</f>
        <v/>
      </c>
      <c r="F2217" t="str">
        <f>""</f>
        <v/>
      </c>
      <c r="H2217" t="str">
        <f t="shared" si="48"/>
        <v>TASC - HRA FEES</v>
      </c>
    </row>
    <row r="2218" spans="1:8" x14ac:dyDescent="0.25">
      <c r="E2218" t="str">
        <f>"HRF202006247387"</f>
        <v>HRF202006247387</v>
      </c>
      <c r="F2218" t="str">
        <f>"TASC - HRA FEES"</f>
        <v>TASC - HRA FEES</v>
      </c>
      <c r="G2218" s="5">
        <v>30.6</v>
      </c>
      <c r="H2218" t="str">
        <f t="shared" si="48"/>
        <v>TASC - HRA FEES</v>
      </c>
    </row>
    <row r="2219" spans="1:8" x14ac:dyDescent="0.25">
      <c r="A2219" t="s">
        <v>335</v>
      </c>
      <c r="B2219">
        <v>552</v>
      </c>
      <c r="C2219" s="5">
        <v>4572.3999999999996</v>
      </c>
      <c r="D2219" s="1">
        <v>43994</v>
      </c>
      <c r="E2219" t="str">
        <f>"C2 202006107242"</f>
        <v>C2 202006107242</v>
      </c>
      <c r="F2219" t="str">
        <f>"0012982132CCL7445"</f>
        <v>0012982132CCL7445</v>
      </c>
      <c r="G2219" s="5">
        <v>692.31</v>
      </c>
      <c r="H2219" t="str">
        <f>"0012982132CCL7445"</f>
        <v>0012982132CCL7445</v>
      </c>
    </row>
    <row r="2220" spans="1:8" x14ac:dyDescent="0.25">
      <c r="E2220" t="str">
        <f>"C20202006097241"</f>
        <v>C20202006097241</v>
      </c>
      <c r="F2220" t="str">
        <f>"001003981107-12252"</f>
        <v>001003981107-12252</v>
      </c>
      <c r="G2220" s="5">
        <v>115.39</v>
      </c>
      <c r="H2220" t="str">
        <f>"001003981107-12252"</f>
        <v>001003981107-12252</v>
      </c>
    </row>
    <row r="2221" spans="1:8" x14ac:dyDescent="0.25">
      <c r="E2221" t="str">
        <f>"C42202006097241"</f>
        <v>C42202006097241</v>
      </c>
      <c r="F2221" t="str">
        <f>"001236769211-14410"</f>
        <v>001236769211-14410</v>
      </c>
      <c r="G2221" s="5">
        <v>230.31</v>
      </c>
      <c r="H2221" t="str">
        <f>"001236769211-14410"</f>
        <v>001236769211-14410</v>
      </c>
    </row>
    <row r="2222" spans="1:8" x14ac:dyDescent="0.25">
      <c r="E2222" t="str">
        <f>"C46202006097241"</f>
        <v>C46202006097241</v>
      </c>
      <c r="F2222" t="str">
        <f>"CAUSE# 11-14911"</f>
        <v>CAUSE# 11-14911</v>
      </c>
      <c r="G2222" s="5">
        <v>238.62</v>
      </c>
      <c r="H2222" t="str">
        <f>"CAUSE# 11-14911"</f>
        <v>CAUSE# 11-14911</v>
      </c>
    </row>
    <row r="2223" spans="1:8" x14ac:dyDescent="0.25">
      <c r="E2223" t="str">
        <f>"C53202006097241"</f>
        <v>C53202006097241</v>
      </c>
      <c r="F2223" t="str">
        <f>"0012453366"</f>
        <v>0012453366</v>
      </c>
      <c r="G2223" s="5">
        <v>138.46</v>
      </c>
      <c r="H2223" t="str">
        <f>"0012453366"</f>
        <v>0012453366</v>
      </c>
    </row>
    <row r="2224" spans="1:8" x14ac:dyDescent="0.25">
      <c r="E2224" t="str">
        <f>"C60202006097241"</f>
        <v>C60202006097241</v>
      </c>
      <c r="F2224" t="str">
        <f>"00130730762012V300"</f>
        <v>00130730762012V300</v>
      </c>
      <c r="G2224" s="5">
        <v>399.32</v>
      </c>
      <c r="H2224" t="str">
        <f>"00130730762012V300"</f>
        <v>00130730762012V300</v>
      </c>
    </row>
    <row r="2225" spans="1:8" x14ac:dyDescent="0.25">
      <c r="E2225" t="str">
        <f>"C62202006097241"</f>
        <v>C62202006097241</v>
      </c>
      <c r="F2225" t="str">
        <f>"# 0012128865"</f>
        <v># 0012128865</v>
      </c>
      <c r="G2225" s="5">
        <v>243.23</v>
      </c>
      <c r="H2225" t="str">
        <f>"# 0012128865"</f>
        <v># 0012128865</v>
      </c>
    </row>
    <row r="2226" spans="1:8" x14ac:dyDescent="0.25">
      <c r="E2226" t="str">
        <f>"C66202006097241"</f>
        <v>C66202006097241</v>
      </c>
      <c r="F2226" t="str">
        <f>"# 0012871801"</f>
        <v># 0012871801</v>
      </c>
      <c r="G2226" s="5">
        <v>90</v>
      </c>
      <c r="H2226" t="str">
        <f>"# 0012871801"</f>
        <v># 0012871801</v>
      </c>
    </row>
    <row r="2227" spans="1:8" x14ac:dyDescent="0.25">
      <c r="E2227" t="str">
        <f>"C67202006097241"</f>
        <v>C67202006097241</v>
      </c>
      <c r="F2227" t="str">
        <f>"13154657"</f>
        <v>13154657</v>
      </c>
      <c r="G2227" s="5">
        <v>101.99</v>
      </c>
      <c r="H2227" t="str">
        <f>"13154657"</f>
        <v>13154657</v>
      </c>
    </row>
    <row r="2228" spans="1:8" x14ac:dyDescent="0.25">
      <c r="E2228" t="str">
        <f>"C69202006097241"</f>
        <v>C69202006097241</v>
      </c>
      <c r="F2228" t="str">
        <f>"0012046911423672"</f>
        <v>0012046911423672</v>
      </c>
      <c r="G2228" s="5">
        <v>187.38</v>
      </c>
      <c r="H2228" t="str">
        <f>"0012046911423672"</f>
        <v>0012046911423672</v>
      </c>
    </row>
    <row r="2229" spans="1:8" x14ac:dyDescent="0.25">
      <c r="E2229" t="str">
        <f>"C71202006097241"</f>
        <v>C71202006097241</v>
      </c>
      <c r="F2229" t="str">
        <f>"00137390532018V215"</f>
        <v>00137390532018V215</v>
      </c>
      <c r="G2229" s="5">
        <v>264</v>
      </c>
      <c r="H2229" t="str">
        <f>"00137390532018V215"</f>
        <v>00137390532018V215</v>
      </c>
    </row>
    <row r="2230" spans="1:8" x14ac:dyDescent="0.25">
      <c r="E2230" t="str">
        <f>"C72202006097241"</f>
        <v>C72202006097241</v>
      </c>
      <c r="F2230" t="str">
        <f>"0012797601C20130529B"</f>
        <v>0012797601C20130529B</v>
      </c>
      <c r="G2230" s="5">
        <v>241.85</v>
      </c>
      <c r="H2230" t="str">
        <f>"0012797601C20130529B"</f>
        <v>0012797601C20130529B</v>
      </c>
    </row>
    <row r="2231" spans="1:8" x14ac:dyDescent="0.25">
      <c r="E2231" t="str">
        <f>"C78202006097241"</f>
        <v>C78202006097241</v>
      </c>
      <c r="F2231" t="str">
        <f>"00105115972005106221"</f>
        <v>00105115972005106221</v>
      </c>
      <c r="G2231" s="5">
        <v>144.68</v>
      </c>
      <c r="H2231" t="str">
        <f>"00105115972005106221"</f>
        <v>00105115972005106221</v>
      </c>
    </row>
    <row r="2232" spans="1:8" x14ac:dyDescent="0.25">
      <c r="E2232" t="str">
        <f>"C83202006097241"</f>
        <v>C83202006097241</v>
      </c>
      <c r="F2232" t="str">
        <f>"0013096953150533"</f>
        <v>0013096953150533</v>
      </c>
      <c r="G2232" s="5">
        <v>346.15</v>
      </c>
      <c r="H2232" t="str">
        <f>"0013096953150533"</f>
        <v>0013096953150533</v>
      </c>
    </row>
    <row r="2233" spans="1:8" x14ac:dyDescent="0.25">
      <c r="E2233" t="str">
        <f>"C84202006097241"</f>
        <v>C84202006097241</v>
      </c>
      <c r="F2233" t="str">
        <f>"00128499834232566"</f>
        <v>00128499834232566</v>
      </c>
      <c r="G2233" s="5">
        <v>439.94</v>
      </c>
      <c r="H2233" t="str">
        <f>"00128499834232566"</f>
        <v>00128499834232566</v>
      </c>
    </row>
    <row r="2234" spans="1:8" x14ac:dyDescent="0.25">
      <c r="E2234" t="str">
        <f>"C85202006097241"</f>
        <v>C85202006097241</v>
      </c>
      <c r="F2234" t="str">
        <f>"0012469425201770874"</f>
        <v>0012469425201770874</v>
      </c>
      <c r="G2234" s="5">
        <v>138.46</v>
      </c>
      <c r="H2234" t="str">
        <f>"0012469425201770874"</f>
        <v>0012469425201770874</v>
      </c>
    </row>
    <row r="2235" spans="1:8" x14ac:dyDescent="0.25">
      <c r="E2235" t="str">
        <f>"C86202006097241"</f>
        <v>C86202006097241</v>
      </c>
      <c r="F2235" t="str">
        <f>"0013854015101285F"</f>
        <v>0013854015101285F</v>
      </c>
      <c r="G2235" s="5">
        <v>241.85</v>
      </c>
      <c r="H2235" t="str">
        <f>"0013854015101285F"</f>
        <v>0013854015101285F</v>
      </c>
    </row>
    <row r="2236" spans="1:8" x14ac:dyDescent="0.25">
      <c r="E2236" t="str">
        <f>"C87202006097241"</f>
        <v>C87202006097241</v>
      </c>
      <c r="F2236" t="str">
        <f>"0012963634L130019CVB"</f>
        <v>0012963634L130019CVB</v>
      </c>
      <c r="G2236" s="5">
        <v>318.45999999999998</v>
      </c>
      <c r="H2236" t="str">
        <f>"0012963634L130019CVB"</f>
        <v>0012963634L130019CVB</v>
      </c>
    </row>
    <row r="2237" spans="1:8" x14ac:dyDescent="0.25">
      <c r="A2237" t="s">
        <v>335</v>
      </c>
      <c r="B2237">
        <v>559</v>
      </c>
      <c r="C2237" s="5">
        <v>4905.63</v>
      </c>
      <c r="D2237" s="1">
        <v>44008</v>
      </c>
      <c r="E2237" t="str">
        <f>"C2 202006247387"</f>
        <v>C2 202006247387</v>
      </c>
      <c r="F2237" t="str">
        <f>"0012982132CCL7445"</f>
        <v>0012982132CCL7445</v>
      </c>
      <c r="G2237" s="5">
        <v>692.31</v>
      </c>
      <c r="H2237" t="str">
        <f>"0012982132CCL7445"</f>
        <v>0012982132CCL7445</v>
      </c>
    </row>
    <row r="2238" spans="1:8" x14ac:dyDescent="0.25">
      <c r="E2238" t="str">
        <f>"C20202006247386"</f>
        <v>C20202006247386</v>
      </c>
      <c r="F2238" t="str">
        <f>"001003981107-12252"</f>
        <v>001003981107-12252</v>
      </c>
      <c r="G2238" s="5">
        <v>115.39</v>
      </c>
      <c r="H2238" t="str">
        <f>"001003981107-12252"</f>
        <v>001003981107-12252</v>
      </c>
    </row>
    <row r="2239" spans="1:8" x14ac:dyDescent="0.25">
      <c r="E2239" t="str">
        <f>"C42202006247386"</f>
        <v>C42202006247386</v>
      </c>
      <c r="F2239" t="str">
        <f>"001236769211-14410"</f>
        <v>001236769211-14410</v>
      </c>
      <c r="G2239" s="5">
        <v>230.31</v>
      </c>
      <c r="H2239" t="str">
        <f>"001236769211-14410"</f>
        <v>001236769211-14410</v>
      </c>
    </row>
    <row r="2240" spans="1:8" x14ac:dyDescent="0.25">
      <c r="E2240" t="str">
        <f>"C46202006247386"</f>
        <v>C46202006247386</v>
      </c>
      <c r="F2240" t="str">
        <f>"CAUSE# 11-14911"</f>
        <v>CAUSE# 11-14911</v>
      </c>
      <c r="G2240" s="5">
        <v>238.62</v>
      </c>
      <c r="H2240" t="str">
        <f>"CAUSE# 11-14911"</f>
        <v>CAUSE# 11-14911</v>
      </c>
    </row>
    <row r="2241" spans="1:8" x14ac:dyDescent="0.25">
      <c r="E2241" t="str">
        <f>"C53202006247386"</f>
        <v>C53202006247386</v>
      </c>
      <c r="F2241" t="str">
        <f>"0012453366"</f>
        <v>0012453366</v>
      </c>
      <c r="G2241" s="5">
        <v>138.46</v>
      </c>
      <c r="H2241" t="str">
        <f>"0012453366"</f>
        <v>0012453366</v>
      </c>
    </row>
    <row r="2242" spans="1:8" x14ac:dyDescent="0.25">
      <c r="E2242" t="str">
        <f>"C60202006247386"</f>
        <v>C60202006247386</v>
      </c>
      <c r="F2242" t="str">
        <f>"00130730762012V300"</f>
        <v>00130730762012V300</v>
      </c>
      <c r="G2242" s="5">
        <v>399.32</v>
      </c>
      <c r="H2242" t="str">
        <f>"00130730762012V300"</f>
        <v>00130730762012V300</v>
      </c>
    </row>
    <row r="2243" spans="1:8" x14ac:dyDescent="0.25">
      <c r="E2243" t="str">
        <f>"C62202006247386"</f>
        <v>C62202006247386</v>
      </c>
      <c r="F2243" t="str">
        <f>"# 0012128865"</f>
        <v># 0012128865</v>
      </c>
      <c r="G2243" s="5">
        <v>243.23</v>
      </c>
      <c r="H2243" t="str">
        <f>"# 0012128865"</f>
        <v># 0012128865</v>
      </c>
    </row>
    <row r="2244" spans="1:8" x14ac:dyDescent="0.25">
      <c r="E2244" t="str">
        <f>"C66202006247386"</f>
        <v>C66202006247386</v>
      </c>
      <c r="F2244" t="str">
        <f>"# 0012871801"</f>
        <v># 0012871801</v>
      </c>
      <c r="G2244" s="5">
        <v>90</v>
      </c>
      <c r="H2244" t="str">
        <f>"# 0012871801"</f>
        <v># 0012871801</v>
      </c>
    </row>
    <row r="2245" spans="1:8" x14ac:dyDescent="0.25">
      <c r="E2245" t="str">
        <f>"C67202006247386"</f>
        <v>C67202006247386</v>
      </c>
      <c r="F2245" t="str">
        <f>"13154657"</f>
        <v>13154657</v>
      </c>
      <c r="G2245" s="5">
        <v>101.99</v>
      </c>
      <c r="H2245" t="str">
        <f>"13154657"</f>
        <v>13154657</v>
      </c>
    </row>
    <row r="2246" spans="1:8" x14ac:dyDescent="0.25">
      <c r="E2246" t="str">
        <f>"C69202006247386"</f>
        <v>C69202006247386</v>
      </c>
      <c r="F2246" t="str">
        <f>"0012046911423672"</f>
        <v>0012046911423672</v>
      </c>
      <c r="G2246" s="5">
        <v>187.38</v>
      </c>
      <c r="H2246" t="str">
        <f>"0012046911423672"</f>
        <v>0012046911423672</v>
      </c>
    </row>
    <row r="2247" spans="1:8" x14ac:dyDescent="0.25">
      <c r="E2247" t="str">
        <f>"C71202006247386"</f>
        <v>C71202006247386</v>
      </c>
      <c r="F2247" t="str">
        <f>"00137390532018V215"</f>
        <v>00137390532018V215</v>
      </c>
      <c r="G2247" s="5">
        <v>264</v>
      </c>
      <c r="H2247" t="str">
        <f>"00137390532018V215"</f>
        <v>00137390532018V215</v>
      </c>
    </row>
    <row r="2248" spans="1:8" x14ac:dyDescent="0.25">
      <c r="E2248" t="str">
        <f>"C72202006247386"</f>
        <v>C72202006247386</v>
      </c>
      <c r="F2248" t="str">
        <f>"0012797601C20130529B"</f>
        <v>0012797601C20130529B</v>
      </c>
      <c r="G2248" s="5">
        <v>241.85</v>
      </c>
      <c r="H2248" t="str">
        <f>"0012797601C20130529B"</f>
        <v>0012797601C20130529B</v>
      </c>
    </row>
    <row r="2249" spans="1:8" x14ac:dyDescent="0.25">
      <c r="E2249" t="str">
        <f>"C78202006247386"</f>
        <v>C78202006247386</v>
      </c>
      <c r="F2249" t="str">
        <f>"00105115972005106221"</f>
        <v>00105115972005106221</v>
      </c>
      <c r="G2249" s="5">
        <v>144.68</v>
      </c>
      <c r="H2249" t="str">
        <f>"00105115972005106221"</f>
        <v>00105115972005106221</v>
      </c>
    </row>
    <row r="2250" spans="1:8" x14ac:dyDescent="0.25">
      <c r="E2250" t="str">
        <f>"C83202006247386"</f>
        <v>C83202006247386</v>
      </c>
      <c r="F2250" t="str">
        <f>"0013096953150533"</f>
        <v>0013096953150533</v>
      </c>
      <c r="G2250" s="5">
        <v>346.15</v>
      </c>
      <c r="H2250" t="str">
        <f>"0013096953150533"</f>
        <v>0013096953150533</v>
      </c>
    </row>
    <row r="2251" spans="1:8" x14ac:dyDescent="0.25">
      <c r="E2251" t="str">
        <f>"C84202006247386"</f>
        <v>C84202006247386</v>
      </c>
      <c r="F2251" t="str">
        <f>"00128499834232566"</f>
        <v>00128499834232566</v>
      </c>
      <c r="G2251" s="5">
        <v>439.94</v>
      </c>
      <c r="H2251" t="str">
        <f>"00128499834232566"</f>
        <v>00128499834232566</v>
      </c>
    </row>
    <row r="2252" spans="1:8" x14ac:dyDescent="0.25">
      <c r="E2252" t="str">
        <f>"C85202006247386"</f>
        <v>C85202006247386</v>
      </c>
      <c r="F2252" t="str">
        <f>"0012469425201770874"</f>
        <v>0012469425201770874</v>
      </c>
      <c r="G2252" s="5">
        <v>138.46</v>
      </c>
      <c r="H2252" t="str">
        <f>"0012469425201770874"</f>
        <v>0012469425201770874</v>
      </c>
    </row>
    <row r="2253" spans="1:8" x14ac:dyDescent="0.25">
      <c r="E2253" t="str">
        <f>"C86202006247386"</f>
        <v>C86202006247386</v>
      </c>
      <c r="F2253" t="str">
        <f>"0013854015101285F"</f>
        <v>0013854015101285F</v>
      </c>
      <c r="G2253" s="5">
        <v>241.85</v>
      </c>
      <c r="H2253" t="str">
        <f>"0013854015101285F"</f>
        <v>0013854015101285F</v>
      </c>
    </row>
    <row r="2254" spans="1:8" x14ac:dyDescent="0.25">
      <c r="E2254" t="str">
        <f>"C87202006247386"</f>
        <v>C87202006247386</v>
      </c>
      <c r="F2254" t="str">
        <f>"0012963634L130019CVB"</f>
        <v>0012963634L130019CVB</v>
      </c>
      <c r="G2254" s="5">
        <v>318.45999999999998</v>
      </c>
      <c r="H2254" t="str">
        <f>"0012963634L130019CVB"</f>
        <v>0012963634L130019CVB</v>
      </c>
    </row>
    <row r="2255" spans="1:8" x14ac:dyDescent="0.25">
      <c r="E2255" t="str">
        <f>"C88202006247386"</f>
        <v>C88202006247386</v>
      </c>
      <c r="F2255" t="str">
        <f>"00123521844231520"</f>
        <v>00123521844231520</v>
      </c>
      <c r="G2255" s="5">
        <v>333.23</v>
      </c>
      <c r="H2255" t="str">
        <f>"00123521844231520"</f>
        <v>00123521844231520</v>
      </c>
    </row>
    <row r="2256" spans="1:8" x14ac:dyDescent="0.25">
      <c r="A2256" t="s">
        <v>336</v>
      </c>
      <c r="B2256">
        <v>561</v>
      </c>
      <c r="C2256" s="5">
        <v>383174.52</v>
      </c>
      <c r="D2256" s="1">
        <v>44008</v>
      </c>
      <c r="E2256" t="str">
        <f>"RET202006097241"</f>
        <v>RET202006097241</v>
      </c>
      <c r="F2256" t="str">
        <f>"TEXAS COUNTY &amp; DISTRICT RET"</f>
        <v>TEXAS COUNTY &amp; DISTRICT RET</v>
      </c>
      <c r="G2256" s="5">
        <v>179070.97</v>
      </c>
      <c r="H2256" t="str">
        <f t="shared" ref="H2256:H2287" si="49">"TEXAS COUNTY &amp; DISTRICT RET"</f>
        <v>TEXAS COUNTY &amp; DISTRICT RET</v>
      </c>
    </row>
    <row r="2257" spans="5:8" x14ac:dyDescent="0.25">
      <c r="E2257" t="str">
        <f>""</f>
        <v/>
      </c>
      <c r="F2257" t="str">
        <f>""</f>
        <v/>
      </c>
      <c r="H2257" t="str">
        <f t="shared" si="49"/>
        <v>TEXAS COUNTY &amp; DISTRICT RET</v>
      </c>
    </row>
    <row r="2258" spans="5:8" x14ac:dyDescent="0.25">
      <c r="E2258" t="str">
        <f>""</f>
        <v/>
      </c>
      <c r="F2258" t="str">
        <f>""</f>
        <v/>
      </c>
      <c r="H2258" t="str">
        <f t="shared" si="49"/>
        <v>TEXAS COUNTY &amp; DISTRICT RET</v>
      </c>
    </row>
    <row r="2259" spans="5:8" x14ac:dyDescent="0.25">
      <c r="E2259" t="str">
        <f>""</f>
        <v/>
      </c>
      <c r="F2259" t="str">
        <f>""</f>
        <v/>
      </c>
      <c r="H2259" t="str">
        <f t="shared" si="49"/>
        <v>TEXAS COUNTY &amp; DISTRICT RET</v>
      </c>
    </row>
    <row r="2260" spans="5:8" x14ac:dyDescent="0.25">
      <c r="E2260" t="str">
        <f>""</f>
        <v/>
      </c>
      <c r="F2260" t="str">
        <f>""</f>
        <v/>
      </c>
      <c r="H2260" t="str">
        <f t="shared" si="49"/>
        <v>TEXAS COUNTY &amp; DISTRICT RET</v>
      </c>
    </row>
    <row r="2261" spans="5:8" x14ac:dyDescent="0.25">
      <c r="E2261" t="str">
        <f>""</f>
        <v/>
      </c>
      <c r="F2261" t="str">
        <f>""</f>
        <v/>
      </c>
      <c r="H2261" t="str">
        <f t="shared" si="49"/>
        <v>TEXAS COUNTY &amp; DISTRICT RET</v>
      </c>
    </row>
    <row r="2262" spans="5:8" x14ac:dyDescent="0.25">
      <c r="E2262" t="str">
        <f>""</f>
        <v/>
      </c>
      <c r="F2262" t="str">
        <f>""</f>
        <v/>
      </c>
      <c r="H2262" t="str">
        <f t="shared" si="49"/>
        <v>TEXAS COUNTY &amp; DISTRICT RET</v>
      </c>
    </row>
    <row r="2263" spans="5:8" x14ac:dyDescent="0.25">
      <c r="E2263" t="str">
        <f>""</f>
        <v/>
      </c>
      <c r="F2263" t="str">
        <f>""</f>
        <v/>
      </c>
      <c r="H2263" t="str">
        <f t="shared" si="49"/>
        <v>TEXAS COUNTY &amp; DISTRICT RET</v>
      </c>
    </row>
    <row r="2264" spans="5:8" x14ac:dyDescent="0.25">
      <c r="E2264" t="str">
        <f>""</f>
        <v/>
      </c>
      <c r="F2264" t="str">
        <f>""</f>
        <v/>
      </c>
      <c r="H2264" t="str">
        <f t="shared" si="49"/>
        <v>TEXAS COUNTY &amp; DISTRICT RET</v>
      </c>
    </row>
    <row r="2265" spans="5:8" x14ac:dyDescent="0.25">
      <c r="E2265" t="str">
        <f>""</f>
        <v/>
      </c>
      <c r="F2265" t="str">
        <f>""</f>
        <v/>
      </c>
      <c r="H2265" t="str">
        <f t="shared" si="49"/>
        <v>TEXAS COUNTY &amp; DISTRICT RET</v>
      </c>
    </row>
    <row r="2266" spans="5:8" x14ac:dyDescent="0.25">
      <c r="E2266" t="str">
        <f>""</f>
        <v/>
      </c>
      <c r="F2266" t="str">
        <f>""</f>
        <v/>
      </c>
      <c r="H2266" t="str">
        <f t="shared" si="49"/>
        <v>TEXAS COUNTY &amp; DISTRICT RET</v>
      </c>
    </row>
    <row r="2267" spans="5:8" x14ac:dyDescent="0.25">
      <c r="E2267" t="str">
        <f>""</f>
        <v/>
      </c>
      <c r="F2267" t="str">
        <f>""</f>
        <v/>
      </c>
      <c r="H2267" t="str">
        <f t="shared" si="49"/>
        <v>TEXAS COUNTY &amp; DISTRICT RET</v>
      </c>
    </row>
    <row r="2268" spans="5:8" x14ac:dyDescent="0.25">
      <c r="E2268" t="str">
        <f>""</f>
        <v/>
      </c>
      <c r="F2268" t="str">
        <f>""</f>
        <v/>
      </c>
      <c r="H2268" t="str">
        <f t="shared" si="49"/>
        <v>TEXAS COUNTY &amp; DISTRICT RET</v>
      </c>
    </row>
    <row r="2269" spans="5:8" x14ac:dyDescent="0.25">
      <c r="E2269" t="str">
        <f>""</f>
        <v/>
      </c>
      <c r="F2269" t="str">
        <f>""</f>
        <v/>
      </c>
      <c r="H2269" t="str">
        <f t="shared" si="49"/>
        <v>TEXAS COUNTY &amp; DISTRICT RET</v>
      </c>
    </row>
    <row r="2270" spans="5:8" x14ac:dyDescent="0.25">
      <c r="E2270" t="str">
        <f>""</f>
        <v/>
      </c>
      <c r="F2270" t="str">
        <f>""</f>
        <v/>
      </c>
      <c r="H2270" t="str">
        <f t="shared" si="49"/>
        <v>TEXAS COUNTY &amp; DISTRICT RET</v>
      </c>
    </row>
    <row r="2271" spans="5:8" x14ac:dyDescent="0.25">
      <c r="E2271" t="str">
        <f>""</f>
        <v/>
      </c>
      <c r="F2271" t="str">
        <f>""</f>
        <v/>
      </c>
      <c r="H2271" t="str">
        <f t="shared" si="49"/>
        <v>TEXAS COUNTY &amp; DISTRICT RET</v>
      </c>
    </row>
    <row r="2272" spans="5:8" x14ac:dyDescent="0.25">
      <c r="E2272" t="str">
        <f>""</f>
        <v/>
      </c>
      <c r="F2272" t="str">
        <f>""</f>
        <v/>
      </c>
      <c r="H2272" t="str">
        <f t="shared" si="49"/>
        <v>TEXAS COUNTY &amp; DISTRICT RET</v>
      </c>
    </row>
    <row r="2273" spans="5:8" x14ac:dyDescent="0.25">
      <c r="E2273" t="str">
        <f>""</f>
        <v/>
      </c>
      <c r="F2273" t="str">
        <f>""</f>
        <v/>
      </c>
      <c r="H2273" t="str">
        <f t="shared" si="49"/>
        <v>TEXAS COUNTY &amp; DISTRICT RET</v>
      </c>
    </row>
    <row r="2274" spans="5:8" x14ac:dyDescent="0.25">
      <c r="E2274" t="str">
        <f>""</f>
        <v/>
      </c>
      <c r="F2274" t="str">
        <f>""</f>
        <v/>
      </c>
      <c r="H2274" t="str">
        <f t="shared" si="49"/>
        <v>TEXAS COUNTY &amp; DISTRICT RET</v>
      </c>
    </row>
    <row r="2275" spans="5:8" x14ac:dyDescent="0.25">
      <c r="E2275" t="str">
        <f>""</f>
        <v/>
      </c>
      <c r="F2275" t="str">
        <f>""</f>
        <v/>
      </c>
      <c r="H2275" t="str">
        <f t="shared" si="49"/>
        <v>TEXAS COUNTY &amp; DISTRICT RET</v>
      </c>
    </row>
    <row r="2276" spans="5:8" x14ac:dyDescent="0.25">
      <c r="E2276" t="str">
        <f>""</f>
        <v/>
      </c>
      <c r="F2276" t="str">
        <f>""</f>
        <v/>
      </c>
      <c r="H2276" t="str">
        <f t="shared" si="49"/>
        <v>TEXAS COUNTY &amp; DISTRICT RET</v>
      </c>
    </row>
    <row r="2277" spans="5:8" x14ac:dyDescent="0.25">
      <c r="E2277" t="str">
        <f>""</f>
        <v/>
      </c>
      <c r="F2277" t="str">
        <f>""</f>
        <v/>
      </c>
      <c r="H2277" t="str">
        <f t="shared" si="49"/>
        <v>TEXAS COUNTY &amp; DISTRICT RET</v>
      </c>
    </row>
    <row r="2278" spans="5:8" x14ac:dyDescent="0.25">
      <c r="E2278" t="str">
        <f>""</f>
        <v/>
      </c>
      <c r="F2278" t="str">
        <f>""</f>
        <v/>
      </c>
      <c r="H2278" t="str">
        <f t="shared" si="49"/>
        <v>TEXAS COUNTY &amp; DISTRICT RET</v>
      </c>
    </row>
    <row r="2279" spans="5:8" x14ac:dyDescent="0.25">
      <c r="E2279" t="str">
        <f>""</f>
        <v/>
      </c>
      <c r="F2279" t="str">
        <f>""</f>
        <v/>
      </c>
      <c r="H2279" t="str">
        <f t="shared" si="49"/>
        <v>TEXAS COUNTY &amp; DISTRICT RET</v>
      </c>
    </row>
    <row r="2280" spans="5:8" x14ac:dyDescent="0.25">
      <c r="E2280" t="str">
        <f>""</f>
        <v/>
      </c>
      <c r="F2280" t="str">
        <f>""</f>
        <v/>
      </c>
      <c r="H2280" t="str">
        <f t="shared" si="49"/>
        <v>TEXAS COUNTY &amp; DISTRICT RET</v>
      </c>
    </row>
    <row r="2281" spans="5:8" x14ac:dyDescent="0.25">
      <c r="E2281" t="str">
        <f>""</f>
        <v/>
      </c>
      <c r="F2281" t="str">
        <f>""</f>
        <v/>
      </c>
      <c r="H2281" t="str">
        <f t="shared" si="49"/>
        <v>TEXAS COUNTY &amp; DISTRICT RET</v>
      </c>
    </row>
    <row r="2282" spans="5:8" x14ac:dyDescent="0.25">
      <c r="E2282" t="str">
        <f>""</f>
        <v/>
      </c>
      <c r="F2282" t="str">
        <f>""</f>
        <v/>
      </c>
      <c r="H2282" t="str">
        <f t="shared" si="49"/>
        <v>TEXAS COUNTY &amp; DISTRICT RET</v>
      </c>
    </row>
    <row r="2283" spans="5:8" x14ac:dyDescent="0.25">
      <c r="E2283" t="str">
        <f>""</f>
        <v/>
      </c>
      <c r="F2283" t="str">
        <f>""</f>
        <v/>
      </c>
      <c r="H2283" t="str">
        <f t="shared" si="49"/>
        <v>TEXAS COUNTY &amp; DISTRICT RET</v>
      </c>
    </row>
    <row r="2284" spans="5:8" x14ac:dyDescent="0.25">
      <c r="E2284" t="str">
        <f>""</f>
        <v/>
      </c>
      <c r="F2284" t="str">
        <f>""</f>
        <v/>
      </c>
      <c r="H2284" t="str">
        <f t="shared" si="49"/>
        <v>TEXAS COUNTY &amp; DISTRICT RET</v>
      </c>
    </row>
    <row r="2285" spans="5:8" x14ac:dyDescent="0.25">
      <c r="E2285" t="str">
        <f>""</f>
        <v/>
      </c>
      <c r="F2285" t="str">
        <f>""</f>
        <v/>
      </c>
      <c r="H2285" t="str">
        <f t="shared" si="49"/>
        <v>TEXAS COUNTY &amp; DISTRICT RET</v>
      </c>
    </row>
    <row r="2286" spans="5:8" x14ac:dyDescent="0.25">
      <c r="E2286" t="str">
        <f>""</f>
        <v/>
      </c>
      <c r="F2286" t="str">
        <f>""</f>
        <v/>
      </c>
      <c r="H2286" t="str">
        <f t="shared" si="49"/>
        <v>TEXAS COUNTY &amp; DISTRICT RET</v>
      </c>
    </row>
    <row r="2287" spans="5:8" x14ac:dyDescent="0.25">
      <c r="E2287" t="str">
        <f>""</f>
        <v/>
      </c>
      <c r="F2287" t="str">
        <f>""</f>
        <v/>
      </c>
      <c r="H2287" t="str">
        <f t="shared" si="49"/>
        <v>TEXAS COUNTY &amp; DISTRICT RET</v>
      </c>
    </row>
    <row r="2288" spans="5:8" x14ac:dyDescent="0.25">
      <c r="E2288" t="str">
        <f>""</f>
        <v/>
      </c>
      <c r="F2288" t="str">
        <f>""</f>
        <v/>
      </c>
      <c r="H2288" t="str">
        <f t="shared" ref="H2288:H2307" si="50">"TEXAS COUNTY &amp; DISTRICT RET"</f>
        <v>TEXAS COUNTY &amp; DISTRICT RET</v>
      </c>
    </row>
    <row r="2289" spans="5:8" x14ac:dyDescent="0.25">
      <c r="E2289" t="str">
        <f>""</f>
        <v/>
      </c>
      <c r="F2289" t="str">
        <f>""</f>
        <v/>
      </c>
      <c r="H2289" t="str">
        <f t="shared" si="50"/>
        <v>TEXAS COUNTY &amp; DISTRICT RET</v>
      </c>
    </row>
    <row r="2290" spans="5:8" x14ac:dyDescent="0.25">
      <c r="E2290" t="str">
        <f>""</f>
        <v/>
      </c>
      <c r="F2290" t="str">
        <f>""</f>
        <v/>
      </c>
      <c r="H2290" t="str">
        <f t="shared" si="50"/>
        <v>TEXAS COUNTY &amp; DISTRICT RET</v>
      </c>
    </row>
    <row r="2291" spans="5:8" x14ac:dyDescent="0.25">
      <c r="E2291" t="str">
        <f>""</f>
        <v/>
      </c>
      <c r="F2291" t="str">
        <f>""</f>
        <v/>
      </c>
      <c r="H2291" t="str">
        <f t="shared" si="50"/>
        <v>TEXAS COUNTY &amp; DISTRICT RET</v>
      </c>
    </row>
    <row r="2292" spans="5:8" x14ac:dyDescent="0.25">
      <c r="E2292" t="str">
        <f>""</f>
        <v/>
      </c>
      <c r="F2292" t="str">
        <f>""</f>
        <v/>
      </c>
      <c r="H2292" t="str">
        <f t="shared" si="50"/>
        <v>TEXAS COUNTY &amp; DISTRICT RET</v>
      </c>
    </row>
    <row r="2293" spans="5:8" x14ac:dyDescent="0.25">
      <c r="E2293" t="str">
        <f>""</f>
        <v/>
      </c>
      <c r="F2293" t="str">
        <f>""</f>
        <v/>
      </c>
      <c r="H2293" t="str">
        <f t="shared" si="50"/>
        <v>TEXAS COUNTY &amp; DISTRICT RET</v>
      </c>
    </row>
    <row r="2294" spans="5:8" x14ac:dyDescent="0.25">
      <c r="E2294" t="str">
        <f>""</f>
        <v/>
      </c>
      <c r="F2294" t="str">
        <f>""</f>
        <v/>
      </c>
      <c r="H2294" t="str">
        <f t="shared" si="50"/>
        <v>TEXAS COUNTY &amp; DISTRICT RET</v>
      </c>
    </row>
    <row r="2295" spans="5:8" x14ac:dyDescent="0.25">
      <c r="E2295" t="str">
        <f>""</f>
        <v/>
      </c>
      <c r="F2295" t="str">
        <f>""</f>
        <v/>
      </c>
      <c r="H2295" t="str">
        <f t="shared" si="50"/>
        <v>TEXAS COUNTY &amp; DISTRICT RET</v>
      </c>
    </row>
    <row r="2296" spans="5:8" x14ac:dyDescent="0.25">
      <c r="E2296" t="str">
        <f>""</f>
        <v/>
      </c>
      <c r="F2296" t="str">
        <f>""</f>
        <v/>
      </c>
      <c r="H2296" t="str">
        <f t="shared" si="50"/>
        <v>TEXAS COUNTY &amp; DISTRICT RET</v>
      </c>
    </row>
    <row r="2297" spans="5:8" x14ac:dyDescent="0.25">
      <c r="E2297" t="str">
        <f>""</f>
        <v/>
      </c>
      <c r="F2297" t="str">
        <f>""</f>
        <v/>
      </c>
      <c r="H2297" t="str">
        <f t="shared" si="50"/>
        <v>TEXAS COUNTY &amp; DISTRICT RET</v>
      </c>
    </row>
    <row r="2298" spans="5:8" x14ac:dyDescent="0.25">
      <c r="E2298" t="str">
        <f>""</f>
        <v/>
      </c>
      <c r="F2298" t="str">
        <f>""</f>
        <v/>
      </c>
      <c r="H2298" t="str">
        <f t="shared" si="50"/>
        <v>TEXAS COUNTY &amp; DISTRICT RET</v>
      </c>
    </row>
    <row r="2299" spans="5:8" x14ac:dyDescent="0.25">
      <c r="E2299" t="str">
        <f>""</f>
        <v/>
      </c>
      <c r="F2299" t="str">
        <f>""</f>
        <v/>
      </c>
      <c r="H2299" t="str">
        <f t="shared" si="50"/>
        <v>TEXAS COUNTY &amp; DISTRICT RET</v>
      </c>
    </row>
    <row r="2300" spans="5:8" x14ac:dyDescent="0.25">
      <c r="E2300" t="str">
        <f>""</f>
        <v/>
      </c>
      <c r="F2300" t="str">
        <f>""</f>
        <v/>
      </c>
      <c r="H2300" t="str">
        <f t="shared" si="50"/>
        <v>TEXAS COUNTY &amp; DISTRICT RET</v>
      </c>
    </row>
    <row r="2301" spans="5:8" x14ac:dyDescent="0.25">
      <c r="E2301" t="str">
        <f>""</f>
        <v/>
      </c>
      <c r="F2301" t="str">
        <f>""</f>
        <v/>
      </c>
      <c r="H2301" t="str">
        <f t="shared" si="50"/>
        <v>TEXAS COUNTY &amp; DISTRICT RET</v>
      </c>
    </row>
    <row r="2302" spans="5:8" x14ac:dyDescent="0.25">
      <c r="E2302" t="str">
        <f>""</f>
        <v/>
      </c>
      <c r="F2302" t="str">
        <f>""</f>
        <v/>
      </c>
      <c r="H2302" t="str">
        <f t="shared" si="50"/>
        <v>TEXAS COUNTY &amp; DISTRICT RET</v>
      </c>
    </row>
    <row r="2303" spans="5:8" x14ac:dyDescent="0.25">
      <c r="E2303" t="str">
        <f>""</f>
        <v/>
      </c>
      <c r="F2303" t="str">
        <f>""</f>
        <v/>
      </c>
      <c r="H2303" t="str">
        <f t="shared" si="50"/>
        <v>TEXAS COUNTY &amp; DISTRICT RET</v>
      </c>
    </row>
    <row r="2304" spans="5:8" x14ac:dyDescent="0.25">
      <c r="E2304" t="str">
        <f>""</f>
        <v/>
      </c>
      <c r="F2304" t="str">
        <f>""</f>
        <v/>
      </c>
      <c r="H2304" t="str">
        <f t="shared" si="50"/>
        <v>TEXAS COUNTY &amp; DISTRICT RET</v>
      </c>
    </row>
    <row r="2305" spans="5:8" x14ac:dyDescent="0.25">
      <c r="E2305" t="str">
        <f>""</f>
        <v/>
      </c>
      <c r="F2305" t="str">
        <f>""</f>
        <v/>
      </c>
      <c r="H2305" t="str">
        <f t="shared" si="50"/>
        <v>TEXAS COUNTY &amp; DISTRICT RET</v>
      </c>
    </row>
    <row r="2306" spans="5:8" x14ac:dyDescent="0.25">
      <c r="E2306" t="str">
        <f>""</f>
        <v/>
      </c>
      <c r="F2306" t="str">
        <f>""</f>
        <v/>
      </c>
      <c r="H2306" t="str">
        <f t="shared" si="50"/>
        <v>TEXAS COUNTY &amp; DISTRICT RET</v>
      </c>
    </row>
    <row r="2307" spans="5:8" x14ac:dyDescent="0.25">
      <c r="E2307" t="str">
        <f>""</f>
        <v/>
      </c>
      <c r="F2307" t="str">
        <f>""</f>
        <v/>
      </c>
      <c r="H2307" t="str">
        <f t="shared" si="50"/>
        <v>TEXAS COUNTY &amp; DISTRICT RET</v>
      </c>
    </row>
    <row r="2308" spans="5:8" x14ac:dyDescent="0.25">
      <c r="E2308" t="str">
        <f>"RET202006107242"</f>
        <v>RET202006107242</v>
      </c>
      <c r="F2308" t="str">
        <f>"TEXAS COUNTY  DISTRICT RET"</f>
        <v>TEXAS COUNTY  DISTRICT RET</v>
      </c>
      <c r="G2308" s="5">
        <v>6617.75</v>
      </c>
      <c r="H2308" t="str">
        <f>"TEXAS COUNTY  DISTRICT RET"</f>
        <v>TEXAS COUNTY  DISTRICT RET</v>
      </c>
    </row>
    <row r="2309" spans="5:8" x14ac:dyDescent="0.25">
      <c r="E2309" t="str">
        <f>""</f>
        <v/>
      </c>
      <c r="F2309" t="str">
        <f>""</f>
        <v/>
      </c>
      <c r="H2309" t="str">
        <f>"TEXAS COUNTY  DISTRICT RET"</f>
        <v>TEXAS COUNTY  DISTRICT RET</v>
      </c>
    </row>
    <row r="2310" spans="5:8" x14ac:dyDescent="0.25">
      <c r="E2310" t="str">
        <f>"RET202006107243"</f>
        <v>RET202006107243</v>
      </c>
      <c r="F2310" t="str">
        <f>"TEXAS COUNTY &amp; DISTRICT RET"</f>
        <v>TEXAS COUNTY &amp; DISTRICT RET</v>
      </c>
      <c r="G2310" s="5">
        <v>7747.56</v>
      </c>
      <c r="H2310" t="str">
        <f t="shared" ref="H2310:H2341" si="51">"TEXAS COUNTY &amp; DISTRICT RET"</f>
        <v>TEXAS COUNTY &amp; DISTRICT RET</v>
      </c>
    </row>
    <row r="2311" spans="5:8" x14ac:dyDescent="0.25">
      <c r="E2311" t="str">
        <f>""</f>
        <v/>
      </c>
      <c r="F2311" t="str">
        <f>""</f>
        <v/>
      </c>
      <c r="H2311" t="str">
        <f t="shared" si="51"/>
        <v>TEXAS COUNTY &amp; DISTRICT RET</v>
      </c>
    </row>
    <row r="2312" spans="5:8" x14ac:dyDescent="0.25">
      <c r="E2312" t="str">
        <f>"RET202006247386"</f>
        <v>RET202006247386</v>
      </c>
      <c r="F2312" t="str">
        <f>"TEXAS COUNTY &amp; DISTRICT RET"</f>
        <v>TEXAS COUNTY &amp; DISTRICT RET</v>
      </c>
      <c r="G2312" s="5">
        <v>175515.2</v>
      </c>
      <c r="H2312" t="str">
        <f t="shared" si="51"/>
        <v>TEXAS COUNTY &amp; DISTRICT RET</v>
      </c>
    </row>
    <row r="2313" spans="5:8" x14ac:dyDescent="0.25">
      <c r="E2313" t="str">
        <f>""</f>
        <v/>
      </c>
      <c r="F2313" t="str">
        <f>""</f>
        <v/>
      </c>
      <c r="H2313" t="str">
        <f t="shared" si="51"/>
        <v>TEXAS COUNTY &amp; DISTRICT RET</v>
      </c>
    </row>
    <row r="2314" spans="5:8" x14ac:dyDescent="0.25">
      <c r="E2314" t="str">
        <f>""</f>
        <v/>
      </c>
      <c r="F2314" t="str">
        <f>""</f>
        <v/>
      </c>
      <c r="H2314" t="str">
        <f t="shared" si="51"/>
        <v>TEXAS COUNTY &amp; DISTRICT RET</v>
      </c>
    </row>
    <row r="2315" spans="5:8" x14ac:dyDescent="0.25">
      <c r="E2315" t="str">
        <f>""</f>
        <v/>
      </c>
      <c r="F2315" t="str">
        <f>""</f>
        <v/>
      </c>
      <c r="H2315" t="str">
        <f t="shared" si="51"/>
        <v>TEXAS COUNTY &amp; DISTRICT RET</v>
      </c>
    </row>
    <row r="2316" spans="5:8" x14ac:dyDescent="0.25">
      <c r="E2316" t="str">
        <f>""</f>
        <v/>
      </c>
      <c r="F2316" t="str">
        <f>""</f>
        <v/>
      </c>
      <c r="H2316" t="str">
        <f t="shared" si="51"/>
        <v>TEXAS COUNTY &amp; DISTRICT RET</v>
      </c>
    </row>
    <row r="2317" spans="5:8" x14ac:dyDescent="0.25">
      <c r="E2317" t="str">
        <f>""</f>
        <v/>
      </c>
      <c r="F2317" t="str">
        <f>""</f>
        <v/>
      </c>
      <c r="H2317" t="str">
        <f t="shared" si="51"/>
        <v>TEXAS COUNTY &amp; DISTRICT RET</v>
      </c>
    </row>
    <row r="2318" spans="5:8" x14ac:dyDescent="0.25">
      <c r="E2318" t="str">
        <f>""</f>
        <v/>
      </c>
      <c r="F2318" t="str">
        <f>""</f>
        <v/>
      </c>
      <c r="H2318" t="str">
        <f t="shared" si="51"/>
        <v>TEXAS COUNTY &amp; DISTRICT RET</v>
      </c>
    </row>
    <row r="2319" spans="5:8" x14ac:dyDescent="0.25">
      <c r="E2319" t="str">
        <f>""</f>
        <v/>
      </c>
      <c r="F2319" t="str">
        <f>""</f>
        <v/>
      </c>
      <c r="H2319" t="str">
        <f t="shared" si="51"/>
        <v>TEXAS COUNTY &amp; DISTRICT RET</v>
      </c>
    </row>
    <row r="2320" spans="5:8" x14ac:dyDescent="0.25">
      <c r="E2320" t="str">
        <f>""</f>
        <v/>
      </c>
      <c r="F2320" t="str">
        <f>""</f>
        <v/>
      </c>
      <c r="H2320" t="str">
        <f t="shared" si="51"/>
        <v>TEXAS COUNTY &amp; DISTRICT RET</v>
      </c>
    </row>
    <row r="2321" spans="5:8" x14ac:dyDescent="0.25">
      <c r="E2321" t="str">
        <f>""</f>
        <v/>
      </c>
      <c r="F2321" t="str">
        <f>""</f>
        <v/>
      </c>
      <c r="H2321" t="str">
        <f t="shared" si="51"/>
        <v>TEXAS COUNTY &amp; DISTRICT RET</v>
      </c>
    </row>
    <row r="2322" spans="5:8" x14ac:dyDescent="0.25">
      <c r="E2322" t="str">
        <f>""</f>
        <v/>
      </c>
      <c r="F2322" t="str">
        <f>""</f>
        <v/>
      </c>
      <c r="H2322" t="str">
        <f t="shared" si="51"/>
        <v>TEXAS COUNTY &amp; DISTRICT RET</v>
      </c>
    </row>
    <row r="2323" spans="5:8" x14ac:dyDescent="0.25">
      <c r="E2323" t="str">
        <f>""</f>
        <v/>
      </c>
      <c r="F2323" t="str">
        <f>""</f>
        <v/>
      </c>
      <c r="H2323" t="str">
        <f t="shared" si="51"/>
        <v>TEXAS COUNTY &amp; DISTRICT RET</v>
      </c>
    </row>
    <row r="2324" spans="5:8" x14ac:dyDescent="0.25">
      <c r="E2324" t="str">
        <f>""</f>
        <v/>
      </c>
      <c r="F2324" t="str">
        <f>""</f>
        <v/>
      </c>
      <c r="H2324" t="str">
        <f t="shared" si="51"/>
        <v>TEXAS COUNTY &amp; DISTRICT RET</v>
      </c>
    </row>
    <row r="2325" spans="5:8" x14ac:dyDescent="0.25">
      <c r="E2325" t="str">
        <f>""</f>
        <v/>
      </c>
      <c r="F2325" t="str">
        <f>""</f>
        <v/>
      </c>
      <c r="H2325" t="str">
        <f t="shared" si="51"/>
        <v>TEXAS COUNTY &amp; DISTRICT RET</v>
      </c>
    </row>
    <row r="2326" spans="5:8" x14ac:dyDescent="0.25">
      <c r="E2326" t="str">
        <f>""</f>
        <v/>
      </c>
      <c r="F2326" t="str">
        <f>""</f>
        <v/>
      </c>
      <c r="H2326" t="str">
        <f t="shared" si="51"/>
        <v>TEXAS COUNTY &amp; DISTRICT RET</v>
      </c>
    </row>
    <row r="2327" spans="5:8" x14ac:dyDescent="0.25">
      <c r="E2327" t="str">
        <f>""</f>
        <v/>
      </c>
      <c r="F2327" t="str">
        <f>""</f>
        <v/>
      </c>
      <c r="H2327" t="str">
        <f t="shared" si="51"/>
        <v>TEXAS COUNTY &amp; DISTRICT RET</v>
      </c>
    </row>
    <row r="2328" spans="5:8" x14ac:dyDescent="0.25">
      <c r="E2328" t="str">
        <f>""</f>
        <v/>
      </c>
      <c r="F2328" t="str">
        <f>""</f>
        <v/>
      </c>
      <c r="H2328" t="str">
        <f t="shared" si="51"/>
        <v>TEXAS COUNTY &amp; DISTRICT RET</v>
      </c>
    </row>
    <row r="2329" spans="5:8" x14ac:dyDescent="0.25">
      <c r="E2329" t="str">
        <f>""</f>
        <v/>
      </c>
      <c r="F2329" t="str">
        <f>""</f>
        <v/>
      </c>
      <c r="H2329" t="str">
        <f t="shared" si="51"/>
        <v>TEXAS COUNTY &amp; DISTRICT RET</v>
      </c>
    </row>
    <row r="2330" spans="5:8" x14ac:dyDescent="0.25">
      <c r="E2330" t="str">
        <f>""</f>
        <v/>
      </c>
      <c r="F2330" t="str">
        <f>""</f>
        <v/>
      </c>
      <c r="H2330" t="str">
        <f t="shared" si="51"/>
        <v>TEXAS COUNTY &amp; DISTRICT RET</v>
      </c>
    </row>
    <row r="2331" spans="5:8" x14ac:dyDescent="0.25">
      <c r="E2331" t="str">
        <f>""</f>
        <v/>
      </c>
      <c r="F2331" t="str">
        <f>""</f>
        <v/>
      </c>
      <c r="H2331" t="str">
        <f t="shared" si="51"/>
        <v>TEXAS COUNTY &amp; DISTRICT RET</v>
      </c>
    </row>
    <row r="2332" spans="5:8" x14ac:dyDescent="0.25">
      <c r="E2332" t="str">
        <f>""</f>
        <v/>
      </c>
      <c r="F2332" t="str">
        <f>""</f>
        <v/>
      </c>
      <c r="H2332" t="str">
        <f t="shared" si="51"/>
        <v>TEXAS COUNTY &amp; DISTRICT RET</v>
      </c>
    </row>
    <row r="2333" spans="5:8" x14ac:dyDescent="0.25">
      <c r="E2333" t="str">
        <f>""</f>
        <v/>
      </c>
      <c r="F2333" t="str">
        <f>""</f>
        <v/>
      </c>
      <c r="H2333" t="str">
        <f t="shared" si="51"/>
        <v>TEXAS COUNTY &amp; DISTRICT RET</v>
      </c>
    </row>
    <row r="2334" spans="5:8" x14ac:dyDescent="0.25">
      <c r="E2334" t="str">
        <f>""</f>
        <v/>
      </c>
      <c r="F2334" t="str">
        <f>""</f>
        <v/>
      </c>
      <c r="H2334" t="str">
        <f t="shared" si="51"/>
        <v>TEXAS COUNTY &amp; DISTRICT RET</v>
      </c>
    </row>
    <row r="2335" spans="5:8" x14ac:dyDescent="0.25">
      <c r="E2335" t="str">
        <f>""</f>
        <v/>
      </c>
      <c r="F2335" t="str">
        <f>""</f>
        <v/>
      </c>
      <c r="H2335" t="str">
        <f t="shared" si="51"/>
        <v>TEXAS COUNTY &amp; DISTRICT RET</v>
      </c>
    </row>
    <row r="2336" spans="5:8" x14ac:dyDescent="0.25">
      <c r="E2336" t="str">
        <f>""</f>
        <v/>
      </c>
      <c r="F2336" t="str">
        <f>""</f>
        <v/>
      </c>
      <c r="H2336" t="str">
        <f t="shared" si="51"/>
        <v>TEXAS COUNTY &amp; DISTRICT RET</v>
      </c>
    </row>
    <row r="2337" spans="5:8" x14ac:dyDescent="0.25">
      <c r="E2337" t="str">
        <f>""</f>
        <v/>
      </c>
      <c r="F2337" t="str">
        <f>""</f>
        <v/>
      </c>
      <c r="H2337" t="str">
        <f t="shared" si="51"/>
        <v>TEXAS COUNTY &amp; DISTRICT RET</v>
      </c>
    </row>
    <row r="2338" spans="5:8" x14ac:dyDescent="0.25">
      <c r="E2338" t="str">
        <f>""</f>
        <v/>
      </c>
      <c r="F2338" t="str">
        <f>""</f>
        <v/>
      </c>
      <c r="H2338" t="str">
        <f t="shared" si="51"/>
        <v>TEXAS COUNTY &amp; DISTRICT RET</v>
      </c>
    </row>
    <row r="2339" spans="5:8" x14ac:dyDescent="0.25">
      <c r="E2339" t="str">
        <f>""</f>
        <v/>
      </c>
      <c r="F2339" t="str">
        <f>""</f>
        <v/>
      </c>
      <c r="H2339" t="str">
        <f t="shared" si="51"/>
        <v>TEXAS COUNTY &amp; DISTRICT RET</v>
      </c>
    </row>
    <row r="2340" spans="5:8" x14ac:dyDescent="0.25">
      <c r="E2340" t="str">
        <f>""</f>
        <v/>
      </c>
      <c r="F2340" t="str">
        <f>""</f>
        <v/>
      </c>
      <c r="H2340" t="str">
        <f t="shared" si="51"/>
        <v>TEXAS COUNTY &amp; DISTRICT RET</v>
      </c>
    </row>
    <row r="2341" spans="5:8" x14ac:dyDescent="0.25">
      <c r="E2341" t="str">
        <f>""</f>
        <v/>
      </c>
      <c r="F2341" t="str">
        <f>""</f>
        <v/>
      </c>
      <c r="H2341" t="str">
        <f t="shared" si="51"/>
        <v>TEXAS COUNTY &amp; DISTRICT RET</v>
      </c>
    </row>
    <row r="2342" spans="5:8" x14ac:dyDescent="0.25">
      <c r="E2342" t="str">
        <f>""</f>
        <v/>
      </c>
      <c r="F2342" t="str">
        <f>""</f>
        <v/>
      </c>
      <c r="H2342" t="str">
        <f t="shared" ref="H2342:H2363" si="52">"TEXAS COUNTY &amp; DISTRICT RET"</f>
        <v>TEXAS COUNTY &amp; DISTRICT RET</v>
      </c>
    </row>
    <row r="2343" spans="5:8" x14ac:dyDescent="0.25">
      <c r="E2343" t="str">
        <f>""</f>
        <v/>
      </c>
      <c r="F2343" t="str">
        <f>""</f>
        <v/>
      </c>
      <c r="H2343" t="str">
        <f t="shared" si="52"/>
        <v>TEXAS COUNTY &amp; DISTRICT RET</v>
      </c>
    </row>
    <row r="2344" spans="5:8" x14ac:dyDescent="0.25">
      <c r="E2344" t="str">
        <f>""</f>
        <v/>
      </c>
      <c r="F2344" t="str">
        <f>""</f>
        <v/>
      </c>
      <c r="H2344" t="str">
        <f t="shared" si="52"/>
        <v>TEXAS COUNTY &amp; DISTRICT RET</v>
      </c>
    </row>
    <row r="2345" spans="5:8" x14ac:dyDescent="0.25">
      <c r="E2345" t="str">
        <f>""</f>
        <v/>
      </c>
      <c r="F2345" t="str">
        <f>""</f>
        <v/>
      </c>
      <c r="H2345" t="str">
        <f t="shared" si="52"/>
        <v>TEXAS COUNTY &amp; DISTRICT RET</v>
      </c>
    </row>
    <row r="2346" spans="5:8" x14ac:dyDescent="0.25">
      <c r="E2346" t="str">
        <f>""</f>
        <v/>
      </c>
      <c r="F2346" t="str">
        <f>""</f>
        <v/>
      </c>
      <c r="H2346" t="str">
        <f t="shared" si="52"/>
        <v>TEXAS COUNTY &amp; DISTRICT RET</v>
      </c>
    </row>
    <row r="2347" spans="5:8" x14ac:dyDescent="0.25">
      <c r="E2347" t="str">
        <f>""</f>
        <v/>
      </c>
      <c r="F2347" t="str">
        <f>""</f>
        <v/>
      </c>
      <c r="H2347" t="str">
        <f t="shared" si="52"/>
        <v>TEXAS COUNTY &amp; DISTRICT RET</v>
      </c>
    </row>
    <row r="2348" spans="5:8" x14ac:dyDescent="0.25">
      <c r="E2348" t="str">
        <f>""</f>
        <v/>
      </c>
      <c r="F2348" t="str">
        <f>""</f>
        <v/>
      </c>
      <c r="H2348" t="str">
        <f t="shared" si="52"/>
        <v>TEXAS COUNTY &amp; DISTRICT RET</v>
      </c>
    </row>
    <row r="2349" spans="5:8" x14ac:dyDescent="0.25">
      <c r="E2349" t="str">
        <f>""</f>
        <v/>
      </c>
      <c r="F2349" t="str">
        <f>""</f>
        <v/>
      </c>
      <c r="H2349" t="str">
        <f t="shared" si="52"/>
        <v>TEXAS COUNTY &amp; DISTRICT RET</v>
      </c>
    </row>
    <row r="2350" spans="5:8" x14ac:dyDescent="0.25">
      <c r="E2350" t="str">
        <f>""</f>
        <v/>
      </c>
      <c r="F2350" t="str">
        <f>""</f>
        <v/>
      </c>
      <c r="H2350" t="str">
        <f t="shared" si="52"/>
        <v>TEXAS COUNTY &amp; DISTRICT RET</v>
      </c>
    </row>
    <row r="2351" spans="5:8" x14ac:dyDescent="0.25">
      <c r="E2351" t="str">
        <f>""</f>
        <v/>
      </c>
      <c r="F2351" t="str">
        <f>""</f>
        <v/>
      </c>
      <c r="H2351" t="str">
        <f t="shared" si="52"/>
        <v>TEXAS COUNTY &amp; DISTRICT RET</v>
      </c>
    </row>
    <row r="2352" spans="5:8" x14ac:dyDescent="0.25">
      <c r="E2352" t="str">
        <f>""</f>
        <v/>
      </c>
      <c r="F2352" t="str">
        <f>""</f>
        <v/>
      </c>
      <c r="H2352" t="str">
        <f t="shared" si="52"/>
        <v>TEXAS COUNTY &amp; DISTRICT RET</v>
      </c>
    </row>
    <row r="2353" spans="1:8" x14ac:dyDescent="0.25">
      <c r="E2353" t="str">
        <f>""</f>
        <v/>
      </c>
      <c r="F2353" t="str">
        <f>""</f>
        <v/>
      </c>
      <c r="H2353" t="str">
        <f t="shared" si="52"/>
        <v>TEXAS COUNTY &amp; DISTRICT RET</v>
      </c>
    </row>
    <row r="2354" spans="1:8" x14ac:dyDescent="0.25">
      <c r="E2354" t="str">
        <f>""</f>
        <v/>
      </c>
      <c r="F2354" t="str">
        <f>""</f>
        <v/>
      </c>
      <c r="H2354" t="str">
        <f t="shared" si="52"/>
        <v>TEXAS COUNTY &amp; DISTRICT RET</v>
      </c>
    </row>
    <row r="2355" spans="1:8" x14ac:dyDescent="0.25">
      <c r="E2355" t="str">
        <f>""</f>
        <v/>
      </c>
      <c r="F2355" t="str">
        <f>""</f>
        <v/>
      </c>
      <c r="H2355" t="str">
        <f t="shared" si="52"/>
        <v>TEXAS COUNTY &amp; DISTRICT RET</v>
      </c>
    </row>
    <row r="2356" spans="1:8" x14ac:dyDescent="0.25">
      <c r="E2356" t="str">
        <f>""</f>
        <v/>
      </c>
      <c r="F2356" t="str">
        <f>""</f>
        <v/>
      </c>
      <c r="H2356" t="str">
        <f t="shared" si="52"/>
        <v>TEXAS COUNTY &amp; DISTRICT RET</v>
      </c>
    </row>
    <row r="2357" spans="1:8" x14ac:dyDescent="0.25">
      <c r="E2357" t="str">
        <f>""</f>
        <v/>
      </c>
      <c r="F2357" t="str">
        <f>""</f>
        <v/>
      </c>
      <c r="H2357" t="str">
        <f t="shared" si="52"/>
        <v>TEXAS COUNTY &amp; DISTRICT RET</v>
      </c>
    </row>
    <row r="2358" spans="1:8" x14ac:dyDescent="0.25">
      <c r="E2358" t="str">
        <f>""</f>
        <v/>
      </c>
      <c r="F2358" t="str">
        <f>""</f>
        <v/>
      </c>
      <c r="H2358" t="str">
        <f t="shared" si="52"/>
        <v>TEXAS COUNTY &amp; DISTRICT RET</v>
      </c>
    </row>
    <row r="2359" spans="1:8" x14ac:dyDescent="0.25">
      <c r="E2359" t="str">
        <f>""</f>
        <v/>
      </c>
      <c r="F2359" t="str">
        <f>""</f>
        <v/>
      </c>
      <c r="H2359" t="str">
        <f t="shared" si="52"/>
        <v>TEXAS COUNTY &amp; DISTRICT RET</v>
      </c>
    </row>
    <row r="2360" spans="1:8" x14ac:dyDescent="0.25">
      <c r="E2360" t="str">
        <f>""</f>
        <v/>
      </c>
      <c r="F2360" t="str">
        <f>""</f>
        <v/>
      </c>
      <c r="H2360" t="str">
        <f t="shared" si="52"/>
        <v>TEXAS COUNTY &amp; DISTRICT RET</v>
      </c>
    </row>
    <row r="2361" spans="1:8" x14ac:dyDescent="0.25">
      <c r="E2361" t="str">
        <f>""</f>
        <v/>
      </c>
      <c r="F2361" t="str">
        <f>""</f>
        <v/>
      </c>
      <c r="H2361" t="str">
        <f t="shared" si="52"/>
        <v>TEXAS COUNTY &amp; DISTRICT RET</v>
      </c>
    </row>
    <row r="2362" spans="1:8" x14ac:dyDescent="0.25">
      <c r="E2362" t="str">
        <f>""</f>
        <v/>
      </c>
      <c r="F2362" t="str">
        <f>""</f>
        <v/>
      </c>
      <c r="H2362" t="str">
        <f t="shared" si="52"/>
        <v>TEXAS COUNTY &amp; DISTRICT RET</v>
      </c>
    </row>
    <row r="2363" spans="1:8" x14ac:dyDescent="0.25">
      <c r="E2363" t="str">
        <f>""</f>
        <v/>
      </c>
      <c r="F2363" t="str">
        <f>""</f>
        <v/>
      </c>
      <c r="H2363" t="str">
        <f t="shared" si="52"/>
        <v>TEXAS COUNTY &amp; DISTRICT RET</v>
      </c>
    </row>
    <row r="2364" spans="1:8" x14ac:dyDescent="0.25">
      <c r="E2364" t="str">
        <f>"RET202006247387"</f>
        <v>RET202006247387</v>
      </c>
      <c r="F2364" t="str">
        <f>"TEXAS COUNTY  DISTRICT RET"</f>
        <v>TEXAS COUNTY  DISTRICT RET</v>
      </c>
      <c r="G2364" s="5">
        <v>6643.44</v>
      </c>
      <c r="H2364" t="str">
        <f>"TEXAS COUNTY  DISTRICT RET"</f>
        <v>TEXAS COUNTY  DISTRICT RET</v>
      </c>
    </row>
    <row r="2365" spans="1:8" x14ac:dyDescent="0.25">
      <c r="E2365" t="str">
        <f>""</f>
        <v/>
      </c>
      <c r="F2365" t="str">
        <f>""</f>
        <v/>
      </c>
      <c r="H2365" t="str">
        <f>"TEXAS COUNTY  DISTRICT RET"</f>
        <v>TEXAS COUNTY  DISTRICT RET</v>
      </c>
    </row>
    <row r="2366" spans="1:8" x14ac:dyDescent="0.25">
      <c r="E2366" t="str">
        <f>"RET202006247388"</f>
        <v>RET202006247388</v>
      </c>
      <c r="F2366" t="str">
        <f>"TEXAS COUNTY &amp; DISTRICT RET"</f>
        <v>TEXAS COUNTY &amp; DISTRICT RET</v>
      </c>
      <c r="G2366" s="5">
        <v>7579.6</v>
      </c>
      <c r="H2366" t="str">
        <f>"TEXAS COUNTY &amp; DISTRICT RET"</f>
        <v>TEXAS COUNTY &amp; DISTRICT RET</v>
      </c>
    </row>
    <row r="2367" spans="1:8" x14ac:dyDescent="0.25">
      <c r="E2367" t="str">
        <f>""</f>
        <v/>
      </c>
      <c r="F2367" t="str">
        <f>""</f>
        <v/>
      </c>
      <c r="H2367" t="str">
        <f>"TEXAS COUNTY &amp; DISTRICT RET"</f>
        <v>TEXAS COUNTY &amp; DISTRICT RET</v>
      </c>
    </row>
    <row r="2368" spans="1:8" x14ac:dyDescent="0.25">
      <c r="A2368" t="s">
        <v>337</v>
      </c>
      <c r="B2368">
        <v>47971</v>
      </c>
      <c r="C2368" s="5">
        <v>1452</v>
      </c>
      <c r="D2368" s="1">
        <v>44011</v>
      </c>
      <c r="E2368" t="str">
        <f>"LEG202006097241"</f>
        <v>LEG202006097241</v>
      </c>
      <c r="F2368" t="str">
        <f>"TEXAS LEGAL PROTECTION PLAN"</f>
        <v>TEXAS LEGAL PROTECTION PLAN</v>
      </c>
      <c r="G2368" s="5">
        <v>246</v>
      </c>
      <c r="H2368" t="str">
        <f>"TEXAS LEGAL PROTECTION PLAN"</f>
        <v>TEXAS LEGAL PROTECTION PLAN</v>
      </c>
    </row>
    <row r="2369" spans="3:8" x14ac:dyDescent="0.25">
      <c r="E2369" t="str">
        <f>"LEG202006247386"</f>
        <v>LEG202006247386</v>
      </c>
      <c r="F2369" t="str">
        <f>"TEXAS LEGAL PROTECTION PLAN"</f>
        <v>TEXAS LEGAL PROTECTION PLAN</v>
      </c>
      <c r="G2369" s="5">
        <v>246</v>
      </c>
      <c r="H2369" t="str">
        <f>"TEXAS LEGAL PROTECTION PLAN"</f>
        <v>TEXAS LEGAL PROTECTION PLAN</v>
      </c>
    </row>
    <row r="2370" spans="3:8" x14ac:dyDescent="0.25">
      <c r="E2370" t="str">
        <f>"LGF202006097241"</f>
        <v>LGF202006097241</v>
      </c>
      <c r="F2370" t="str">
        <f>"TEXAS LEGAL PROTECTION PLAN"</f>
        <v>TEXAS LEGAL PROTECTION PLAN</v>
      </c>
      <c r="G2370" s="5">
        <v>480</v>
      </c>
      <c r="H2370" t="str">
        <f>"TEXAS LEGAL PROTECTION PLAN"</f>
        <v>TEXAS LEGAL PROTECTION PLAN</v>
      </c>
    </row>
    <row r="2371" spans="3:8" x14ac:dyDescent="0.25">
      <c r="E2371" t="str">
        <f>"LGF202006247386"</f>
        <v>LGF202006247386</v>
      </c>
      <c r="F2371" t="str">
        <f>"TEXAS LEGAL PROTECTION PLAN"</f>
        <v>TEXAS LEGAL PROTECTION PLAN</v>
      </c>
      <c r="G2371" s="5">
        <v>480</v>
      </c>
      <c r="H2371" t="str">
        <f>"TEXAS LEGAL PROTECTION PLAN"</f>
        <v>TEXAS LEGAL PROTECTION PLAN</v>
      </c>
    </row>
    <row r="2372" spans="3:8" ht="15.75" thickBot="1" x14ac:dyDescent="0.3">
      <c r="C2372" s="6">
        <f>SUM(C2:C2371)</f>
        <v>2996560.1100000008</v>
      </c>
      <c r="D2372" s="2" t="s">
        <v>338</v>
      </c>
    </row>
    <row r="2373" spans="3:8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2020-07-15T14:16:21Z</dcterms:created>
  <dcterms:modified xsi:type="dcterms:W3CDTF">2020-07-15T14:19:58Z</dcterms:modified>
</cp:coreProperties>
</file>