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2435"/>
  </bookViews>
  <sheets>
    <sheet name="July 2020" sheetId="1" r:id="rId1"/>
  </sheets>
  <calcPr calcId="0"/>
</workbook>
</file>

<file path=xl/calcChain.xml><?xml version="1.0" encoding="utf-8"?>
<calcChain xmlns="http://schemas.openxmlformats.org/spreadsheetml/2006/main">
  <c r="E2" i="1" l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G1286" i="1"/>
  <c r="G2741" i="1" s="1"/>
  <c r="H1286" i="1"/>
  <c r="I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  <c r="E2722" i="1"/>
  <c r="F2722" i="1"/>
  <c r="H2722" i="1"/>
  <c r="E2723" i="1"/>
  <c r="F2723" i="1"/>
  <c r="H2723" i="1"/>
  <c r="E2724" i="1"/>
  <c r="F2724" i="1"/>
  <c r="H2724" i="1"/>
  <c r="E2725" i="1"/>
  <c r="F2725" i="1"/>
  <c r="H2725" i="1"/>
  <c r="E2726" i="1"/>
  <c r="F2726" i="1"/>
  <c r="H2726" i="1"/>
  <c r="E2727" i="1"/>
  <c r="F2727" i="1"/>
  <c r="H2727" i="1"/>
  <c r="E2728" i="1"/>
  <c r="F2728" i="1"/>
  <c r="H2728" i="1"/>
  <c r="E2729" i="1"/>
  <c r="F2729" i="1"/>
  <c r="H2729" i="1"/>
  <c r="E2730" i="1"/>
  <c r="F2730" i="1"/>
  <c r="H2730" i="1"/>
  <c r="E2731" i="1"/>
  <c r="F2731" i="1"/>
  <c r="H2731" i="1"/>
  <c r="E2732" i="1"/>
  <c r="F2732" i="1"/>
  <c r="H2732" i="1"/>
  <c r="E2733" i="1"/>
  <c r="F2733" i="1"/>
  <c r="H2733" i="1"/>
  <c r="E2734" i="1"/>
  <c r="F2734" i="1"/>
  <c r="H2734" i="1"/>
  <c r="E2735" i="1"/>
  <c r="F2735" i="1"/>
  <c r="H2735" i="1"/>
  <c r="E2736" i="1"/>
  <c r="F2736" i="1"/>
  <c r="H2736" i="1"/>
  <c r="E2737" i="1"/>
  <c r="F2737" i="1"/>
  <c r="H2737" i="1"/>
  <c r="E2738" i="1"/>
  <c r="F2738" i="1"/>
  <c r="H2738" i="1"/>
  <c r="E2739" i="1"/>
  <c r="F2739" i="1"/>
  <c r="H2739" i="1"/>
  <c r="E2740" i="1"/>
  <c r="F2740" i="1"/>
  <c r="H2740" i="1"/>
</calcChain>
</file>

<file path=xl/sharedStrings.xml><?xml version="1.0" encoding="utf-8"?>
<sst xmlns="http://schemas.openxmlformats.org/spreadsheetml/2006/main" count="497" uniqueCount="357">
  <si>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</si>
  <si>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</si>
  <si>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</si>
  <si>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</si>
  <si>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</si>
  <si>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</si>
  <si>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</si>
  <si>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</si>
  <si>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973 MATERIALS  LLC</t>
  </si>
  <si>
    <t>ARNOLD OIL COMPANY OF AUSTIN LP</t>
  </si>
  <si>
    <t>ABREO &amp; CARTER</t>
  </si>
  <si>
    <t>ADAM DAKOTA ROWINS</t>
  </si>
  <si>
    <t>ADENA LEWIS</t>
  </si>
  <si>
    <t>AIRGAS INC</t>
  </si>
  <si>
    <t>ALAMO  GROUP (TX)  INC</t>
  </si>
  <si>
    <t>ALBERT NEAL PFEIFFER</t>
  </si>
  <si>
    <t>ALEJANDRO RODRIGUEZ</t>
  </si>
  <si>
    <t>ALPHA CARD SYSTEM LLC</t>
  </si>
  <si>
    <t>AMAZON CAPITAL SERVICES INC</t>
  </si>
  <si>
    <t>AMERICAN ASSN OF NOTARIES</t>
  </si>
  <si>
    <t>AMERICAN FASTENERS  INC.</t>
  </si>
  <si>
    <t>AMG PRINTING &amp; MAILING  LLC</t>
  </si>
  <si>
    <t>ANDERSON &amp; ANDERSON LAW FIRM PC</t>
  </si>
  <si>
    <t>C APPLEMAN ENT INC</t>
  </si>
  <si>
    <t>APPRISS INC</t>
  </si>
  <si>
    <t>AQUA BEVERAGE COMPANY/OZARKA</t>
  </si>
  <si>
    <t>AQUA WATER SUPPLY CORPORATION</t>
  </si>
  <si>
    <t>ARSENAL ADVERTISING LLC</t>
  </si>
  <si>
    <t>AT&amp;T</t>
  </si>
  <si>
    <t>AT&amp;T MOBILITY</t>
  </si>
  <si>
    <t>ATLAS PHARMACEUTICALS  LLC</t>
  </si>
  <si>
    <t>RICHARD ATWOOD</t>
  </si>
  <si>
    <t>AUSTIN KIDNEY ASSOCIATES  PA</t>
  </si>
  <si>
    <t>AUSTIN RADIOLOGICAL ASSOC</t>
  </si>
  <si>
    <t>AXON ENTERPRISE  INC.</t>
  </si>
  <si>
    <t>B&amp;M TOWING &amp; RECOVERY L.L.C.</t>
  </si>
  <si>
    <t>MICHAEL OLDHAM TIRE INC</t>
  </si>
  <si>
    <t>BASTROP COUNTY SHERIFF'S DEPT</t>
  </si>
  <si>
    <t>DANIEL L HEPKER</t>
  </si>
  <si>
    <t>BASTROP COUNTY CARES</t>
  </si>
  <si>
    <t>BASTROP MEDICAL CLINIC</t>
  </si>
  <si>
    <t>BASTROP POLICE DEPT</t>
  </si>
  <si>
    <t>BASTROP PROVIDENCE  LLC</t>
  </si>
  <si>
    <t>BASTROP SIGNS &amp; BANNERS</t>
  </si>
  <si>
    <t>BAYER CORPORATION</t>
  </si>
  <si>
    <t>DAVID H OUTON</t>
  </si>
  <si>
    <t>BEACON SALES ACQUISITION  INC.</t>
  </si>
  <si>
    <t>BELL COUNTY SHERIFF</t>
  </si>
  <si>
    <t>BEN E KEITH CO.</t>
  </si>
  <si>
    <t>B C FOOD GROUP  LLC</t>
  </si>
  <si>
    <t>BETTY SKAGGS</t>
  </si>
  <si>
    <t>BIMBO FOODS INC</t>
  </si>
  <si>
    <t>BLAS J. COY  JR.</t>
  </si>
  <si>
    <t>BLUEBONNET AREA CRIME STOPPERS PROGRAM</t>
  </si>
  <si>
    <t>BLUEBONNET ELECTRIC COOPERATIVE  INC.</t>
  </si>
  <si>
    <t>BLUEBONNET TRAILS MHMR</t>
  </si>
  <si>
    <t>BRAUNTEX MATERIALS INC</t>
  </si>
  <si>
    <t>LAW OFFICE OF BRYAN W. MCDANIEL  P.C.</t>
  </si>
  <si>
    <t>BUREAU OF VITAL STATISTICS</t>
  </si>
  <si>
    <t>CAPITOL BEARING SERVICE OF AUSTIN  INC.</t>
  </si>
  <si>
    <t>TIB-THE INDEPENDENT BANKERS BANK</t>
  </si>
  <si>
    <t>CDW GOVERNMENT INC</t>
  </si>
  <si>
    <t>CENTERPOINT ENERGY</t>
  </si>
  <si>
    <t>CENTEX MATERIALS LLC</t>
  </si>
  <si>
    <t>CENTRAL TEXAS AUTOPSY</t>
  </si>
  <si>
    <t>CHARLES W CARVER</t>
  </si>
  <si>
    <t>CHECK PLUS STORAGE  LLC</t>
  </si>
  <si>
    <t>CHRIS MATT DILLON</t>
  </si>
  <si>
    <t>CHRISTOPHER DAVID HOMES</t>
  </si>
  <si>
    <t>CINTAS</t>
  </si>
  <si>
    <t>CINTAS CORPORATION</t>
  </si>
  <si>
    <t>CINTAS CORPORATION #86</t>
  </si>
  <si>
    <t>CITIBANK</t>
  </si>
  <si>
    <t>CITY OF BASTROP</t>
  </si>
  <si>
    <t>CLIFFORD POWER SYSTEMS INC</t>
  </si>
  <si>
    <t>CLINICAL PATHOLOGY LABORATORIES INC</t>
  </si>
  <si>
    <t>CML SECURITY  LLC</t>
  </si>
  <si>
    <t>COMMUNITY COFFEE COMPANY LLC</t>
  </si>
  <si>
    <t>COMMUNITY HEALTH CENTERS</t>
  </si>
  <si>
    <t>CONOR BROWN</t>
  </si>
  <si>
    <t>CONVERGENCE CABLING  INC.</t>
  </si>
  <si>
    <t>COOPER EQUIPMENT CO.</t>
  </si>
  <si>
    <t>COUNTY OF BEXAR - SHERIFF</t>
  </si>
  <si>
    <t>BUTLER ANIMAL HEALTH HOLDING COMPANY  LLC</t>
  </si>
  <si>
    <t>CRESSIDA EVELYN KWOLEK  Ph.D.</t>
  </si>
  <si>
    <t>DALLAS COUNTY CONSTABLE PCT 1</t>
  </si>
  <si>
    <t>DARLON J. SOJAK</t>
  </si>
  <si>
    <t>DASH MEDICAL GLOVES INC.</t>
  </si>
  <si>
    <t>DAVID B BROOKS</t>
  </si>
  <si>
    <t>DAVID M COLLINS</t>
  </si>
  <si>
    <t>DEAN DAIRY CORPORATE  LLC</t>
  </si>
  <si>
    <t>DELL</t>
  </si>
  <si>
    <t>DENTRUST DENTAL TX PC</t>
  </si>
  <si>
    <t>TEXAS DEPARTMENT OF INFORMATION RESOURCES</t>
  </si>
  <si>
    <t>DISCOUNT DOOR &amp; METAL  LLC</t>
  </si>
  <si>
    <t>DISCOUNT FEEDS &amp; SUPPLIES</t>
  </si>
  <si>
    <t>THE REINALT - THOMAS CORPORATION</t>
  </si>
  <si>
    <t>DONNIE STARK</t>
  </si>
  <si>
    <t>DOUBLE D INTERNATIONAL FOOD CO.  INC.</t>
  </si>
  <si>
    <t>DOUBLE TUFF TRUCK TARPS INC</t>
  </si>
  <si>
    <t>KRISTI ARRINGTON KALLINA</t>
  </si>
  <si>
    <t>DUNNE &amp; JUAREZ L.L.C.</t>
  </si>
  <si>
    <t>DURAN GRAVEL CO. INC</t>
  </si>
  <si>
    <t>DAVID MCMULLEN</t>
  </si>
  <si>
    <t>ECOLAB INC</t>
  </si>
  <si>
    <t>ELECTION SYSTEMS &amp; SOFTWARE INC</t>
  </si>
  <si>
    <t>BLACKLANDS PUBLICATIONS INC</t>
  </si>
  <si>
    <t>RALPH DAVID GLASS</t>
  </si>
  <si>
    <t>ELGIN POLICE DEPARTMENT</t>
  </si>
  <si>
    <t>ELGIN REINVESTMENT ZONE # 1</t>
  </si>
  <si>
    <t>CITY OF ELGIN UTILITIES</t>
  </si>
  <si>
    <t>ELLIOTT ELECTRIC SUPPLY INC</t>
  </si>
  <si>
    <t>ERGON ASPHALT &amp; EMULSIONS INC</t>
  </si>
  <si>
    <t>ERIN NICKEL</t>
  </si>
  <si>
    <t>EWALD KUBOTA  INC.</t>
  </si>
  <si>
    <t>EWEAC</t>
  </si>
  <si>
    <t>BASTROP COUNTY WOMEN'S SHELTER</t>
  </si>
  <si>
    <t>FORREST L. SANDERSON</t>
  </si>
  <si>
    <t>AUSTIN TRUCK AND EQUIPMENT  LTD</t>
  </si>
  <si>
    <t>EUGENE W BRIGGS JR</t>
  </si>
  <si>
    <t>GALLS PARENT HOLDINGS LLC</t>
  </si>
  <si>
    <t>GIPSON PENDERGRASS PEOPLE'S MORTUARY LLC</t>
  </si>
  <si>
    <t>GOVERNMENT FORMS AND SUPPLIES LLC</t>
  </si>
  <si>
    <t>GRUENE WASTE SERVICES LP</t>
  </si>
  <si>
    <t>GT DISTRIBUTORS  INC.</t>
  </si>
  <si>
    <t>GULF COAST PAPER CO. INC.</t>
  </si>
  <si>
    <t>VERTEX ENERGY  INC.</t>
  </si>
  <si>
    <t>HALFF ASSOCIATES</t>
  </si>
  <si>
    <t>DOUGLAS D. SPILLMAN</t>
  </si>
  <si>
    <t>HAYS COUNTY CONSTABLE PCT 4</t>
  </si>
  <si>
    <t>HAYS COUNTY CONSTABLE PCT 5</t>
  </si>
  <si>
    <t>HI-LINE</t>
  </si>
  <si>
    <t>BASCOM L HODGES JR</t>
  </si>
  <si>
    <t>HODGSON G ECKEL</t>
  </si>
  <si>
    <t>BD HOLT CO</t>
  </si>
  <si>
    <t>CITIBANK (SOUTH DAKOTA)N.A./THE HOME DEPOT</t>
  </si>
  <si>
    <t>NORTHWEST CASCADE INC</t>
  </si>
  <si>
    <t>MARK DUBE</t>
  </si>
  <si>
    <t>RS EQUIPMENT CO</t>
  </si>
  <si>
    <t>GREGORY LUCAS</t>
  </si>
  <si>
    <t>HEAT TRANSFER SOLUTIONS  INC.</t>
  </si>
  <si>
    <t>HULL SUPPLY COMPANY INC</t>
  </si>
  <si>
    <t>HYDRAULIC HOUSE INC</t>
  </si>
  <si>
    <t>ICS</t>
  </si>
  <si>
    <t>IDEXX DISTRIBUTION INC</t>
  </si>
  <si>
    <t>INDIGENT HEALTHCARE SOLUTIONS</t>
  </si>
  <si>
    <t>IRON MOUNTAIN RECORDS MGMT INC</t>
  </si>
  <si>
    <t>JAMES MILLER</t>
  </si>
  <si>
    <t>JAMES O. BURKE</t>
  </si>
  <si>
    <t>JAYCEE DAWSON</t>
  </si>
  <si>
    <t>JEFF JOHNSON</t>
  </si>
  <si>
    <t>JENKINS &amp; JENKINS LLP</t>
  </si>
  <si>
    <t>JAMES MORGAN</t>
  </si>
  <si>
    <t>JESUS MIER</t>
  </si>
  <si>
    <t>JOHNNIE SCHROEDER  JR.</t>
  </si>
  <si>
    <t>JORDAN BATTERSBY  MCDONALD</t>
  </si>
  <si>
    <t>JUSTIN MATTHEW FOHN</t>
  </si>
  <si>
    <t>KAYCI SCHULTZ WATSON</t>
  </si>
  <si>
    <t>KELLY-MOORE PAINT COMPANY  INC</t>
  </si>
  <si>
    <t>KENT BROUSSARD TOWER RENTAL INC</t>
  </si>
  <si>
    <t>KEVIN LITTLE</t>
  </si>
  <si>
    <t>DIONNE HIEBERT</t>
  </si>
  <si>
    <t>KICKIE D'ALFONSO</t>
  </si>
  <si>
    <t>KLEIBER FORD TRACTOR  INC.</t>
  </si>
  <si>
    <t>KOETTER FIRE PROTECTION OF AUSTIN  LLC</t>
  </si>
  <si>
    <t>THE LA GRANGE PARTS HOUSE INC</t>
  </si>
  <si>
    <t>LABATT INSTITUTIONAL SUPPLY CO</t>
  </si>
  <si>
    <t>LAURA ROBERTSON</t>
  </si>
  <si>
    <t>LAW ENFORCEMENT RISK MANAGEMENT GROUP  INC.</t>
  </si>
  <si>
    <t>LEIF JOHNSON FORD II LTD</t>
  </si>
  <si>
    <t>LEXISNEXIS RISK DATA MGMT INC</t>
  </si>
  <si>
    <t>LIBERTY TIRE RECYCLING</t>
  </si>
  <si>
    <t>LINDA HARMON - TAX-ASSESSOR</t>
  </si>
  <si>
    <t>LINDA HARMON-TAX ASSESSOR</t>
  </si>
  <si>
    <t>LINDSEY SIMMONS</t>
  </si>
  <si>
    <t>LONE STAR CIRCLE OF CARE</t>
  </si>
  <si>
    <t>UNITED KWB COLLABORATIONS LLC</t>
  </si>
  <si>
    <t>LONNIE LAWRENCE DAVIS JR</t>
  </si>
  <si>
    <t>SCOTT BRYANT</t>
  </si>
  <si>
    <t>TRUBAR  LLC</t>
  </si>
  <si>
    <t>LOWE'S</t>
  </si>
  <si>
    <t>MARIA ANFOSSO</t>
  </si>
  <si>
    <t>MARIO GINTELLA</t>
  </si>
  <si>
    <t>MARK T. MALONE  M.D. P.A</t>
  </si>
  <si>
    <t>MARY BETH SCOTT</t>
  </si>
  <si>
    <t>MATHESON TRI-GAS INC</t>
  </si>
  <si>
    <t>McCREARY  VESELKA  BRAGG &amp; ALLEN P</t>
  </si>
  <si>
    <t>McKESSON MEDICAL-SURGIVAL GOVERNMENT SOLUTIONS LLC</t>
  </si>
  <si>
    <t>MEDIMPACT HEALTHCARE SYSTEMS INC</t>
  </si>
  <si>
    <t>MIDTEX MATERIALS</t>
  </si>
  <si>
    <t>TUCKER WITHINGTON BRISCOE</t>
  </si>
  <si>
    <t>VIRGINIA ROSS BERDOLL</t>
  </si>
  <si>
    <t>SANDRA JEAN GOERTZ</t>
  </si>
  <si>
    <t>BLAKE ROBERT CLAMPFFER</t>
  </si>
  <si>
    <t>JACKIE VAN EVANS</t>
  </si>
  <si>
    <t>MARISA JANIRA GARCIA</t>
  </si>
  <si>
    <t>CRAIG EDWARD COSGROVE</t>
  </si>
  <si>
    <t>VICTORIA MAXWELL ALLEN</t>
  </si>
  <si>
    <t>MIGUEL ANGEL DELACRUZ</t>
  </si>
  <si>
    <t>JO LYNN COHEN</t>
  </si>
  <si>
    <t>SALLIE SKELLEY BLALOCK</t>
  </si>
  <si>
    <t>DONALD C BELCHER JR</t>
  </si>
  <si>
    <t>SOUTHWEST TEXAS EQUIPMENT DIST INC</t>
  </si>
  <si>
    <t>MOTOROLA SOLUTIONS  IN.C</t>
  </si>
  <si>
    <t>MOUNTAIN WEST DERM-AUSTIN PLLC</t>
  </si>
  <si>
    <t>NALCO COMPANY LLC</t>
  </si>
  <si>
    <t>NALLEY HVAC MECHANICAL LLC</t>
  </si>
  <si>
    <t>NATIONAL FOOD GROUP INC</t>
  </si>
  <si>
    <t>JOHN NIXON</t>
  </si>
  <si>
    <t>O'REILLY AUTOMOTIVE  INC.</t>
  </si>
  <si>
    <t>OFFICE DEPOT</t>
  </si>
  <si>
    <t>OMNIBASE SERVICES OF TEXAS LP</t>
  </si>
  <si>
    <t>ON SITE SERVICES</t>
  </si>
  <si>
    <t>ROGER C. OSBORN</t>
  </si>
  <si>
    <t>P SQUARED EMULSION PLANTS  LLC</t>
  </si>
  <si>
    <t>PAPER RETRIEVER OF TEXAS</t>
  </si>
  <si>
    <t>SL PARKER PARTNERSHIP LLC</t>
  </si>
  <si>
    <t>PATRICK ELECTRIC SERVICE</t>
  </si>
  <si>
    <t>PATTERSON  VETERINARY SUPPLY INC</t>
  </si>
  <si>
    <t>PHILIP R DUCLOUX</t>
  </si>
  <si>
    <t>PB PROFESSIONAL SERVICES INC</t>
  </si>
  <si>
    <t>PITNEY BOWES GLOBAL FINANCIAL SERVICES</t>
  </si>
  <si>
    <t>POST OAK HARDWARE  INC.</t>
  </si>
  <si>
    <t>JOHN DEERE FINANCIAL f.s.b.</t>
  </si>
  <si>
    <t>POPE PRO ENTERPRISES INC</t>
  </si>
  <si>
    <t>PTS OF AMERICA  LLC</t>
  </si>
  <si>
    <t>MADTEX  INC.</t>
  </si>
  <si>
    <t>NESTLE WATERS N AMERICA INC</t>
  </si>
  <si>
    <t>JIM BOB DOOLEY</t>
  </si>
  <si>
    <t>REBECCA STRNAD</t>
  </si>
  <si>
    <t>RED WING BUSINESS ADVANTAGE ACCOUNT</t>
  </si>
  <si>
    <t>REPUBLIC TRUCK SALES   PARTS  &amp; REPAIRS LLC</t>
  </si>
  <si>
    <t>REYNOLDS &amp; KEINARTH</t>
  </si>
  <si>
    <t>RIATA FORD</t>
  </si>
  <si>
    <t>CIT TECHNOLOGY FINANCE</t>
  </si>
  <si>
    <t>RUNKLE ENTERPRISES</t>
  </si>
  <si>
    <t>ROADRUNNER RADIOLOGY EQUIP LLC</t>
  </si>
  <si>
    <t>ROBERT MADDEN INDUSTRIES LTD</t>
  </si>
  <si>
    <t>ROCKY ROAD PRINTING</t>
  </si>
  <si>
    <t>ROSE PIETSCH COUNTY CLERK</t>
  </si>
  <si>
    <t>SAMMY LERMA III MD</t>
  </si>
  <si>
    <t>SCOTT &amp; WHITE CLINIC</t>
  </si>
  <si>
    <t>SECURUS TECHNOLOGIES INC</t>
  </si>
  <si>
    <t>SERVICE CASTER CORPORATION</t>
  </si>
  <si>
    <t>SETON FAMILY OF HOSPITALS</t>
  </si>
  <si>
    <t>SETON HEALTHCARE SPONSORED PROJECTS</t>
  </si>
  <si>
    <t>FERRELLGAS  LP</t>
  </si>
  <si>
    <t>SHI GOVERNMENT SOLUTIONS INC.</t>
  </si>
  <si>
    <t>SHOR-LINE</t>
  </si>
  <si>
    <t>SHRED-IT US HOLDCO  INC</t>
  </si>
  <si>
    <t>SIMPSON SEPTIC INCORPORATED</t>
  </si>
  <si>
    <t>SINGLETON ASSOCIATES  PA</t>
  </si>
  <si>
    <t>SMITH STORES  INC.</t>
  </si>
  <si>
    <t>SMITHVILLE AUTO PARTS  INC</t>
  </si>
  <si>
    <t>SMITHVILLE POLICE DEPT.</t>
  </si>
  <si>
    <t>SOUTHERN TIRE MART LLC</t>
  </si>
  <si>
    <t>DS WATERS OF AMERICA INC</t>
  </si>
  <si>
    <t>SPARKLETTS &amp; SIERRA SPRINGS</t>
  </si>
  <si>
    <t>ST DAVID'S HEALTHCARE PARTNERSHIP</t>
  </si>
  <si>
    <t>ST. DAVIDS HEART &amp; VASCULAR  PLLC</t>
  </si>
  <si>
    <t>STAPLES  INC.</t>
  </si>
  <si>
    <t>STATE OF TEXAS</t>
  </si>
  <si>
    <t>STEGER &amp; BIZZELL ENGINEERING  INC</t>
  </si>
  <si>
    <t>STERICYCLE  INC.</t>
  </si>
  <si>
    <t>STEVE GRANADO</t>
  </si>
  <si>
    <t>MATTHEW LEE SULLINS</t>
  </si>
  <si>
    <t>SUN COAST RESOURCES</t>
  </si>
  <si>
    <t>T-MOBILE USA</t>
  </si>
  <si>
    <t>T4 DISTRIBUTION  LLC</t>
  </si>
  <si>
    <t>TAVCO SERVICES INC</t>
  </si>
  <si>
    <t>TEXAS A&amp;M ENGINEERING EXTENSION SERVICE</t>
  </si>
  <si>
    <t>TEJAS ELEVATOR COMPANY</t>
  </si>
  <si>
    <t>JOHN J FIETSAM INC</t>
  </si>
  <si>
    <t>TEX-CON OIL CO</t>
  </si>
  <si>
    <t>TEXAS AGGREGATES  LLC</t>
  </si>
  <si>
    <t>TEXAS ASSOCIATES INSURORS AGENCY</t>
  </si>
  <si>
    <t>TEXAS ASSOCIATION OF COUNTIES</t>
  </si>
  <si>
    <t>TEXAS COMMISSION ON JAIL STANDARDS</t>
  </si>
  <si>
    <t>TEXAS CORRECTIONAL INDUSTRIES</t>
  </si>
  <si>
    <t>TEXAS DEPT OF PUBLIC SAFETY</t>
  </si>
  <si>
    <t>TEXAS DISPOSAL SYSTEMS  INC.</t>
  </si>
  <si>
    <t>TEXAS HOTEL &amp; LODGING ASSN</t>
  </si>
  <si>
    <t>TEXAS JUSTICE COURT TRAINING CENTER</t>
  </si>
  <si>
    <t>TEXAS STATE UNIVERSITY</t>
  </si>
  <si>
    <t>TEXAS PARKS &amp; WILDLIFE DEPARTMENT</t>
  </si>
  <si>
    <t>BUG MASTER EXTERMINATING SERVICES  LTD</t>
  </si>
  <si>
    <t>JAMES ANDREW CASEY</t>
  </si>
  <si>
    <t>RICHARD NELSON MOORE</t>
  </si>
  <si>
    <t>WEST PUBLISHING CORPORATION</t>
  </si>
  <si>
    <t>TELVA D KESLER</t>
  </si>
  <si>
    <t>TRACTOR SUPPLY CREDIT PLAN</t>
  </si>
  <si>
    <t>TRANE</t>
  </si>
  <si>
    <t>TRAVIS COUNTY CONSTABLE PCT 5</t>
  </si>
  <si>
    <t>TRAVIS COUNTY EMERGENCY PHYSICIANS PA</t>
  </si>
  <si>
    <t>TRAVIS COUNTY MEDICAL EXAMINER</t>
  </si>
  <si>
    <t>KAUFFMAN TIRE</t>
  </si>
  <si>
    <t>SETON FAMILY OF DOCTORS</t>
  </si>
  <si>
    <t>TRP CONSTRUTION GROUP  LLC</t>
  </si>
  <si>
    <t>TULL FARLEY</t>
  </si>
  <si>
    <t>TVMDL</t>
  </si>
  <si>
    <t>TYLER TECHNOLOGIES INC</t>
  </si>
  <si>
    <t>COUFAL-PRATER EQUIPMENT  LLC</t>
  </si>
  <si>
    <t>vDESKTOP LLC</t>
  </si>
  <si>
    <t>VICTORY SUPPLY LLC</t>
  </si>
  <si>
    <t>TEXAS DEPARTMENT OF STATE HEALTH SERVICES</t>
  </si>
  <si>
    <t>US BANK NA</t>
  </si>
  <si>
    <t>VTX COMMUNICATIONS  LLC</t>
  </si>
  <si>
    <t>WALLER COUNTY ASPHALT INC</t>
  </si>
  <si>
    <t>WASHING EQUIPMENT OF TEXAS</t>
  </si>
  <si>
    <t>WASTE CONNECTIONS LONE STAR. INC.</t>
  </si>
  <si>
    <t>WASTE MANAGEMENT OF TEXAS  INC</t>
  </si>
  <si>
    <t>WIND KNOT INCORPORATED</t>
  </si>
  <si>
    <t>WEI-ANN LIN (REIMBURSEMENTS ONLY)</t>
  </si>
  <si>
    <t>MAO PHARMACY INC</t>
  </si>
  <si>
    <t>WILLIAMSON COUNTY CONSTABLE PCT 1</t>
  </si>
  <si>
    <t>="11</t>
  </si>
  <si>
    <t>328"</t>
  </si>
  <si>
    <t>WILSON CULVERTS  INC.</t>
  </si>
  <si>
    <t>ZBATTERY.COM INC</t>
  </si>
  <si>
    <t>ZOETIS US LLC</t>
  </si>
  <si>
    <t>AMERICAN INSTITUTE OF TOXICOLOGY</t>
  </si>
  <si>
    <t>BASTROP INDEPENDENT SCHOOL DISTRICT</t>
  </si>
  <si>
    <t>CHASCO CONSTRUCTORS LTD LLP</t>
  </si>
  <si>
    <t>COPPERAS CREEK HOUSTON TOAD PRESERVE</t>
  </si>
  <si>
    <t>DANIELA VLAD</t>
  </si>
  <si>
    <t>DESMAR WALKES</t>
  </si>
  <si>
    <t>FIRST NATIONAL BANK</t>
  </si>
  <si>
    <t>L&amp;W SUPPLY CORPORATION</t>
  </si>
  <si>
    <t>ACADIAN AMBULANCE SERVICE  INC</t>
  </si>
  <si>
    <t>VIZOCOM ICT LLC</t>
  </si>
  <si>
    <t>ZORO TOOLS INC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</si>
  <si>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</si>
  <si>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</si>
  <si>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</si>
  <si>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</si>
  <si>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</si>
  <si>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GUARDIAN</t>
  </si>
  <si>
    <t>IRS-PAYROLL TAXES</t>
  </si>
  <si>
    <t>GERALD FLORES OLIVO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</si>
  <si>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</si>
  <si>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</si>
  <si>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</si>
  <si>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</si>
  <si>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</si>
  <si>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JIM ATTRA INC</t>
  </si>
  <si>
    <t>BOBBY BROWN</t>
  </si>
  <si>
    <t>DICKENS LOCKSMITH INC</t>
  </si>
  <si>
    <t>HARBOR FREIGHT TOOLS USA  INC</t>
  </si>
  <si>
    <t>McCOY'S BUILDING SUPPLY CENTER</t>
  </si>
  <si>
    <t>OVIEDO MOTORS  LLC</t>
  </si>
  <si>
    <t>POSTMASTER</t>
  </si>
  <si>
    <t>SHOPPA'S FARM SUPPLY</t>
  </si>
  <si>
    <t>SOUTHSIDE MARKET &amp; BBQ  INC.</t>
  </si>
  <si>
    <t>TEXAS DEPT OF LICENSING &amp; REGULATION</t>
  </si>
  <si>
    <t>AUSTIN PLASTICS &amp; SUPPLY INC.</t>
  </si>
  <si>
    <t>TODAYS CLASSROOM LLC</t>
  </si>
  <si>
    <t>WALMART COMMUNITY BRC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</si>
</sst>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4" fontId="0" fillId="0" borderId="0" xfId="1" applyFont="1"/>
    <xf numFmtId="0" fontId="18" fillId="0" borderId="0" xfId="0" applyFont="1"/>
    <xf numFmtId="44" fontId="18" fillId="0" borderId="0" xfId="1" applyFont="1"/>
    <xf numFmtId="44" fontId="0" fillId="0" borderId="10" xfId="1" applyFont="1" applyBorder="1"/>
    <xf numFmtId="44" fontId="0" fillId="0" borderId="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42"/>
  <sheetViews>
    <sheetView tabSelected="1" workbookViewId="0"/>
  </sheetViews>
  <sheetFormatPr defaultRowHeight="15" x14ac:dyDescent="0.25"/>
  <cols>
    <col min="1" max="1" width="56.7109375" bestFit="1" customWidth="1"/>
    <col min="2" max="2" width="7.7109375" bestFit="1" customWidth="1"/>
    <col min="3" max="3" width="14.28515625" style="2" bestFit="1" customWidth="1"/>
    <col min="4" max="4" width="10.85546875" bestFit="1" customWidth="1"/>
    <col min="5" max="5" width="20.140625" bestFit="1" customWidth="1"/>
    <col min="6" max="6" width="34.5703125" bestFit="1" customWidth="1"/>
    <col min="7" max="7" width="16.7109375" style="2" customWidth="1"/>
    <col min="8" max="8" width="34.5703125" bestFit="1" customWidth="1"/>
  </cols>
  <sheetData>
    <row r="1" spans="1:8" s="3" customFormat="1" x14ac:dyDescent="0.2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</row>
    <row r="2" spans="1:8" x14ac:dyDescent="0.25">
      <c r="A2" t="s">
        <v>8</v>
      </c>
      <c r="B2">
        <v>2787</v>
      </c>
      <c r="C2" s="2">
        <v>13219.15</v>
      </c>
      <c r="D2" s="1">
        <v>44026</v>
      </c>
      <c r="E2" t="str">
        <f>"9725-001-116616"</f>
        <v>9725-001-116616</v>
      </c>
      <c r="F2" t="str">
        <f t="shared" ref="F2:F23" si="0">"ACCT#9725-001/REC BASE/PCT#2"</f>
        <v>ACCT#9725-001/REC BASE/PCT#2</v>
      </c>
      <c r="G2" s="2">
        <v>1029.3599999999999</v>
      </c>
      <c r="H2" t="str">
        <f t="shared" ref="H2:H23" si="1">"ACCT#9725-001/REC BASE/PCT#2"</f>
        <v>ACCT#9725-001/REC BASE/PCT#2</v>
      </c>
    </row>
    <row r="3" spans="1:8" x14ac:dyDescent="0.25">
      <c r="E3" t="str">
        <f>"9725-001-116635"</f>
        <v>9725-001-116635</v>
      </c>
      <c r="F3" t="str">
        <f t="shared" si="0"/>
        <v>ACCT#9725-001/REC BASE/PCT#2</v>
      </c>
      <c r="G3" s="2">
        <v>1659.72</v>
      </c>
      <c r="H3" t="str">
        <f t="shared" si="1"/>
        <v>ACCT#9725-001/REC BASE/PCT#2</v>
      </c>
    </row>
    <row r="4" spans="1:8" x14ac:dyDescent="0.25">
      <c r="E4" t="str">
        <f>"9725-001-116656"</f>
        <v>9725-001-116656</v>
      </c>
      <c r="F4" t="str">
        <f t="shared" si="0"/>
        <v>ACCT#9725-001/REC BASE/PCT#2</v>
      </c>
      <c r="G4" s="2">
        <v>1267</v>
      </c>
      <c r="H4" t="str">
        <f t="shared" si="1"/>
        <v>ACCT#9725-001/REC BASE/PCT#2</v>
      </c>
    </row>
    <row r="5" spans="1:8" x14ac:dyDescent="0.25">
      <c r="E5" t="str">
        <f>"9725-001-116675"</f>
        <v>9725-001-116675</v>
      </c>
      <c r="F5" t="str">
        <f t="shared" si="0"/>
        <v>ACCT#9725-001/REC BASE/PCT#2</v>
      </c>
      <c r="G5" s="2">
        <v>1113.8800000000001</v>
      </c>
      <c r="H5" t="str">
        <f t="shared" si="1"/>
        <v>ACCT#9725-001/REC BASE/PCT#2</v>
      </c>
    </row>
    <row r="6" spans="1:8" x14ac:dyDescent="0.25">
      <c r="E6" t="str">
        <f>"9725-001-116694"</f>
        <v>9725-001-116694</v>
      </c>
      <c r="F6" t="str">
        <f t="shared" si="0"/>
        <v>ACCT#9725-001/REC BASE/PCT#2</v>
      </c>
      <c r="G6" s="2">
        <v>411.43</v>
      </c>
      <c r="H6" t="str">
        <f t="shared" si="1"/>
        <v>ACCT#9725-001/REC BASE/PCT#2</v>
      </c>
    </row>
    <row r="7" spans="1:8" x14ac:dyDescent="0.25">
      <c r="E7" t="str">
        <f>"9725-001-116718"</f>
        <v>9725-001-116718</v>
      </c>
      <c r="F7" t="str">
        <f t="shared" si="0"/>
        <v>ACCT#9725-001/REC BASE/PCT#2</v>
      </c>
      <c r="G7" s="2">
        <v>847.36</v>
      </c>
      <c r="H7" t="str">
        <f t="shared" si="1"/>
        <v>ACCT#9725-001/REC BASE/PCT#2</v>
      </c>
    </row>
    <row r="8" spans="1:8" x14ac:dyDescent="0.25">
      <c r="E8" t="str">
        <f>"9725-001-116737"</f>
        <v>9725-001-116737</v>
      </c>
      <c r="F8" t="str">
        <f t="shared" si="0"/>
        <v>ACCT#9725-001/REC BASE/PCT#2</v>
      </c>
      <c r="G8" s="2">
        <v>1134.8800000000001</v>
      </c>
      <c r="H8" t="str">
        <f t="shared" si="1"/>
        <v>ACCT#9725-001/REC BASE/PCT#2</v>
      </c>
    </row>
    <row r="9" spans="1:8" x14ac:dyDescent="0.25">
      <c r="E9" t="str">
        <f>"9725-001-116748"</f>
        <v>9725-001-116748</v>
      </c>
      <c r="F9" t="str">
        <f t="shared" si="0"/>
        <v>ACCT#9725-001/REC BASE/PCT#2</v>
      </c>
      <c r="G9" s="2">
        <v>1165.69</v>
      </c>
      <c r="H9" t="str">
        <f t="shared" si="1"/>
        <v>ACCT#9725-001/REC BASE/PCT#2</v>
      </c>
    </row>
    <row r="10" spans="1:8" x14ac:dyDescent="0.25">
      <c r="E10" t="str">
        <f>"9725-001-116765"</f>
        <v>9725-001-116765</v>
      </c>
      <c r="F10" t="str">
        <f t="shared" si="0"/>
        <v>ACCT#9725-001/REC BASE/PCT#2</v>
      </c>
      <c r="G10" s="2">
        <v>1535.63</v>
      </c>
      <c r="H10" t="str">
        <f t="shared" si="1"/>
        <v>ACCT#9725-001/REC BASE/PCT#2</v>
      </c>
    </row>
    <row r="11" spans="1:8" x14ac:dyDescent="0.25">
      <c r="E11" t="str">
        <f>"9725-001-116785"</f>
        <v>9725-001-116785</v>
      </c>
      <c r="F11" t="str">
        <f t="shared" si="0"/>
        <v>ACCT#9725-001/REC BASE/PCT#2</v>
      </c>
      <c r="G11" s="2">
        <v>847.01</v>
      </c>
      <c r="H11" t="str">
        <f t="shared" si="1"/>
        <v>ACCT#9725-001/REC BASE/PCT#2</v>
      </c>
    </row>
    <row r="12" spans="1:8" x14ac:dyDescent="0.25">
      <c r="E12" t="str">
        <f>"9725-001-116816"</f>
        <v>9725-001-116816</v>
      </c>
      <c r="F12" t="str">
        <f t="shared" si="0"/>
        <v>ACCT#9725-001/REC BASE/PCT#2</v>
      </c>
      <c r="G12" s="2">
        <v>801.07</v>
      </c>
      <c r="H12" t="str">
        <f t="shared" si="1"/>
        <v>ACCT#9725-001/REC BASE/PCT#2</v>
      </c>
    </row>
    <row r="13" spans="1:8" x14ac:dyDescent="0.25">
      <c r="E13" t="str">
        <f>"9725-001-116843"</f>
        <v>9725-001-116843</v>
      </c>
      <c r="F13" t="str">
        <f t="shared" si="0"/>
        <v>ACCT#9725-001/REC BASE/PCT#2</v>
      </c>
      <c r="G13" s="2">
        <v>383.51</v>
      </c>
      <c r="H13" t="str">
        <f t="shared" si="1"/>
        <v>ACCT#9725-001/REC BASE/PCT#2</v>
      </c>
    </row>
    <row r="14" spans="1:8" x14ac:dyDescent="0.25">
      <c r="E14" t="str">
        <f>"9725-001-116863"</f>
        <v>9725-001-116863</v>
      </c>
      <c r="F14" t="str">
        <f t="shared" si="0"/>
        <v>ACCT#9725-001/REC BASE/PCT#2</v>
      </c>
      <c r="G14" s="2">
        <v>199.94</v>
      </c>
      <c r="H14" t="str">
        <f t="shared" si="1"/>
        <v>ACCT#9725-001/REC BASE/PCT#2</v>
      </c>
    </row>
    <row r="15" spans="1:8" x14ac:dyDescent="0.25">
      <c r="E15" t="str">
        <f>"9725-001-116886"</f>
        <v>9725-001-116886</v>
      </c>
      <c r="F15" t="str">
        <f t="shared" si="0"/>
        <v>ACCT#9725-001/REC BASE/PCT#2</v>
      </c>
      <c r="G15" s="2">
        <v>822.67</v>
      </c>
      <c r="H15" t="str">
        <f t="shared" si="1"/>
        <v>ACCT#9725-001/REC BASE/PCT#2</v>
      </c>
    </row>
    <row r="16" spans="1:8" x14ac:dyDescent="0.25">
      <c r="A16" t="s">
        <v>8</v>
      </c>
      <c r="B16">
        <v>2871</v>
      </c>
      <c r="C16" s="2">
        <v>4745.5</v>
      </c>
      <c r="D16" s="1">
        <v>44040</v>
      </c>
      <c r="E16" t="str">
        <f>"9725-001-116924"</f>
        <v>9725-001-116924</v>
      </c>
      <c r="F16" t="str">
        <f t="shared" si="0"/>
        <v>ACCT#9725-001/REC BASE/PCT#2</v>
      </c>
      <c r="G16" s="2">
        <v>355.51</v>
      </c>
      <c r="H16" t="str">
        <f t="shared" si="1"/>
        <v>ACCT#9725-001/REC BASE/PCT#2</v>
      </c>
    </row>
    <row r="17" spans="1:8" x14ac:dyDescent="0.25">
      <c r="E17" t="str">
        <f>"9725-001-116946"</f>
        <v>9725-001-116946</v>
      </c>
      <c r="F17" t="str">
        <f t="shared" si="0"/>
        <v>ACCT#9725-001/REC BASE/PCT#2</v>
      </c>
      <c r="G17" s="2">
        <v>1016.83</v>
      </c>
      <c r="H17" t="str">
        <f t="shared" si="1"/>
        <v>ACCT#9725-001/REC BASE/PCT#2</v>
      </c>
    </row>
    <row r="18" spans="1:8" x14ac:dyDescent="0.25">
      <c r="E18" t="str">
        <f>"9725-001-116972"</f>
        <v>9725-001-116972</v>
      </c>
      <c r="F18" t="str">
        <f t="shared" si="0"/>
        <v>ACCT#9725-001/REC BASE/PCT#2</v>
      </c>
      <c r="G18" s="2">
        <v>1139.53</v>
      </c>
      <c r="H18" t="str">
        <f t="shared" si="1"/>
        <v>ACCT#9725-001/REC BASE/PCT#2</v>
      </c>
    </row>
    <row r="19" spans="1:8" x14ac:dyDescent="0.25">
      <c r="E19" t="str">
        <f>"9725-001-116993"</f>
        <v>9725-001-116993</v>
      </c>
      <c r="F19" t="str">
        <f t="shared" si="0"/>
        <v>ACCT#9725-001/REC BASE/PCT#2</v>
      </c>
      <c r="G19" s="2">
        <v>1177.5899999999999</v>
      </c>
      <c r="H19" t="str">
        <f t="shared" si="1"/>
        <v>ACCT#9725-001/REC BASE/PCT#2</v>
      </c>
    </row>
    <row r="20" spans="1:8" x14ac:dyDescent="0.25">
      <c r="E20" t="str">
        <f>"9725-001-117043"</f>
        <v>9725-001-117043</v>
      </c>
      <c r="F20" t="str">
        <f t="shared" si="0"/>
        <v>ACCT#9725-001/REC BASE/PCT#2</v>
      </c>
      <c r="G20" s="2">
        <v>218.31</v>
      </c>
      <c r="H20" t="str">
        <f t="shared" si="1"/>
        <v>ACCT#9725-001/REC BASE/PCT#2</v>
      </c>
    </row>
    <row r="21" spans="1:8" x14ac:dyDescent="0.25">
      <c r="E21" t="str">
        <f>"9725-001-117066"</f>
        <v>9725-001-117066</v>
      </c>
      <c r="F21" t="str">
        <f t="shared" si="0"/>
        <v>ACCT#9725-001/REC BASE/PCT#2</v>
      </c>
      <c r="G21" s="2">
        <v>409.24</v>
      </c>
      <c r="H21" t="str">
        <f t="shared" si="1"/>
        <v>ACCT#9725-001/REC BASE/PCT#2</v>
      </c>
    </row>
    <row r="22" spans="1:8" x14ac:dyDescent="0.25">
      <c r="E22" t="str">
        <f>"9725-001-117085"</f>
        <v>9725-001-117085</v>
      </c>
      <c r="F22" t="str">
        <f t="shared" si="0"/>
        <v>ACCT#9725-001/REC BASE/PCT#2</v>
      </c>
      <c r="G22" s="2">
        <v>214.2</v>
      </c>
      <c r="H22" t="str">
        <f t="shared" si="1"/>
        <v>ACCT#9725-001/REC BASE/PCT#2</v>
      </c>
    </row>
    <row r="23" spans="1:8" x14ac:dyDescent="0.25">
      <c r="E23" t="str">
        <f>"9725-001-117100"</f>
        <v>9725-001-117100</v>
      </c>
      <c r="F23" t="str">
        <f t="shared" si="0"/>
        <v>ACCT#9725-001/REC BASE/PCT#2</v>
      </c>
      <c r="G23" s="2">
        <v>214.29</v>
      </c>
      <c r="H23" t="str">
        <f t="shared" si="1"/>
        <v>ACCT#9725-001/REC BASE/PCT#2</v>
      </c>
    </row>
    <row r="24" spans="1:8" x14ac:dyDescent="0.25">
      <c r="A24" t="s">
        <v>9</v>
      </c>
      <c r="B24">
        <v>132320</v>
      </c>
      <c r="C24" s="2">
        <v>433.66</v>
      </c>
      <c r="D24" s="1">
        <v>44025</v>
      </c>
      <c r="E24" t="str">
        <f>"396550"</f>
        <v>396550</v>
      </c>
      <c r="F24" t="str">
        <f>"CUST ID:16500/PCT#4"</f>
        <v>CUST ID:16500/PCT#4</v>
      </c>
      <c r="G24" s="2">
        <v>433.66</v>
      </c>
      <c r="H24" t="str">
        <f>"CUST ID:16500/PCT#4"</f>
        <v>CUST ID:16500/PCT#4</v>
      </c>
    </row>
    <row r="25" spans="1:8" x14ac:dyDescent="0.25">
      <c r="A25" t="s">
        <v>10</v>
      </c>
      <c r="B25">
        <v>132480</v>
      </c>
      <c r="C25" s="2">
        <v>6640</v>
      </c>
      <c r="D25" s="1">
        <v>44039</v>
      </c>
      <c r="E25" t="str">
        <f>"202007228012"</f>
        <v>202007228012</v>
      </c>
      <c r="F25" t="str">
        <f>"423-1699"</f>
        <v>423-1699</v>
      </c>
      <c r="G25" s="2">
        <v>6640</v>
      </c>
      <c r="H25" t="str">
        <f>"423-1699"</f>
        <v>423-1699</v>
      </c>
    </row>
    <row r="26" spans="1:8" x14ac:dyDescent="0.25">
      <c r="A26" t="s">
        <v>11</v>
      </c>
      <c r="B26">
        <v>132321</v>
      </c>
      <c r="C26" s="2">
        <v>730</v>
      </c>
      <c r="D26" s="1">
        <v>44025</v>
      </c>
      <c r="E26" t="str">
        <f>"202007087808"</f>
        <v>202007087808</v>
      </c>
      <c r="F26" t="str">
        <f>"20-20261"</f>
        <v>20-20261</v>
      </c>
      <c r="G26" s="2">
        <v>370</v>
      </c>
      <c r="H26" t="str">
        <f>"20-20261"</f>
        <v>20-20261</v>
      </c>
    </row>
    <row r="27" spans="1:8" x14ac:dyDescent="0.25">
      <c r="E27" t="str">
        <f>"202007087809"</f>
        <v>202007087809</v>
      </c>
      <c r="F27" t="str">
        <f>"19-19857"</f>
        <v>19-19857</v>
      </c>
      <c r="G27" s="2">
        <v>30</v>
      </c>
      <c r="H27" t="str">
        <f>"19-19857"</f>
        <v>19-19857</v>
      </c>
    </row>
    <row r="28" spans="1:8" x14ac:dyDescent="0.25">
      <c r="E28" t="str">
        <f>"202007087810"</f>
        <v>202007087810</v>
      </c>
      <c r="F28" t="str">
        <f>"19-20002"</f>
        <v>19-20002</v>
      </c>
      <c r="G28" s="2">
        <v>60</v>
      </c>
      <c r="H28" t="str">
        <f>"19-20002"</f>
        <v>19-20002</v>
      </c>
    </row>
    <row r="29" spans="1:8" x14ac:dyDescent="0.25">
      <c r="E29" t="str">
        <f>"202007087811"</f>
        <v>202007087811</v>
      </c>
      <c r="F29" t="str">
        <f>"19-19713"</f>
        <v>19-19713</v>
      </c>
      <c r="G29" s="2">
        <v>97.5</v>
      </c>
      <c r="H29" t="str">
        <f>"19-19713"</f>
        <v>19-19713</v>
      </c>
    </row>
    <row r="30" spans="1:8" x14ac:dyDescent="0.25">
      <c r="E30" t="str">
        <f>"202007087812"</f>
        <v>202007087812</v>
      </c>
      <c r="F30" t="str">
        <f>"19-19864"</f>
        <v>19-19864</v>
      </c>
      <c r="G30" s="2">
        <v>82.5</v>
      </c>
      <c r="H30" t="str">
        <f>"19-19864"</f>
        <v>19-19864</v>
      </c>
    </row>
    <row r="31" spans="1:8" x14ac:dyDescent="0.25">
      <c r="E31" t="str">
        <f>"202007087813"</f>
        <v>202007087813</v>
      </c>
      <c r="F31" t="str">
        <f>"20-20085"</f>
        <v>20-20085</v>
      </c>
      <c r="G31" s="2">
        <v>90</v>
      </c>
      <c r="H31" t="str">
        <f>"20-20085"</f>
        <v>20-20085</v>
      </c>
    </row>
    <row r="32" spans="1:8" x14ac:dyDescent="0.25">
      <c r="A32" t="s">
        <v>12</v>
      </c>
      <c r="B32">
        <v>2796</v>
      </c>
      <c r="C32" s="2">
        <v>84.99</v>
      </c>
      <c r="D32" s="1">
        <v>44026</v>
      </c>
      <c r="E32" t="str">
        <f>"202006297406"</f>
        <v>202006297406</v>
      </c>
      <c r="F32" t="str">
        <f>"REIMBURSE MAIL CHIMP"</f>
        <v>REIMBURSE MAIL CHIMP</v>
      </c>
      <c r="G32" s="2">
        <v>84.99</v>
      </c>
      <c r="H32" t="str">
        <f>"REIMBURSE MAIL CHIMP"</f>
        <v>REIMBURSE MAIL CHIMP</v>
      </c>
    </row>
    <row r="33" spans="1:8" x14ac:dyDescent="0.25">
      <c r="A33" t="s">
        <v>13</v>
      </c>
      <c r="B33">
        <v>132481</v>
      </c>
      <c r="C33" s="2">
        <v>98.99</v>
      </c>
      <c r="D33" s="1">
        <v>44039</v>
      </c>
      <c r="E33" t="str">
        <f>"9102890033"</f>
        <v>9102890033</v>
      </c>
      <c r="F33" t="str">
        <f>"ACCT#2278443/ORD#1091472216/P2"</f>
        <v>ACCT#2278443/ORD#1091472216/P2</v>
      </c>
      <c r="G33" s="2">
        <v>98.99</v>
      </c>
      <c r="H33" t="str">
        <f>"ACCT#2278443/ORD#1091472216/P2"</f>
        <v>ACCT#2278443/ORD#1091472216/P2</v>
      </c>
    </row>
    <row r="34" spans="1:8" x14ac:dyDescent="0.25">
      <c r="A34" t="s">
        <v>14</v>
      </c>
      <c r="B34">
        <v>132322</v>
      </c>
      <c r="C34" s="2">
        <v>1279.6500000000001</v>
      </c>
      <c r="D34" s="1">
        <v>44025</v>
      </c>
      <c r="E34" t="str">
        <f>"7075469"</f>
        <v>7075469</v>
      </c>
      <c r="F34" t="str">
        <f>"CUST#17295/PCT#3"</f>
        <v>CUST#17295/PCT#3</v>
      </c>
      <c r="G34" s="2">
        <v>193.65</v>
      </c>
      <c r="H34" t="str">
        <f>"CUST#17295/PCT#3"</f>
        <v>CUST#17295/PCT#3</v>
      </c>
    </row>
    <row r="35" spans="1:8" x14ac:dyDescent="0.25">
      <c r="E35" t="str">
        <f>"7100042"</f>
        <v>7100042</v>
      </c>
      <c r="F35" t="str">
        <f>"CUST#17295/PCT#4"</f>
        <v>CUST#17295/PCT#4</v>
      </c>
      <c r="G35" s="2">
        <v>1086</v>
      </c>
      <c r="H35" t="str">
        <f>"CUST#17295/PCT#4"</f>
        <v>CUST#17295/PCT#4</v>
      </c>
    </row>
    <row r="36" spans="1:8" x14ac:dyDescent="0.25">
      <c r="A36" t="s">
        <v>15</v>
      </c>
      <c r="B36">
        <v>2906</v>
      </c>
      <c r="C36" s="2">
        <v>1200</v>
      </c>
      <c r="D36" s="1">
        <v>44040</v>
      </c>
      <c r="E36" t="str">
        <f>"202007177894"</f>
        <v>202007177894</v>
      </c>
      <c r="F36" t="str">
        <f>"MTR"</f>
        <v>MTR</v>
      </c>
      <c r="G36" s="2">
        <v>400</v>
      </c>
      <c r="H36" t="str">
        <f>"MTR"</f>
        <v>MTR</v>
      </c>
    </row>
    <row r="37" spans="1:8" x14ac:dyDescent="0.25">
      <c r="E37" t="str">
        <f>"202007177895"</f>
        <v>202007177895</v>
      </c>
      <c r="F37" t="str">
        <f>"16 487"</f>
        <v>16 487</v>
      </c>
      <c r="G37" s="2">
        <v>400</v>
      </c>
      <c r="H37" t="str">
        <f>"16 487"</f>
        <v>16 487</v>
      </c>
    </row>
    <row r="38" spans="1:8" x14ac:dyDescent="0.25">
      <c r="E38" t="str">
        <f>"202007177896"</f>
        <v>202007177896</v>
      </c>
      <c r="F38" t="str">
        <f>"16 850"</f>
        <v>16 850</v>
      </c>
      <c r="G38" s="2">
        <v>400</v>
      </c>
      <c r="H38" t="str">
        <f>"16 850"</f>
        <v>16 850</v>
      </c>
    </row>
    <row r="39" spans="1:8" x14ac:dyDescent="0.25">
      <c r="A39" t="s">
        <v>16</v>
      </c>
      <c r="B39">
        <v>2802</v>
      </c>
      <c r="C39" s="2">
        <v>1713.85</v>
      </c>
      <c r="D39" s="1">
        <v>44026</v>
      </c>
      <c r="E39" t="str">
        <f>"202006307408"</f>
        <v>202006307408</v>
      </c>
      <c r="F39" t="str">
        <f>"423-6569"</f>
        <v>423-6569</v>
      </c>
      <c r="G39" s="2">
        <v>737.95</v>
      </c>
      <c r="H39" t="str">
        <f>"423-6569"</f>
        <v>423-6569</v>
      </c>
    </row>
    <row r="40" spans="1:8" x14ac:dyDescent="0.25">
      <c r="E40" t="str">
        <f>"202006307409"</f>
        <v>202006307409</v>
      </c>
      <c r="F40" t="str">
        <f>"423-6394"</f>
        <v>423-6394</v>
      </c>
      <c r="G40" s="2">
        <v>300</v>
      </c>
      <c r="H40" t="str">
        <f>"423-6394"</f>
        <v>423-6394</v>
      </c>
    </row>
    <row r="41" spans="1:8" x14ac:dyDescent="0.25">
      <c r="E41" t="str">
        <f>"202006307415"</f>
        <v>202006307415</v>
      </c>
      <c r="F41" t="str">
        <f>"57 360/57 366/56 598"</f>
        <v>57 360/57 366/56 598</v>
      </c>
      <c r="G41" s="2">
        <v>337.95</v>
      </c>
      <c r="H41" t="str">
        <f>"57 360/57 366/56 598"</f>
        <v>57 360/57 366/56 598</v>
      </c>
    </row>
    <row r="42" spans="1:8" x14ac:dyDescent="0.25">
      <c r="E42" t="str">
        <f>"202006307416"</f>
        <v>202006307416</v>
      </c>
      <c r="F42" t="str">
        <f>"57 265"</f>
        <v>57 265</v>
      </c>
      <c r="G42" s="2">
        <v>337.95</v>
      </c>
      <c r="H42" t="str">
        <f>"57 265"</f>
        <v>57 265</v>
      </c>
    </row>
    <row r="43" spans="1:8" x14ac:dyDescent="0.25">
      <c r="A43" t="s">
        <v>17</v>
      </c>
      <c r="B43">
        <v>2873</v>
      </c>
      <c r="C43" s="2">
        <v>55.89</v>
      </c>
      <c r="D43" s="1">
        <v>44040</v>
      </c>
      <c r="E43" t="str">
        <f>"INV6433020"</f>
        <v>INV6433020</v>
      </c>
      <c r="F43" t="str">
        <f>"INV6433020"</f>
        <v>INV6433020</v>
      </c>
      <c r="G43" s="2">
        <v>55.89</v>
      </c>
      <c r="H43" t="str">
        <f>"INV6433020"</f>
        <v>INV6433020</v>
      </c>
    </row>
    <row r="44" spans="1:8" x14ac:dyDescent="0.25">
      <c r="A44" t="s">
        <v>18</v>
      </c>
      <c r="B44">
        <v>2815</v>
      </c>
      <c r="C44" s="2">
        <v>6372.03</v>
      </c>
      <c r="D44" s="1">
        <v>44026</v>
      </c>
      <c r="E44" t="str">
        <f>"13PG-Q6PQ-X7VT"</f>
        <v>13PG-Q6PQ-X7VT</v>
      </c>
      <c r="F44" t="str">
        <f>"Battery Backup"</f>
        <v>Battery Backup</v>
      </c>
      <c r="G44" s="2">
        <v>60.49</v>
      </c>
      <c r="H44" t="str">
        <f>"Battery Backup"</f>
        <v>Battery Backup</v>
      </c>
    </row>
    <row r="45" spans="1:8" x14ac:dyDescent="0.25">
      <c r="E45" t="str">
        <f>"17C9-KWLH-LT9F"</f>
        <v>17C9-KWLH-LT9F</v>
      </c>
      <c r="F45" t="str">
        <f>"Wall Hutch"</f>
        <v>Wall Hutch</v>
      </c>
      <c r="G45" s="2">
        <v>97.39</v>
      </c>
      <c r="H45" t="str">
        <f>"Wall Hutch"</f>
        <v>Wall Hutch</v>
      </c>
    </row>
    <row r="46" spans="1:8" x14ac:dyDescent="0.25">
      <c r="E46" t="str">
        <f>"1GPK-JCV1-DLG1"</f>
        <v>1GPK-JCV1-DLG1</v>
      </c>
      <c r="F46" t="str">
        <f>"Shirts and Hats"</f>
        <v>Shirts and Hats</v>
      </c>
      <c r="G46" s="2">
        <v>2534.89</v>
      </c>
      <c r="H46" t="str">
        <f>"225 OSFM RED"</f>
        <v>225 OSFM RED</v>
      </c>
    </row>
    <row r="47" spans="1:8" x14ac:dyDescent="0.25">
      <c r="E47" t="str">
        <f>""</f>
        <v/>
      </c>
      <c r="F47" t="str">
        <f>""</f>
        <v/>
      </c>
      <c r="H47" t="str">
        <f>"225 OSFM White"</f>
        <v>225 OSFM White</v>
      </c>
    </row>
    <row r="48" spans="1:8" x14ac:dyDescent="0.25">
      <c r="E48" t="str">
        <f>""</f>
        <v/>
      </c>
      <c r="F48" t="str">
        <f>""</f>
        <v/>
      </c>
      <c r="H48" t="str">
        <f>"Shipping"</f>
        <v>Shipping</v>
      </c>
    </row>
    <row r="49" spans="5:8" x14ac:dyDescent="0.25">
      <c r="E49" t="str">
        <f>""</f>
        <v/>
      </c>
      <c r="F49" t="str">
        <f>""</f>
        <v/>
      </c>
      <c r="H49" t="str">
        <f>"short sleeve shirt"</f>
        <v>short sleeve shirt</v>
      </c>
    </row>
    <row r="50" spans="5:8" x14ac:dyDescent="0.25">
      <c r="E50" t="str">
        <f>""</f>
        <v/>
      </c>
      <c r="F50" t="str">
        <f>""</f>
        <v/>
      </c>
      <c r="H50" t="str">
        <f>"long sleeve shirt"</f>
        <v>long sleeve shirt</v>
      </c>
    </row>
    <row r="51" spans="5:8" x14ac:dyDescent="0.25">
      <c r="E51" t="str">
        <f>""</f>
        <v/>
      </c>
      <c r="F51" t="str">
        <f>""</f>
        <v/>
      </c>
      <c r="H51" t="str">
        <f>"Heather Grey/Black"</f>
        <v>Heather Grey/Black</v>
      </c>
    </row>
    <row r="52" spans="5:8" x14ac:dyDescent="0.25">
      <c r="E52" t="str">
        <f>""</f>
        <v/>
      </c>
      <c r="F52" t="str">
        <f>""</f>
        <v/>
      </c>
      <c r="H52" t="str">
        <f>"Brown/Khak"</f>
        <v>Brown/Khak</v>
      </c>
    </row>
    <row r="53" spans="5:8" x14ac:dyDescent="0.25">
      <c r="E53" t="str">
        <f>""</f>
        <v/>
      </c>
      <c r="F53" t="str">
        <f>""</f>
        <v/>
      </c>
      <c r="H53" t="str">
        <f>"Charcoal/Navy"</f>
        <v>Charcoal/Navy</v>
      </c>
    </row>
    <row r="54" spans="5:8" x14ac:dyDescent="0.25">
      <c r="E54" t="str">
        <f>"1GPK-JCV1-RY1G"</f>
        <v>1GPK-JCV1-RY1G</v>
      </c>
      <c r="F54" t="str">
        <f>"shirts for women"</f>
        <v>shirts for women</v>
      </c>
      <c r="G54" s="2">
        <v>251.62</v>
      </c>
      <c r="H54" t="str">
        <f>"Spectrum Blue  2X-La"</f>
        <v>Spectrum Blue  2X-La</v>
      </c>
    </row>
    <row r="55" spans="5:8" x14ac:dyDescent="0.25">
      <c r="E55" t="str">
        <f>""</f>
        <v/>
      </c>
      <c r="F55" t="str">
        <f>""</f>
        <v/>
      </c>
      <c r="H55" t="str">
        <f>"Scarlet  Medium"</f>
        <v>Scarlet  Medium</v>
      </c>
    </row>
    <row r="56" spans="5:8" x14ac:dyDescent="0.25">
      <c r="E56" t="str">
        <f>""</f>
        <v/>
      </c>
      <c r="F56" t="str">
        <f>""</f>
        <v/>
      </c>
      <c r="H56" t="str">
        <f>"Scarlet  2X-Large"</f>
        <v>Scarlet  2X-Large</v>
      </c>
    </row>
    <row r="57" spans="5:8" x14ac:dyDescent="0.25">
      <c r="E57" t="str">
        <f>""</f>
        <v/>
      </c>
      <c r="F57" t="str">
        <f>""</f>
        <v/>
      </c>
      <c r="H57" t="str">
        <f>"PFG Bahama"</f>
        <v>PFG Bahama</v>
      </c>
    </row>
    <row r="58" spans="5:8" x14ac:dyDescent="0.25">
      <c r="E58" t="str">
        <f>""</f>
        <v/>
      </c>
      <c r="F58" t="str">
        <f>""</f>
        <v/>
      </c>
      <c r="H58" t="str">
        <f>"Spectrum Blue  Large"</f>
        <v>Spectrum Blue  Large</v>
      </c>
    </row>
    <row r="59" spans="5:8" x14ac:dyDescent="0.25">
      <c r="E59" t="str">
        <f>""</f>
        <v/>
      </c>
      <c r="F59" t="str">
        <f>""</f>
        <v/>
      </c>
      <c r="H59" t="str">
        <f>"Tea Rose  XX-Large"</f>
        <v>Tea Rose  XX-Large</v>
      </c>
    </row>
    <row r="60" spans="5:8" x14ac:dyDescent="0.25">
      <c r="E60" t="str">
        <f>""</f>
        <v/>
      </c>
      <c r="F60" t="str">
        <f>""</f>
        <v/>
      </c>
      <c r="H60" t="str">
        <f>"Tea Rose  Large"</f>
        <v>Tea Rose  Large</v>
      </c>
    </row>
    <row r="61" spans="5:8" x14ac:dyDescent="0.25">
      <c r="E61" t="str">
        <f>""</f>
        <v/>
      </c>
      <c r="F61" t="str">
        <f>""</f>
        <v/>
      </c>
      <c r="H61" t="str">
        <f>" Peacoat  Medium"</f>
        <v xml:space="preserve"> Peacoat  Medium</v>
      </c>
    </row>
    <row r="62" spans="5:8" x14ac:dyDescent="0.25">
      <c r="E62" t="str">
        <f>""</f>
        <v/>
      </c>
      <c r="F62" t="str">
        <f>""</f>
        <v/>
      </c>
      <c r="H62" t="str">
        <f>"Spectrum Blue  Mediu"</f>
        <v>Spectrum Blue  Mediu</v>
      </c>
    </row>
    <row r="63" spans="5:8" x14ac:dyDescent="0.25">
      <c r="E63" t="str">
        <f>""</f>
        <v/>
      </c>
      <c r="F63" t="str">
        <f>""</f>
        <v/>
      </c>
      <c r="H63" t="str">
        <f>"shipping"</f>
        <v>shipping</v>
      </c>
    </row>
    <row r="64" spans="5:8" x14ac:dyDescent="0.25">
      <c r="E64" t="str">
        <f>"1GPK-JCV1-WXK6"</f>
        <v>1GPK-JCV1-WXK6</v>
      </c>
      <c r="F64" t="str">
        <f>"projector and screen"</f>
        <v>projector and screen</v>
      </c>
      <c r="G64" s="2">
        <v>342.36</v>
      </c>
      <c r="H64" t="str">
        <f>"projector"</f>
        <v>projector</v>
      </c>
    </row>
    <row r="65" spans="1:8" x14ac:dyDescent="0.25">
      <c r="E65" t="str">
        <f>""</f>
        <v/>
      </c>
      <c r="F65" t="str">
        <f>""</f>
        <v/>
      </c>
      <c r="H65" t="str">
        <f>"screen"</f>
        <v>screen</v>
      </c>
    </row>
    <row r="66" spans="1:8" x14ac:dyDescent="0.25">
      <c r="E66" t="str">
        <f>"1KMT-YFN7-CG3T"</f>
        <v>1KMT-YFN7-CG3T</v>
      </c>
      <c r="F66" t="str">
        <f>"Camera Order"</f>
        <v>Camera Order</v>
      </c>
      <c r="G66" s="2">
        <v>718</v>
      </c>
      <c r="H66" t="str">
        <f>"Camera Order"</f>
        <v>Camera Order</v>
      </c>
    </row>
    <row r="67" spans="1:8" x14ac:dyDescent="0.25">
      <c r="E67" t="str">
        <f>""</f>
        <v/>
      </c>
      <c r="F67" t="str">
        <f>""</f>
        <v/>
      </c>
      <c r="H67" t="str">
        <f>"Camera Order"</f>
        <v>Camera Order</v>
      </c>
    </row>
    <row r="68" spans="1:8" x14ac:dyDescent="0.25">
      <c r="E68" t="str">
        <f>"1MHY-FNW4-1G14"</f>
        <v>1MHY-FNW4-1G14</v>
      </c>
      <c r="F68" t="str">
        <f>"Storage Trunks"</f>
        <v>Storage Trunks</v>
      </c>
      <c r="G68" s="2">
        <v>75.599999999999994</v>
      </c>
      <c r="H68" t="str">
        <f>"Storage Trunks"</f>
        <v>Storage Trunks</v>
      </c>
    </row>
    <row r="69" spans="1:8" x14ac:dyDescent="0.25">
      <c r="E69" t="str">
        <f>"1NQ1-RT4Y-MFKW"</f>
        <v>1NQ1-RT4Y-MFKW</v>
      </c>
      <c r="F69" t="str">
        <f>"Cameras"</f>
        <v>Cameras</v>
      </c>
      <c r="G69" s="2">
        <v>718</v>
      </c>
      <c r="H69" t="str">
        <f>"Cameras"</f>
        <v>Cameras</v>
      </c>
    </row>
    <row r="70" spans="1:8" x14ac:dyDescent="0.25">
      <c r="E70" t="str">
        <f>""</f>
        <v/>
      </c>
      <c r="F70" t="str">
        <f>""</f>
        <v/>
      </c>
      <c r="H70" t="str">
        <f>"Cameras"</f>
        <v>Cameras</v>
      </c>
    </row>
    <row r="71" spans="1:8" x14ac:dyDescent="0.25">
      <c r="E71" t="str">
        <f>"1RXQ-6NYF-C4QJ"</f>
        <v>1RXQ-6NYF-C4QJ</v>
      </c>
      <c r="F71" t="str">
        <f>"Amazon Order"</f>
        <v>Amazon Order</v>
      </c>
      <c r="G71" s="2">
        <v>1247.99</v>
      </c>
      <c r="H71" t="str">
        <f>"BCAS Deep Freezer"</f>
        <v>BCAS Deep Freezer</v>
      </c>
    </row>
    <row r="72" spans="1:8" x14ac:dyDescent="0.25">
      <c r="E72" t="str">
        <f>""</f>
        <v/>
      </c>
      <c r="F72" t="str">
        <f>""</f>
        <v/>
      </c>
      <c r="H72" t="str">
        <f>"BCAS Safe"</f>
        <v>BCAS Safe</v>
      </c>
    </row>
    <row r="73" spans="1:8" x14ac:dyDescent="0.25">
      <c r="E73" t="str">
        <f>"1Y6X-XXCN-4CNC"</f>
        <v>1Y6X-XXCN-4CNC</v>
      </c>
      <c r="F73" t="str">
        <f>"Magnet Mount Antenna"</f>
        <v>Magnet Mount Antenna</v>
      </c>
      <c r="G73" s="2">
        <v>20.190000000000001</v>
      </c>
      <c r="H73" t="str">
        <f>"Magnet Mount Antenna"</f>
        <v>Magnet Mount Antenna</v>
      </c>
    </row>
    <row r="74" spans="1:8" x14ac:dyDescent="0.25">
      <c r="E74" t="str">
        <f>"1YTG-GPR6-LF77"</f>
        <v>1YTG-GPR6-LF77</v>
      </c>
      <c r="F74" t="str">
        <f>"MISC items for Mitigation"</f>
        <v>MISC items for Mitigation</v>
      </c>
      <c r="G74" s="2">
        <v>305.5</v>
      </c>
      <c r="H74" t="str">
        <f>"Trailer Plug"</f>
        <v>Trailer Plug</v>
      </c>
    </row>
    <row r="75" spans="1:8" x14ac:dyDescent="0.25">
      <c r="E75" t="str">
        <f>""</f>
        <v/>
      </c>
      <c r="F75" t="str">
        <f>""</f>
        <v/>
      </c>
      <c r="H75" t="str">
        <f>"Spill Kit"</f>
        <v>Spill Kit</v>
      </c>
    </row>
    <row r="76" spans="1:8" x14ac:dyDescent="0.25">
      <c r="E76" t="str">
        <f>""</f>
        <v/>
      </c>
      <c r="F76" t="str">
        <f>""</f>
        <v/>
      </c>
      <c r="H76" t="str">
        <f>"Hard Case"</f>
        <v>Hard Case</v>
      </c>
    </row>
    <row r="77" spans="1:8" x14ac:dyDescent="0.25">
      <c r="E77" t="str">
        <f>""</f>
        <v/>
      </c>
      <c r="F77" t="str">
        <f>""</f>
        <v/>
      </c>
      <c r="H77" t="str">
        <f>"Hand Sanitizer"</f>
        <v>Hand Sanitizer</v>
      </c>
    </row>
    <row r="78" spans="1:8" x14ac:dyDescent="0.25">
      <c r="A78" t="s">
        <v>18</v>
      </c>
      <c r="B78">
        <v>2889</v>
      </c>
      <c r="C78" s="2">
        <v>17.12</v>
      </c>
      <c r="D78" s="1">
        <v>44040</v>
      </c>
      <c r="E78" t="str">
        <f>"202007207950"</f>
        <v>202007207950</v>
      </c>
      <c r="F78" t="str">
        <f>"Training Book"</f>
        <v>Training Book</v>
      </c>
      <c r="G78" s="2">
        <v>17.12</v>
      </c>
      <c r="H78" t="str">
        <f>"Training Book"</f>
        <v>Training Book</v>
      </c>
    </row>
    <row r="79" spans="1:8" x14ac:dyDescent="0.25">
      <c r="E79" t="str">
        <f>""</f>
        <v/>
      </c>
      <c r="F79" t="str">
        <f>""</f>
        <v/>
      </c>
      <c r="H79" t="str">
        <f>"shipping"</f>
        <v>shipping</v>
      </c>
    </row>
    <row r="80" spans="1:8" x14ac:dyDescent="0.25">
      <c r="A80" t="s">
        <v>19</v>
      </c>
      <c r="B80">
        <v>132482</v>
      </c>
      <c r="C80" s="2">
        <v>73.8</v>
      </c>
      <c r="D80" s="1">
        <v>44039</v>
      </c>
      <c r="E80" t="str">
        <f>"01-201303065"</f>
        <v>01-201303065</v>
      </c>
      <c r="F80" t="str">
        <f>"INV 01-201303065"</f>
        <v>INV 01-201303065</v>
      </c>
      <c r="G80" s="2">
        <v>36.9</v>
      </c>
      <c r="H80" t="str">
        <f>"INV 01-201303065"</f>
        <v>INV 01-201303065</v>
      </c>
    </row>
    <row r="81" spans="1:8" x14ac:dyDescent="0.25">
      <c r="E81" t="str">
        <f>"01-201303106"</f>
        <v>01-201303106</v>
      </c>
      <c r="F81" t="str">
        <f>"INV 01-201303106"</f>
        <v>INV 01-201303106</v>
      </c>
      <c r="G81" s="2">
        <v>36.9</v>
      </c>
      <c r="H81" t="str">
        <f>"INV 01-201303106"</f>
        <v>INV 01-201303106</v>
      </c>
    </row>
    <row r="82" spans="1:8" x14ac:dyDescent="0.25">
      <c r="A82" t="s">
        <v>20</v>
      </c>
      <c r="B82">
        <v>132323</v>
      </c>
      <c r="C82" s="2">
        <v>22.68</v>
      </c>
      <c r="D82" s="1">
        <v>44025</v>
      </c>
      <c r="E82" t="str">
        <f>"5383304"</f>
        <v>5383304</v>
      </c>
      <c r="F82" t="str">
        <f>"CUST ID:100074/ORD#1486980"</f>
        <v>CUST ID:100074/ORD#1486980</v>
      </c>
      <c r="G82" s="2">
        <v>22.68</v>
      </c>
      <c r="H82" t="str">
        <f>"CUST ID:100074/ORD#1486980"</f>
        <v>CUST ID:100074/ORD#1486980</v>
      </c>
    </row>
    <row r="83" spans="1:8" x14ac:dyDescent="0.25">
      <c r="A83" t="s">
        <v>20</v>
      </c>
      <c r="B83">
        <v>132483</v>
      </c>
      <c r="C83" s="2">
        <v>23.8</v>
      </c>
      <c r="D83" s="1">
        <v>44039</v>
      </c>
      <c r="E83" t="str">
        <f>"5386015"</f>
        <v>5386015</v>
      </c>
      <c r="F83" t="str">
        <f>"CUST ID:100074 / PCT #2"</f>
        <v>CUST ID:100074 / PCT #2</v>
      </c>
      <c r="G83" s="2">
        <v>23.8</v>
      </c>
      <c r="H83" t="str">
        <f>"CUST ID:100074 / PCT #2"</f>
        <v>CUST ID:100074 / PCT #2</v>
      </c>
    </row>
    <row r="84" spans="1:8" x14ac:dyDescent="0.25">
      <c r="A84" t="s">
        <v>21</v>
      </c>
      <c r="B84">
        <v>132324</v>
      </c>
      <c r="C84" s="2">
        <v>4573.37</v>
      </c>
      <c r="D84" s="1">
        <v>44025</v>
      </c>
      <c r="E84" t="str">
        <f>"112414"</f>
        <v>112414</v>
      </c>
      <c r="F84" t="str">
        <f>"ED PC JULY 14/PRINTING/PAPER"</f>
        <v>ED PC JULY 14/PRINTING/PAPER</v>
      </c>
      <c r="G84" s="2">
        <v>4573.37</v>
      </c>
      <c r="H84" t="str">
        <f>"ED PC JULY 14/PRINTING/PAPER"</f>
        <v>ED PC JULY 14/PRINTING/PAPER</v>
      </c>
    </row>
    <row r="85" spans="1:8" x14ac:dyDescent="0.25">
      <c r="A85" t="s">
        <v>22</v>
      </c>
      <c r="B85">
        <v>2852</v>
      </c>
      <c r="C85" s="2">
        <v>6507.15</v>
      </c>
      <c r="D85" s="1">
        <v>44026</v>
      </c>
      <c r="E85" t="str">
        <f>"202006237381"</f>
        <v>202006237381</v>
      </c>
      <c r="F85" t="str">
        <f>"16 783"</f>
        <v>16 783</v>
      </c>
      <c r="G85" s="2">
        <v>400</v>
      </c>
      <c r="H85" t="str">
        <f>"16 783"</f>
        <v>16 783</v>
      </c>
    </row>
    <row r="86" spans="1:8" x14ac:dyDescent="0.25">
      <c r="E86" t="str">
        <f>"202006237382"</f>
        <v>202006237382</v>
      </c>
      <c r="F86" t="str">
        <f>"423-7287  1532-21  1537-335"</f>
        <v>423-7287  1532-21  1537-335</v>
      </c>
      <c r="G86" s="2">
        <v>400</v>
      </c>
      <c r="H86" t="str">
        <f>"423-7287  1532-21  1537-335"</f>
        <v>423-7287  1532-21  1537-335</v>
      </c>
    </row>
    <row r="87" spans="1:8" x14ac:dyDescent="0.25">
      <c r="E87" t="str">
        <f>"202006237383"</f>
        <v>202006237383</v>
      </c>
      <c r="F87" t="str">
        <f>"1507-21  1522-21"</f>
        <v>1507-21  1522-21</v>
      </c>
      <c r="G87" s="2">
        <v>300</v>
      </c>
      <c r="H87" t="str">
        <f>"1507-21  1522-21"</f>
        <v>1507-21  1522-21</v>
      </c>
    </row>
    <row r="88" spans="1:8" x14ac:dyDescent="0.25">
      <c r="E88" t="str">
        <f>"202006237384"</f>
        <v>202006237384</v>
      </c>
      <c r="F88" t="str">
        <f>"423-7262B"</f>
        <v>423-7262B</v>
      </c>
      <c r="G88" s="2">
        <v>100</v>
      </c>
      <c r="H88" t="str">
        <f>"423-7262B"</f>
        <v>423-7262B</v>
      </c>
    </row>
    <row r="89" spans="1:8" x14ac:dyDescent="0.25">
      <c r="E89" t="str">
        <f>"202006237385"</f>
        <v>202006237385</v>
      </c>
      <c r="F89" t="str">
        <f>"423-7262A"</f>
        <v>423-7262A</v>
      </c>
      <c r="G89" s="2">
        <v>100</v>
      </c>
      <c r="H89" t="str">
        <f>"423-7262A"</f>
        <v>423-7262A</v>
      </c>
    </row>
    <row r="90" spans="1:8" x14ac:dyDescent="0.25">
      <c r="E90" t="str">
        <f>"202006267390"</f>
        <v>202006267390</v>
      </c>
      <c r="F90" t="str">
        <f>"1508-335  1504-21"</f>
        <v>1508-335  1504-21</v>
      </c>
      <c r="G90" s="2">
        <v>200</v>
      </c>
      <c r="H90" t="str">
        <f>"1508-335  1504-21"</f>
        <v>1508-335  1504-21</v>
      </c>
    </row>
    <row r="91" spans="1:8" x14ac:dyDescent="0.25">
      <c r="E91" t="str">
        <f>"202006267391"</f>
        <v>202006267391</v>
      </c>
      <c r="F91" t="str">
        <f>"1523-21  423-7264"</f>
        <v>1523-21  423-7264</v>
      </c>
      <c r="G91" s="2">
        <v>200</v>
      </c>
      <c r="H91" t="str">
        <f>"1523-21  423-7264"</f>
        <v>1523-21  423-7264</v>
      </c>
    </row>
    <row r="92" spans="1:8" x14ac:dyDescent="0.25">
      <c r="E92" t="str">
        <f>"202006307417"</f>
        <v>202006307417</v>
      </c>
      <c r="F92" t="str">
        <f>"19-19679"</f>
        <v>19-19679</v>
      </c>
      <c r="G92" s="2">
        <v>97.5</v>
      </c>
      <c r="H92" t="str">
        <f>"19-19679"</f>
        <v>19-19679</v>
      </c>
    </row>
    <row r="93" spans="1:8" x14ac:dyDescent="0.25">
      <c r="E93" t="str">
        <f>"202006307418"</f>
        <v>202006307418</v>
      </c>
      <c r="F93" t="str">
        <f>"19-19768"</f>
        <v>19-19768</v>
      </c>
      <c r="G93" s="2">
        <v>262.5</v>
      </c>
      <c r="H93" t="str">
        <f>"19-19768"</f>
        <v>19-19768</v>
      </c>
    </row>
    <row r="94" spans="1:8" x14ac:dyDescent="0.25">
      <c r="E94" t="str">
        <f>"202006307419"</f>
        <v>202006307419</v>
      </c>
      <c r="F94" t="str">
        <f>"19-19914"</f>
        <v>19-19914</v>
      </c>
      <c r="G94" s="2">
        <v>97.5</v>
      </c>
      <c r="H94" t="str">
        <f>"19-19914"</f>
        <v>19-19914</v>
      </c>
    </row>
    <row r="95" spans="1:8" x14ac:dyDescent="0.25">
      <c r="E95" t="str">
        <f>"202006307420"</f>
        <v>202006307420</v>
      </c>
      <c r="F95" t="str">
        <f>"19-19893"</f>
        <v>19-19893</v>
      </c>
      <c r="G95" s="2">
        <v>315</v>
      </c>
      <c r="H95" t="str">
        <f>"19-19893"</f>
        <v>19-19893</v>
      </c>
    </row>
    <row r="96" spans="1:8" x14ac:dyDescent="0.25">
      <c r="E96" t="str">
        <f>"202006307421"</f>
        <v>202006307421</v>
      </c>
      <c r="F96" t="str">
        <f>"19-19857"</f>
        <v>19-19857</v>
      </c>
      <c r="G96" s="2">
        <v>22.5</v>
      </c>
      <c r="H96" t="str">
        <f>"19-19857"</f>
        <v>19-19857</v>
      </c>
    </row>
    <row r="97" spans="1:8" x14ac:dyDescent="0.25">
      <c r="E97" t="str">
        <f>"202006307423"</f>
        <v>202006307423</v>
      </c>
      <c r="F97" t="str">
        <f>"19-19711"</f>
        <v>19-19711</v>
      </c>
      <c r="G97" s="2">
        <v>717.95</v>
      </c>
      <c r="H97" t="str">
        <f>"19-19711"</f>
        <v>19-19711</v>
      </c>
    </row>
    <row r="98" spans="1:8" x14ac:dyDescent="0.25">
      <c r="E98" t="str">
        <f>"202006307424"</f>
        <v>202006307424</v>
      </c>
      <c r="F98" t="str">
        <f>"16-17978"</f>
        <v>16-17978</v>
      </c>
      <c r="G98" s="2">
        <v>863.45</v>
      </c>
      <c r="H98" t="str">
        <f>"16-17978"</f>
        <v>16-17978</v>
      </c>
    </row>
    <row r="99" spans="1:8" x14ac:dyDescent="0.25">
      <c r="E99" t="str">
        <f>"202006307425"</f>
        <v>202006307425</v>
      </c>
      <c r="F99" t="str">
        <f>"20-20056"</f>
        <v>20-20056</v>
      </c>
      <c r="G99" s="2">
        <v>420</v>
      </c>
      <c r="H99" t="str">
        <f>"20-20056"</f>
        <v>20-20056</v>
      </c>
    </row>
    <row r="100" spans="1:8" x14ac:dyDescent="0.25">
      <c r="E100" t="str">
        <f>"202006307426"</f>
        <v>202006307426</v>
      </c>
      <c r="F100" t="str">
        <f>"19-19994"</f>
        <v>19-19994</v>
      </c>
      <c r="G100" s="2">
        <v>607.5</v>
      </c>
      <c r="H100" t="str">
        <f>"19-19994"</f>
        <v>19-19994</v>
      </c>
    </row>
    <row r="101" spans="1:8" x14ac:dyDescent="0.25">
      <c r="E101" t="str">
        <f>"202006307427"</f>
        <v>202006307427</v>
      </c>
      <c r="F101" t="str">
        <f>"15-17399"</f>
        <v>15-17399</v>
      </c>
      <c r="G101" s="2">
        <v>803.25</v>
      </c>
      <c r="H101" t="str">
        <f>"15-17399"</f>
        <v>15-17399</v>
      </c>
    </row>
    <row r="102" spans="1:8" x14ac:dyDescent="0.25">
      <c r="E102" t="str">
        <f>"202006307452"</f>
        <v>202006307452</v>
      </c>
      <c r="F102" t="str">
        <f>"JP103082020E"</f>
        <v>JP103082020E</v>
      </c>
      <c r="G102" s="2">
        <v>250</v>
      </c>
      <c r="H102" t="str">
        <f>"JP103082020E"</f>
        <v>JP103082020E</v>
      </c>
    </row>
    <row r="103" spans="1:8" x14ac:dyDescent="0.25">
      <c r="E103" t="str">
        <f>"202006307453"</f>
        <v>202006307453</v>
      </c>
      <c r="F103" t="str">
        <f>"52 562"</f>
        <v>52 562</v>
      </c>
      <c r="G103" s="2">
        <v>250</v>
      </c>
      <c r="H103" t="str">
        <f>"52 562"</f>
        <v>52 562</v>
      </c>
    </row>
    <row r="104" spans="1:8" x14ac:dyDescent="0.25">
      <c r="E104" t="str">
        <f>"202007037629"</f>
        <v>202007037629</v>
      </c>
      <c r="F104" t="str">
        <f>"20-20235"</f>
        <v>20-20235</v>
      </c>
      <c r="G104" s="2">
        <v>100</v>
      </c>
      <c r="H104" t="str">
        <f>"20-20235"</f>
        <v>20-20235</v>
      </c>
    </row>
    <row r="105" spans="1:8" x14ac:dyDescent="0.25">
      <c r="A105" t="s">
        <v>22</v>
      </c>
      <c r="B105">
        <v>2920</v>
      </c>
      <c r="C105" s="2">
        <v>3400</v>
      </c>
      <c r="D105" s="1">
        <v>44040</v>
      </c>
      <c r="E105" t="str">
        <f>"202007177899"</f>
        <v>202007177899</v>
      </c>
      <c r="F105" t="str">
        <f>"16 791"</f>
        <v>16 791</v>
      </c>
      <c r="G105" s="2">
        <v>400</v>
      </c>
      <c r="H105" t="str">
        <f>"16 791"</f>
        <v>16 791</v>
      </c>
    </row>
    <row r="106" spans="1:8" x14ac:dyDescent="0.25">
      <c r="E106" t="str">
        <f>"202007177900"</f>
        <v>202007177900</v>
      </c>
      <c r="F106" t="str">
        <f>"423-7314"</f>
        <v>423-7314</v>
      </c>
      <c r="G106" s="2">
        <v>200</v>
      </c>
      <c r="H106" t="str">
        <f>"423-7314"</f>
        <v>423-7314</v>
      </c>
    </row>
    <row r="107" spans="1:8" x14ac:dyDescent="0.25">
      <c r="E107" t="str">
        <f>"202007177901"</f>
        <v>202007177901</v>
      </c>
      <c r="F107" t="str">
        <f>"16 728"</f>
        <v>16 728</v>
      </c>
      <c r="G107" s="2">
        <v>400</v>
      </c>
      <c r="H107" t="str">
        <f>"16 728"</f>
        <v>16 728</v>
      </c>
    </row>
    <row r="108" spans="1:8" x14ac:dyDescent="0.25">
      <c r="E108" t="str">
        <f>"202007177902"</f>
        <v>202007177902</v>
      </c>
      <c r="F108" t="str">
        <f>"17 076"</f>
        <v>17 076</v>
      </c>
      <c r="G108" s="2">
        <v>600</v>
      </c>
      <c r="H108" t="str">
        <f>"17 076"</f>
        <v>17 076</v>
      </c>
    </row>
    <row r="109" spans="1:8" x14ac:dyDescent="0.25">
      <c r="E109" t="str">
        <f>"202007177903"</f>
        <v>202007177903</v>
      </c>
      <c r="F109" t="str">
        <f>"16 802"</f>
        <v>16 802</v>
      </c>
      <c r="G109" s="2">
        <v>600</v>
      </c>
      <c r="H109" t="str">
        <f>"16 802"</f>
        <v>16 802</v>
      </c>
    </row>
    <row r="110" spans="1:8" x14ac:dyDescent="0.25">
      <c r="E110" t="str">
        <f>"202007177904"</f>
        <v>202007177904</v>
      </c>
      <c r="F110" t="str">
        <f>"17 047  17 046"</f>
        <v>17 047  17 046</v>
      </c>
      <c r="G110" s="2">
        <v>800</v>
      </c>
      <c r="H110" t="str">
        <f>"17 047  17 046"</f>
        <v>17 047  17 046</v>
      </c>
    </row>
    <row r="111" spans="1:8" x14ac:dyDescent="0.25">
      <c r="E111" t="str">
        <f>"202007207952"</f>
        <v>202007207952</v>
      </c>
      <c r="F111" t="str">
        <f>"02.0220.418"</f>
        <v>02.0220.418</v>
      </c>
      <c r="G111" s="2">
        <v>400</v>
      </c>
      <c r="H111" t="str">
        <f>"02.0220.418"</f>
        <v>02.0220.418</v>
      </c>
    </row>
    <row r="112" spans="1:8" x14ac:dyDescent="0.25">
      <c r="A112" t="s">
        <v>23</v>
      </c>
      <c r="B112">
        <v>132325</v>
      </c>
      <c r="C112" s="2">
        <v>143.49</v>
      </c>
      <c r="D112" s="1">
        <v>44025</v>
      </c>
      <c r="E112" t="str">
        <f>"2006-499605"</f>
        <v>2006-499605</v>
      </c>
      <c r="F112" t="str">
        <f>"ACCT#3-3053/PCT#2"</f>
        <v>ACCT#3-3053/PCT#2</v>
      </c>
      <c r="G112" s="2">
        <v>143.49</v>
      </c>
      <c r="H112" t="str">
        <f>"ACCT#3-3053/PCT#2"</f>
        <v>ACCT#3-3053/PCT#2</v>
      </c>
    </row>
    <row r="113" spans="1:8" x14ac:dyDescent="0.25">
      <c r="A113" t="s">
        <v>24</v>
      </c>
      <c r="B113">
        <v>132326</v>
      </c>
      <c r="C113" s="2">
        <v>4654.72</v>
      </c>
      <c r="D113" s="1">
        <v>44025</v>
      </c>
      <c r="E113" t="str">
        <f>"INV77611"</f>
        <v>INV77611</v>
      </c>
      <c r="F113" t="str">
        <f>"VINE QTRLY FEE MARCH-MAY 2020"</f>
        <v>VINE QTRLY FEE MARCH-MAY 2020</v>
      </c>
      <c r="G113" s="2">
        <v>4654.72</v>
      </c>
      <c r="H113" t="str">
        <f>"VINE QTRLY FEE MARCH-MAY 2020"</f>
        <v>VINE QTRLY FEE MARCH-MAY 2020</v>
      </c>
    </row>
    <row r="114" spans="1:8" x14ac:dyDescent="0.25">
      <c r="A114" t="s">
        <v>25</v>
      </c>
      <c r="B114">
        <v>132327</v>
      </c>
      <c r="C114" s="2">
        <v>613.42999999999995</v>
      </c>
      <c r="D114" s="1">
        <v>44025</v>
      </c>
      <c r="E114" t="str">
        <f>"202007017487"</f>
        <v>202007017487</v>
      </c>
      <c r="F114" t="str">
        <f>"ACCT#010057/AUDITOR"</f>
        <v>ACCT#010057/AUDITOR</v>
      </c>
      <c r="G114" s="2">
        <v>6</v>
      </c>
      <c r="H114" t="str">
        <f>"ACCT#010057/AUDITOR"</f>
        <v>ACCT#010057/AUDITOR</v>
      </c>
    </row>
    <row r="115" spans="1:8" x14ac:dyDescent="0.25">
      <c r="E115" t="str">
        <f>"202007017488"</f>
        <v>202007017488</v>
      </c>
      <c r="F115" t="str">
        <f>"ACCT#010238/GENERAL SERVICES"</f>
        <v>ACCT#010238/GENERAL SERVICES</v>
      </c>
      <c r="G115" s="2">
        <v>112.99</v>
      </c>
      <c r="H115" t="str">
        <f>"ACCT#010238/GENERAL SERVICES"</f>
        <v>ACCT#010238/GENERAL SERVICES</v>
      </c>
    </row>
    <row r="116" spans="1:8" x14ac:dyDescent="0.25">
      <c r="E116" t="str">
        <f>"202007017491"</f>
        <v>202007017491</v>
      </c>
      <c r="F116" t="str">
        <f>"ACCT#012803/CO JUDGE"</f>
        <v>ACCT#012803/CO JUDGE</v>
      </c>
      <c r="G116" s="2">
        <v>40.5</v>
      </c>
      <c r="H116" t="str">
        <f>"ACCT#012803/CO JUDGE"</f>
        <v>ACCT#012803/CO JUDGE</v>
      </c>
    </row>
    <row r="117" spans="1:8" x14ac:dyDescent="0.25">
      <c r="E117" t="str">
        <f>"202007017492"</f>
        <v>202007017492</v>
      </c>
      <c r="F117" t="str">
        <f>"ACCT#012571/TREASURER"</f>
        <v>ACCT#012571/TREASURER</v>
      </c>
      <c r="G117" s="2">
        <v>25.5</v>
      </c>
      <c r="H117" t="str">
        <f>"ACCT#012571/TREASURER"</f>
        <v>ACCT#012571/TREASURER</v>
      </c>
    </row>
    <row r="118" spans="1:8" x14ac:dyDescent="0.25">
      <c r="E118" t="str">
        <f>"202007017515"</f>
        <v>202007017515</v>
      </c>
      <c r="F118" t="str">
        <f>"ACCT#010835/COMMISSIONER PCT#1"</f>
        <v>ACCT#010835/COMMISSIONER PCT#1</v>
      </c>
      <c r="G118" s="2">
        <v>30.49</v>
      </c>
      <c r="H118" t="str">
        <f>"ACCT#010835/COMMISSIONER PCT#1"</f>
        <v>ACCT#010835/COMMISSIONER PCT#1</v>
      </c>
    </row>
    <row r="119" spans="1:8" x14ac:dyDescent="0.25">
      <c r="E119" t="str">
        <f>"202007027520"</f>
        <v>202007027520</v>
      </c>
      <c r="F119" t="str">
        <f>"ACCT#010602/COMMISSIONER'S OFF"</f>
        <v>ACCT#010602/COMMISSIONER'S OFF</v>
      </c>
      <c r="G119" s="2">
        <v>57</v>
      </c>
      <c r="H119" t="str">
        <f>"ACCT#010602/COMMISSIONER'S OFF"</f>
        <v>ACCT#010602/COMMISSIONER'S OFF</v>
      </c>
    </row>
    <row r="120" spans="1:8" x14ac:dyDescent="0.25">
      <c r="E120" t="str">
        <f>"202007027525"</f>
        <v>202007027525</v>
      </c>
      <c r="F120" t="str">
        <f>"ACCT#011280/COUNTY CLERK"</f>
        <v>ACCT#011280/COUNTY CLERK</v>
      </c>
      <c r="G120" s="2">
        <v>70.5</v>
      </c>
      <c r="H120" t="str">
        <f>"ACCT#011280/COUNTY CLERK"</f>
        <v>ACCT#011280/COUNTY CLERK</v>
      </c>
    </row>
    <row r="121" spans="1:8" x14ac:dyDescent="0.25">
      <c r="E121" t="str">
        <f>"202007067639"</f>
        <v>202007067639</v>
      </c>
      <c r="F121" t="str">
        <f>"ACCT#010149/TX AGRI LIFE EXT"</f>
        <v>ACCT#010149/TX AGRI LIFE EXT</v>
      </c>
      <c r="G121" s="2">
        <v>28.99</v>
      </c>
      <c r="H121" t="str">
        <f>"ACCT#010149/TX AGRI LIFE EXT"</f>
        <v>ACCT#010149/TX AGRI LIFE EXT</v>
      </c>
    </row>
    <row r="122" spans="1:8" x14ac:dyDescent="0.25">
      <c r="E122" t="str">
        <f>"202007067640"</f>
        <v>202007067640</v>
      </c>
      <c r="F122" t="str">
        <f>"ACCT#011955/DIST JUDGE"</f>
        <v>ACCT#011955/DIST JUDGE</v>
      </c>
      <c r="G122" s="2">
        <v>44</v>
      </c>
      <c r="H122" t="str">
        <f>"ACCT#011955/DIST JUDGE"</f>
        <v>ACCT#011955/DIST JUDGE</v>
      </c>
    </row>
    <row r="123" spans="1:8" x14ac:dyDescent="0.25">
      <c r="E123" t="str">
        <f>"202007067641"</f>
        <v>202007067641</v>
      </c>
      <c r="F123" t="str">
        <f>"ACCT#012231/DIST JUDGE OFFICE"</f>
        <v>ACCT#012231/DIST JUDGE OFFICE</v>
      </c>
      <c r="G123" s="2">
        <v>28</v>
      </c>
      <c r="H123" t="str">
        <f>"ACCT#012231/DIST JUDGE OFFICE"</f>
        <v>ACCT#012231/DIST JUDGE OFFICE</v>
      </c>
    </row>
    <row r="124" spans="1:8" x14ac:dyDescent="0.25">
      <c r="E124" t="str">
        <f>"202007067654"</f>
        <v>202007067654</v>
      </c>
      <c r="F124" t="str">
        <f>"ACCT#014877/INDIGENT HEALTH"</f>
        <v>ACCT#014877/INDIGENT HEALTH</v>
      </c>
      <c r="G124" s="2">
        <v>83.97</v>
      </c>
      <c r="H124" t="str">
        <f>"ACCT#014877/INDIGENT HEALTH"</f>
        <v>ACCT#014877/INDIGENT HEALTH</v>
      </c>
    </row>
    <row r="125" spans="1:8" x14ac:dyDescent="0.25">
      <c r="E125" t="str">
        <f>"202007077659"</f>
        <v>202007077659</v>
      </c>
      <c r="F125" t="str">
        <f>"ACCT#013393/HUMAN RESOURCES"</f>
        <v>ACCT#013393/HUMAN RESOURCES</v>
      </c>
      <c r="G125" s="2">
        <v>20</v>
      </c>
      <c r="H125" t="str">
        <f>"ACCT#013393/HUMAN RESOURCES"</f>
        <v>ACCT#013393/HUMAN RESOURCES</v>
      </c>
    </row>
    <row r="126" spans="1:8" x14ac:dyDescent="0.25">
      <c r="E126" t="str">
        <f>"202007087807"</f>
        <v>202007087807</v>
      </c>
      <c r="F126" t="str">
        <f>"ACCT#014737/ANIMAL SERVICE"</f>
        <v>ACCT#014737/ANIMAL SERVICE</v>
      </c>
      <c r="G126" s="2">
        <v>27.99</v>
      </c>
      <c r="H126" t="str">
        <f>"ACCT#014737/ANIMAL SERVICE"</f>
        <v>ACCT#014737/ANIMAL SERVICE</v>
      </c>
    </row>
    <row r="127" spans="1:8" x14ac:dyDescent="0.25">
      <c r="E127" t="str">
        <f>"230826"</f>
        <v>230826</v>
      </c>
      <c r="F127" t="str">
        <f>"ACCT#012260/DIST ATTNY'S OFFIC"</f>
        <v>ACCT#012260/DIST ATTNY'S OFFIC</v>
      </c>
      <c r="G127" s="2">
        <v>37.5</v>
      </c>
      <c r="H127" t="str">
        <f>"ACCT#012260/DIST ATTNY'S OFFIC"</f>
        <v>ACCT#012260/DIST ATTNY'S OFFIC</v>
      </c>
    </row>
    <row r="128" spans="1:8" x14ac:dyDescent="0.25">
      <c r="A128" t="s">
        <v>26</v>
      </c>
      <c r="B128">
        <v>132316</v>
      </c>
      <c r="C128" s="2">
        <v>55.59</v>
      </c>
      <c r="D128" s="1">
        <v>44021</v>
      </c>
      <c r="E128" t="str">
        <f>"202007087828"</f>
        <v>202007087828</v>
      </c>
      <c r="F128" t="str">
        <f>"ACCT#0201855301 / 07052020"</f>
        <v>ACCT#0201855301 / 07052020</v>
      </c>
      <c r="G128" s="2">
        <v>30.31</v>
      </c>
      <c r="H128" t="str">
        <f>"ACCT#0201855301 / 07052020"</f>
        <v>ACCT#0201855301 / 07052020</v>
      </c>
    </row>
    <row r="129" spans="1:8" x14ac:dyDescent="0.25">
      <c r="E129" t="str">
        <f>"202007087829"</f>
        <v>202007087829</v>
      </c>
      <c r="F129" t="str">
        <f>"ACCT#0201891401 / 07052020"</f>
        <v>ACCT#0201891401 / 07052020</v>
      </c>
      <c r="G129" s="2">
        <v>25.28</v>
      </c>
      <c r="H129" t="str">
        <f>"ACCT#0201891401 / 07052020"</f>
        <v>ACCT#0201891401 / 07052020</v>
      </c>
    </row>
    <row r="130" spans="1:8" x14ac:dyDescent="0.25">
      <c r="A130" t="s">
        <v>26</v>
      </c>
      <c r="B130">
        <v>132479</v>
      </c>
      <c r="C130" s="2">
        <v>1231.8399999999999</v>
      </c>
      <c r="D130" s="1">
        <v>44035</v>
      </c>
      <c r="E130" t="str">
        <f>"202007217992"</f>
        <v>202007217992</v>
      </c>
      <c r="F130" t="str">
        <f>"ACCT#0102120801 / 07202020"</f>
        <v>ACCT#0102120801 / 07202020</v>
      </c>
      <c r="G130" s="2">
        <v>445.25</v>
      </c>
      <c r="H130" t="str">
        <f>"ACCT#0102120801 / 07202020"</f>
        <v>ACCT#0102120801 / 07202020</v>
      </c>
    </row>
    <row r="131" spans="1:8" x14ac:dyDescent="0.25">
      <c r="E131" t="str">
        <f>"202007217993"</f>
        <v>202007217993</v>
      </c>
      <c r="F131" t="str">
        <f>"ACCT#0400785803 / 07202020"</f>
        <v>ACCT#0400785803 / 07202020</v>
      </c>
      <c r="G131" s="2">
        <v>173.09</v>
      </c>
      <c r="H131" t="str">
        <f>"ACCT#0400785803 / 07202020"</f>
        <v>ACCT#0400785803 / 07202020</v>
      </c>
    </row>
    <row r="132" spans="1:8" x14ac:dyDescent="0.25">
      <c r="E132" t="str">
        <f>"202007217994"</f>
        <v>202007217994</v>
      </c>
      <c r="F132" t="str">
        <f>"ACCT#0401408501 / 07202020"</f>
        <v>ACCT#0401408501 / 07202020</v>
      </c>
      <c r="G132" s="2">
        <v>547.08000000000004</v>
      </c>
      <c r="H132" t="str">
        <f>"ACCT#0401408501 / 07202020"</f>
        <v>ACCT#0401408501 / 07202020</v>
      </c>
    </row>
    <row r="133" spans="1:8" x14ac:dyDescent="0.25">
      <c r="E133" t="str">
        <f>"202007217995"</f>
        <v>202007217995</v>
      </c>
      <c r="F133" t="str">
        <f>"ACCT#0800042801 / 07202020"</f>
        <v>ACCT#0800042801 / 07202020</v>
      </c>
      <c r="G133" s="2">
        <v>40.75</v>
      </c>
      <c r="H133" t="str">
        <f>"ACCT#0800042801 / 07202020"</f>
        <v>ACCT#0800042801 / 07202020</v>
      </c>
    </row>
    <row r="134" spans="1:8" x14ac:dyDescent="0.25">
      <c r="E134" t="str">
        <f>"202007217996"</f>
        <v>202007217996</v>
      </c>
      <c r="F134" t="str">
        <f>"ACCT#0802361501 / 07202020"</f>
        <v>ACCT#0802361501 / 07202020</v>
      </c>
      <c r="G134" s="2">
        <v>25.67</v>
      </c>
      <c r="H134" t="str">
        <f>"ACCT#0802361501 / 07202020"</f>
        <v>ACCT#0802361501 / 07202020</v>
      </c>
    </row>
    <row r="135" spans="1:8" x14ac:dyDescent="0.25">
      <c r="A135" t="s">
        <v>26</v>
      </c>
      <c r="B135">
        <v>132484</v>
      </c>
      <c r="C135" s="2">
        <v>1154.6600000000001</v>
      </c>
      <c r="D135" s="1">
        <v>44039</v>
      </c>
      <c r="E135" t="str">
        <f>"202007147841"</f>
        <v>202007147841</v>
      </c>
      <c r="F135" t="str">
        <f>"ACCT#7700010027/52 LDS WATER"</f>
        <v>ACCT#7700010027/52 LDS WATER</v>
      </c>
      <c r="G135" s="2">
        <v>430.5</v>
      </c>
      <c r="H135" t="str">
        <f>"ACCT#7700010027/52 LDS WATER"</f>
        <v>ACCT#7700010027/52 LDS WATER</v>
      </c>
    </row>
    <row r="136" spans="1:8" x14ac:dyDescent="0.25">
      <c r="E136" t="str">
        <f>"202007147843"</f>
        <v>202007147843</v>
      </c>
      <c r="F136" t="str">
        <f>"ACCT#7700010026/36 LDS WATER"</f>
        <v>ACCT#7700010026/36 LDS WATER</v>
      </c>
      <c r="G136" s="2">
        <v>369</v>
      </c>
      <c r="H136" t="str">
        <f>"ACCT#7700010026/36 LDS WATER"</f>
        <v>ACCT#7700010026/36 LDS WATER</v>
      </c>
    </row>
    <row r="137" spans="1:8" x14ac:dyDescent="0.25">
      <c r="E137" t="str">
        <f>"202007147844"</f>
        <v>202007147844</v>
      </c>
      <c r="F137" t="str">
        <f>"ACCT#7700010025/5 LDS WATER/P2"</f>
        <v>ACCT#7700010025/5 LDS WATER/P2</v>
      </c>
      <c r="G137" s="2">
        <v>51.25</v>
      </c>
      <c r="H137" t="str">
        <f>"ACCT#7700010025/5 LDS WATER/P2"</f>
        <v>ACCT#7700010025/5 LDS WATER/P2</v>
      </c>
    </row>
    <row r="138" spans="1:8" x14ac:dyDescent="0.25">
      <c r="E138" t="str">
        <f>"202007147847"</f>
        <v>202007147847</v>
      </c>
      <c r="F138" t="str">
        <f>"ACCT#7700010024/28 LDS/PCT#1"</f>
        <v>ACCT#7700010024/28 LDS/PCT#1</v>
      </c>
      <c r="G138" s="2">
        <v>287</v>
      </c>
      <c r="H138" t="str">
        <f>"ACCT#7700010024/28 LDS/PCT#1"</f>
        <v>ACCT#7700010024/28 LDS/PCT#1</v>
      </c>
    </row>
    <row r="139" spans="1:8" x14ac:dyDescent="0.25">
      <c r="E139" t="str">
        <f>"202007147849"</f>
        <v>202007147849</v>
      </c>
      <c r="F139" t="str">
        <f>"ACCT#7700010019/FLUSH VALVE"</f>
        <v>ACCT#7700010019/FLUSH VALVE</v>
      </c>
      <c r="G139" s="2">
        <v>16.91</v>
      </c>
      <c r="H139" t="str">
        <f>"ACCT#7700010019/FLUSH VALVE"</f>
        <v>ACCT#7700010019/FLUSH VALVE</v>
      </c>
    </row>
    <row r="140" spans="1:8" x14ac:dyDescent="0.25">
      <c r="A140" t="s">
        <v>27</v>
      </c>
      <c r="B140">
        <v>2879</v>
      </c>
      <c r="C140" s="2">
        <v>23105.13</v>
      </c>
      <c r="D140" s="1">
        <v>44040</v>
      </c>
      <c r="E140" t="str">
        <f>"15051"</f>
        <v>15051</v>
      </c>
      <c r="F140" t="str">
        <f>"PROJ NAME:BC MAY/JUNE ADV"</f>
        <v>PROJ NAME:BC MAY/JUNE ADV</v>
      </c>
      <c r="G140" s="2">
        <v>20830.13</v>
      </c>
      <c r="H140" t="str">
        <f>"PROJ NAME:BC MAY/JUNE ADV"</f>
        <v>PROJ NAME:BC MAY/JUNE ADV</v>
      </c>
    </row>
    <row r="141" spans="1:8" x14ac:dyDescent="0.25">
      <c r="E141" t="str">
        <f>"15052"</f>
        <v>15052</v>
      </c>
      <c r="F141" t="str">
        <f>"BC PROSERV MAY/JUNE ADV"</f>
        <v>BC PROSERV MAY/JUNE ADV</v>
      </c>
      <c r="G141" s="2">
        <v>2275</v>
      </c>
      <c r="H141" t="str">
        <f>"BC PROSERV MAY/JUNE ADV"</f>
        <v>BC PROSERV MAY/JUNE ADV</v>
      </c>
    </row>
    <row r="142" spans="1:8" x14ac:dyDescent="0.25">
      <c r="A142" t="s">
        <v>28</v>
      </c>
      <c r="B142">
        <v>132328</v>
      </c>
      <c r="C142" s="2">
        <v>6750.05</v>
      </c>
      <c r="D142" s="1">
        <v>44025</v>
      </c>
      <c r="E142" t="str">
        <f>"202007077658"</f>
        <v>202007077658</v>
      </c>
      <c r="F142" t="str">
        <f>"ACCT#512 A49-0048 193 3"</f>
        <v>ACCT#512 A49-0048 193 3</v>
      </c>
      <c r="G142" s="2">
        <v>6062.06</v>
      </c>
      <c r="H142" t="str">
        <f>"ACCT#512 A49-0048 193 3"</f>
        <v>ACCT#512 A49-0048 193 3</v>
      </c>
    </row>
    <row r="143" spans="1:8" x14ac:dyDescent="0.25">
      <c r="E143" t="str">
        <f>""</f>
        <v/>
      </c>
      <c r="F143" t="str">
        <f>""</f>
        <v/>
      </c>
      <c r="H143" t="str">
        <f>"ACCT#512 A49-0048 193 3"</f>
        <v>ACCT#512 A49-0048 193 3</v>
      </c>
    </row>
    <row r="144" spans="1:8" x14ac:dyDescent="0.25">
      <c r="E144" t="str">
        <f>""</f>
        <v/>
      </c>
      <c r="F144" t="str">
        <f>""</f>
        <v/>
      </c>
      <c r="H144" t="str">
        <f>"ACCT#512 A49-0048 193 3"</f>
        <v>ACCT#512 A49-0048 193 3</v>
      </c>
    </row>
    <row r="145" spans="1:8" x14ac:dyDescent="0.25">
      <c r="E145" t="str">
        <f>""</f>
        <v/>
      </c>
      <c r="F145" t="str">
        <f>""</f>
        <v/>
      </c>
      <c r="H145" t="str">
        <f>"ACCT#512 A49-0048 193 3"</f>
        <v>ACCT#512 A49-0048 193 3</v>
      </c>
    </row>
    <row r="146" spans="1:8" x14ac:dyDescent="0.25">
      <c r="E146" t="str">
        <f>"202007077662"</f>
        <v>202007077662</v>
      </c>
      <c r="F146" t="str">
        <f>"ACCT#512 308-9870 530 7"</f>
        <v>ACCT#512 308-9870 530 7</v>
      </c>
      <c r="G146" s="2">
        <v>687.99</v>
      </c>
      <c r="H146" t="str">
        <f>"ACCT#512 308-9870 530 7"</f>
        <v>ACCT#512 308-9870 530 7</v>
      </c>
    </row>
    <row r="147" spans="1:8" x14ac:dyDescent="0.25">
      <c r="A147" t="s">
        <v>28</v>
      </c>
      <c r="B147">
        <v>132329</v>
      </c>
      <c r="C147" s="2">
        <v>300</v>
      </c>
      <c r="D147" s="1">
        <v>44025</v>
      </c>
      <c r="E147" t="str">
        <f>"352987"</f>
        <v>352987</v>
      </c>
      <c r="F147" t="str">
        <f>"INV 352987"</f>
        <v>INV 352987</v>
      </c>
      <c r="G147" s="2">
        <v>175</v>
      </c>
      <c r="H147" t="str">
        <f>"INV 352987"</f>
        <v>INV 352987</v>
      </c>
    </row>
    <row r="148" spans="1:8" x14ac:dyDescent="0.25">
      <c r="E148" t="str">
        <f>"354125"</f>
        <v>354125</v>
      </c>
      <c r="F148" t="str">
        <f>"INV 354125"</f>
        <v>INV 354125</v>
      </c>
      <c r="G148" s="2">
        <v>125</v>
      </c>
      <c r="H148" t="str">
        <f>"INV 354125"</f>
        <v>INV 354125</v>
      </c>
    </row>
    <row r="149" spans="1:8" x14ac:dyDescent="0.25">
      <c r="A149" t="s">
        <v>28</v>
      </c>
      <c r="B149">
        <v>132330</v>
      </c>
      <c r="C149" s="2">
        <v>6494.26</v>
      </c>
      <c r="D149" s="1">
        <v>44025</v>
      </c>
      <c r="E149" t="str">
        <f>"4815795509"</f>
        <v>4815795509</v>
      </c>
      <c r="F149" t="str">
        <f>"ACCT#831-000-9850 451"</f>
        <v>ACCT#831-000-9850 451</v>
      </c>
      <c r="G149" s="2">
        <v>1934.94</v>
      </c>
      <c r="H149" t="str">
        <f>"ACCT#831-000-9850 451"</f>
        <v>ACCT#831-000-9850 451</v>
      </c>
    </row>
    <row r="150" spans="1:8" x14ac:dyDescent="0.25">
      <c r="E150" t="str">
        <f>"8101075500"</f>
        <v>8101075500</v>
      </c>
      <c r="F150" t="str">
        <f>"ACCT#831-000-7218 923"</f>
        <v>ACCT#831-000-7218 923</v>
      </c>
      <c r="G150" s="2">
        <v>874.25</v>
      </c>
      <c r="H150" t="str">
        <f>"ACCT#831-000-7218 923"</f>
        <v>ACCT#831-000-7218 923</v>
      </c>
    </row>
    <row r="151" spans="1:8" x14ac:dyDescent="0.25">
      <c r="E151" t="str">
        <f>"8627398501"</f>
        <v>8627398501</v>
      </c>
      <c r="F151" t="str">
        <f>"ACCT#831-000-6084 095"</f>
        <v>ACCT#831-000-6084 095</v>
      </c>
      <c r="G151" s="2">
        <v>1684.69</v>
      </c>
      <c r="H151" t="str">
        <f>"ACCT#831-000-6084 095"</f>
        <v>ACCT#831-000-6084 095</v>
      </c>
    </row>
    <row r="152" spans="1:8" x14ac:dyDescent="0.25">
      <c r="E152" t="str">
        <f>"9349545503"</f>
        <v>9349545503</v>
      </c>
      <c r="F152" t="str">
        <f>"ACCT#831-000-7919 623"</f>
        <v>ACCT#831-000-7919 623</v>
      </c>
      <c r="G152" s="2">
        <v>2000.38</v>
      </c>
      <c r="H152" t="str">
        <f>"ACCT#831-000-7919 623"</f>
        <v>ACCT#831-000-7919 623</v>
      </c>
    </row>
    <row r="153" spans="1:8" x14ac:dyDescent="0.25">
      <c r="A153" t="s">
        <v>28</v>
      </c>
      <c r="B153">
        <v>132485</v>
      </c>
      <c r="C153" s="2">
        <v>1822.24</v>
      </c>
      <c r="D153" s="1">
        <v>44039</v>
      </c>
      <c r="E153" t="str">
        <f>"202007217972"</f>
        <v>202007217972</v>
      </c>
      <c r="F153" t="str">
        <f>"512 303-1080 238 5"</f>
        <v>512 303-1080 238 5</v>
      </c>
      <c r="G153" s="2">
        <v>1822.24</v>
      </c>
      <c r="H153" t="str">
        <f>"512 303-1080  LE"</f>
        <v>512 303-1080  LE</v>
      </c>
    </row>
    <row r="154" spans="1:8" x14ac:dyDescent="0.25">
      <c r="E154" t="str">
        <f>""</f>
        <v/>
      </c>
      <c r="F154" t="str">
        <f>""</f>
        <v/>
      </c>
      <c r="H154" t="str">
        <f>"512 303-1080 JAIL"</f>
        <v>512 303-1080 JAIL</v>
      </c>
    </row>
    <row r="155" spans="1:8" x14ac:dyDescent="0.25">
      <c r="A155" t="s">
        <v>28</v>
      </c>
      <c r="B155">
        <v>132486</v>
      </c>
      <c r="C155" s="2">
        <v>1980.2</v>
      </c>
      <c r="D155" s="1">
        <v>44039</v>
      </c>
      <c r="E155" t="str">
        <f>"2434095508"</f>
        <v>2434095508</v>
      </c>
      <c r="F155" t="str">
        <f>"ACCT#831-000-9850 451"</f>
        <v>ACCT#831-000-9850 451</v>
      </c>
      <c r="G155" s="2">
        <v>1980.2</v>
      </c>
      <c r="H155" t="str">
        <f>"ACCT#831-000-9850 451"</f>
        <v>ACCT#831-000-9850 451</v>
      </c>
    </row>
    <row r="156" spans="1:8" x14ac:dyDescent="0.25">
      <c r="A156" t="s">
        <v>29</v>
      </c>
      <c r="B156">
        <v>132331</v>
      </c>
      <c r="C156" s="2">
        <v>5293.25</v>
      </c>
      <c r="D156" s="1">
        <v>44025</v>
      </c>
      <c r="E156" t="str">
        <f>"287263291654X0620"</f>
        <v>287263291654X0620</v>
      </c>
      <c r="F156" t="str">
        <f>"ACCT#287263291654/FA#06062279"</f>
        <v>ACCT#287263291654/FA#06062279</v>
      </c>
      <c r="G156" s="2">
        <v>1320.4</v>
      </c>
      <c r="H156" t="str">
        <f t="shared" ref="H156:H171" si="2">"ACCT#287263291654/FA#06062279"</f>
        <v>ACCT#287263291654/FA#06062279</v>
      </c>
    </row>
    <row r="157" spans="1:8" x14ac:dyDescent="0.25">
      <c r="E157" t="str">
        <f>""</f>
        <v/>
      </c>
      <c r="F157" t="str">
        <f>""</f>
        <v/>
      </c>
      <c r="H157" t="str">
        <f t="shared" si="2"/>
        <v>ACCT#287263291654/FA#06062279</v>
      </c>
    </row>
    <row r="158" spans="1:8" x14ac:dyDescent="0.25">
      <c r="E158" t="str">
        <f>""</f>
        <v/>
      </c>
      <c r="F158" t="str">
        <f>""</f>
        <v/>
      </c>
      <c r="H158" t="str">
        <f t="shared" si="2"/>
        <v>ACCT#287263291654/FA#06062279</v>
      </c>
    </row>
    <row r="159" spans="1:8" x14ac:dyDescent="0.25">
      <c r="E159" t="str">
        <f>""</f>
        <v/>
      </c>
      <c r="F159" t="str">
        <f>""</f>
        <v/>
      </c>
      <c r="H159" t="str">
        <f t="shared" si="2"/>
        <v>ACCT#287263291654/FA#06062279</v>
      </c>
    </row>
    <row r="160" spans="1:8" x14ac:dyDescent="0.25">
      <c r="E160" t="str">
        <f>""</f>
        <v/>
      </c>
      <c r="F160" t="str">
        <f>""</f>
        <v/>
      </c>
      <c r="H160" t="str">
        <f t="shared" si="2"/>
        <v>ACCT#287263291654/FA#06062279</v>
      </c>
    </row>
    <row r="161" spans="5:8" x14ac:dyDescent="0.25">
      <c r="E161" t="str">
        <f>""</f>
        <v/>
      </c>
      <c r="F161" t="str">
        <f>""</f>
        <v/>
      </c>
      <c r="H161" t="str">
        <f t="shared" si="2"/>
        <v>ACCT#287263291654/FA#06062279</v>
      </c>
    </row>
    <row r="162" spans="5:8" x14ac:dyDescent="0.25">
      <c r="E162" t="str">
        <f>""</f>
        <v/>
      </c>
      <c r="F162" t="str">
        <f>""</f>
        <v/>
      </c>
      <c r="H162" t="str">
        <f t="shared" si="2"/>
        <v>ACCT#287263291654/FA#06062279</v>
      </c>
    </row>
    <row r="163" spans="5:8" x14ac:dyDescent="0.25">
      <c r="E163" t="str">
        <f>""</f>
        <v/>
      </c>
      <c r="F163" t="str">
        <f>""</f>
        <v/>
      </c>
      <c r="H163" t="str">
        <f t="shared" si="2"/>
        <v>ACCT#287263291654/FA#06062279</v>
      </c>
    </row>
    <row r="164" spans="5:8" x14ac:dyDescent="0.25">
      <c r="E164" t="str">
        <f>""</f>
        <v/>
      </c>
      <c r="F164" t="str">
        <f>""</f>
        <v/>
      </c>
      <c r="H164" t="str">
        <f t="shared" si="2"/>
        <v>ACCT#287263291654/FA#06062279</v>
      </c>
    </row>
    <row r="165" spans="5:8" x14ac:dyDescent="0.25">
      <c r="E165" t="str">
        <f>""</f>
        <v/>
      </c>
      <c r="F165" t="str">
        <f>""</f>
        <v/>
      </c>
      <c r="H165" t="str">
        <f t="shared" si="2"/>
        <v>ACCT#287263291654/FA#06062279</v>
      </c>
    </row>
    <row r="166" spans="5:8" x14ac:dyDescent="0.25">
      <c r="E166" t="str">
        <f>""</f>
        <v/>
      </c>
      <c r="F166" t="str">
        <f>""</f>
        <v/>
      </c>
      <c r="H166" t="str">
        <f t="shared" si="2"/>
        <v>ACCT#287263291654/FA#06062279</v>
      </c>
    </row>
    <row r="167" spans="5:8" x14ac:dyDescent="0.25">
      <c r="E167" t="str">
        <f>""</f>
        <v/>
      </c>
      <c r="F167" t="str">
        <f>""</f>
        <v/>
      </c>
      <c r="H167" t="str">
        <f t="shared" si="2"/>
        <v>ACCT#287263291654/FA#06062279</v>
      </c>
    </row>
    <row r="168" spans="5:8" x14ac:dyDescent="0.25">
      <c r="E168" t="str">
        <f>""</f>
        <v/>
      </c>
      <c r="F168" t="str">
        <f>""</f>
        <v/>
      </c>
      <c r="H168" t="str">
        <f t="shared" si="2"/>
        <v>ACCT#287263291654/FA#06062279</v>
      </c>
    </row>
    <row r="169" spans="5:8" x14ac:dyDescent="0.25">
      <c r="E169" t="str">
        <f>""</f>
        <v/>
      </c>
      <c r="F169" t="str">
        <f>""</f>
        <v/>
      </c>
      <c r="H169" t="str">
        <f t="shared" si="2"/>
        <v>ACCT#287263291654/FA#06062279</v>
      </c>
    </row>
    <row r="170" spans="5:8" x14ac:dyDescent="0.25">
      <c r="E170" t="str">
        <f>""</f>
        <v/>
      </c>
      <c r="F170" t="str">
        <f>""</f>
        <v/>
      </c>
      <c r="H170" t="str">
        <f t="shared" si="2"/>
        <v>ACCT#287263291654/FA#06062279</v>
      </c>
    </row>
    <row r="171" spans="5:8" x14ac:dyDescent="0.25">
      <c r="E171" t="str">
        <f>""</f>
        <v/>
      </c>
      <c r="F171" t="str">
        <f>""</f>
        <v/>
      </c>
      <c r="H171" t="str">
        <f t="shared" si="2"/>
        <v>ACCT#287263291654/FA#06062279</v>
      </c>
    </row>
    <row r="172" spans="5:8" x14ac:dyDescent="0.25">
      <c r="E172" t="str">
        <f>"287280903541x06202"</f>
        <v>287280903541x06202</v>
      </c>
      <c r="F172" t="str">
        <f>"INV 287280903541X06202020"</f>
        <v>INV 287280903541X06202020</v>
      </c>
      <c r="G172" s="2">
        <v>217.49</v>
      </c>
      <c r="H172" t="str">
        <f>"INV 287280903541X06202020"</f>
        <v>INV 287280903541X06202020</v>
      </c>
    </row>
    <row r="173" spans="5:8" x14ac:dyDescent="0.25">
      <c r="E173" t="str">
        <f>"287290524359X0627"</f>
        <v>287290524359X0627</v>
      </c>
      <c r="F173" t="str">
        <f>"ACCT#287290524359/FAN#58143538"</f>
        <v>ACCT#287290524359/FAN#58143538</v>
      </c>
      <c r="G173" s="2">
        <v>3755.36</v>
      </c>
      <c r="H173" t="str">
        <f t="shared" ref="H173:H179" si="3">"ACCT#287290524359/FAN#58143538"</f>
        <v>ACCT#287290524359/FAN#58143538</v>
      </c>
    </row>
    <row r="174" spans="5:8" x14ac:dyDescent="0.25">
      <c r="E174" t="str">
        <f>""</f>
        <v/>
      </c>
      <c r="F174" t="str">
        <f>""</f>
        <v/>
      </c>
      <c r="H174" t="str">
        <f t="shared" si="3"/>
        <v>ACCT#287290524359/FAN#58143538</v>
      </c>
    </row>
    <row r="175" spans="5:8" x14ac:dyDescent="0.25">
      <c r="E175" t="str">
        <f>""</f>
        <v/>
      </c>
      <c r="F175" t="str">
        <f>""</f>
        <v/>
      </c>
      <c r="H175" t="str">
        <f t="shared" si="3"/>
        <v>ACCT#287290524359/FAN#58143538</v>
      </c>
    </row>
    <row r="176" spans="5:8" x14ac:dyDescent="0.25">
      <c r="E176" t="str">
        <f>""</f>
        <v/>
      </c>
      <c r="F176" t="str">
        <f>""</f>
        <v/>
      </c>
      <c r="H176" t="str">
        <f t="shared" si="3"/>
        <v>ACCT#287290524359/FAN#58143538</v>
      </c>
    </row>
    <row r="177" spans="1:8" x14ac:dyDescent="0.25">
      <c r="E177" t="str">
        <f>""</f>
        <v/>
      </c>
      <c r="F177" t="str">
        <f>""</f>
        <v/>
      </c>
      <c r="H177" t="str">
        <f t="shared" si="3"/>
        <v>ACCT#287290524359/FAN#58143538</v>
      </c>
    </row>
    <row r="178" spans="1:8" x14ac:dyDescent="0.25">
      <c r="E178" t="str">
        <f>""</f>
        <v/>
      </c>
      <c r="F178" t="str">
        <f>""</f>
        <v/>
      </c>
      <c r="H178" t="str">
        <f t="shared" si="3"/>
        <v>ACCT#287290524359/FAN#58143538</v>
      </c>
    </row>
    <row r="179" spans="1:8" x14ac:dyDescent="0.25">
      <c r="E179" t="str">
        <f>""</f>
        <v/>
      </c>
      <c r="F179" t="str">
        <f>""</f>
        <v/>
      </c>
      <c r="H179" t="str">
        <f t="shared" si="3"/>
        <v>ACCT#287290524359/FAN#58143538</v>
      </c>
    </row>
    <row r="180" spans="1:8" x14ac:dyDescent="0.25">
      <c r="A180" t="s">
        <v>29</v>
      </c>
      <c r="B180">
        <v>132487</v>
      </c>
      <c r="C180" s="2">
        <v>1704.38</v>
      </c>
      <c r="D180" s="1">
        <v>44039</v>
      </c>
      <c r="E180" t="str">
        <f>"263291654X07202020"</f>
        <v>263291654X07202020</v>
      </c>
      <c r="F180" t="str">
        <f>"ACCT#287263291654/FAN#06062279"</f>
        <v>ACCT#287263291654/FAN#06062279</v>
      </c>
      <c r="G180" s="2">
        <v>1380.25</v>
      </c>
      <c r="H180" t="str">
        <f t="shared" ref="H180:H195" si="4">"ACCT#287263291654/FAN#06062279"</f>
        <v>ACCT#287263291654/FAN#06062279</v>
      </c>
    </row>
    <row r="181" spans="1:8" x14ac:dyDescent="0.25">
      <c r="E181" t="str">
        <f>""</f>
        <v/>
      </c>
      <c r="F181" t="str">
        <f>""</f>
        <v/>
      </c>
      <c r="H181" t="str">
        <f t="shared" si="4"/>
        <v>ACCT#287263291654/FAN#06062279</v>
      </c>
    </row>
    <row r="182" spans="1:8" x14ac:dyDescent="0.25">
      <c r="E182" t="str">
        <f>""</f>
        <v/>
      </c>
      <c r="F182" t="str">
        <f>""</f>
        <v/>
      </c>
      <c r="H182" t="str">
        <f t="shared" si="4"/>
        <v>ACCT#287263291654/FAN#06062279</v>
      </c>
    </row>
    <row r="183" spans="1:8" x14ac:dyDescent="0.25">
      <c r="E183" t="str">
        <f>""</f>
        <v/>
      </c>
      <c r="F183" t="str">
        <f>""</f>
        <v/>
      </c>
      <c r="H183" t="str">
        <f t="shared" si="4"/>
        <v>ACCT#287263291654/FAN#06062279</v>
      </c>
    </row>
    <row r="184" spans="1:8" x14ac:dyDescent="0.25">
      <c r="E184" t="str">
        <f>""</f>
        <v/>
      </c>
      <c r="F184" t="str">
        <f>""</f>
        <v/>
      </c>
      <c r="H184" t="str">
        <f t="shared" si="4"/>
        <v>ACCT#287263291654/FAN#06062279</v>
      </c>
    </row>
    <row r="185" spans="1:8" x14ac:dyDescent="0.25">
      <c r="E185" t="str">
        <f>""</f>
        <v/>
      </c>
      <c r="F185" t="str">
        <f>""</f>
        <v/>
      </c>
      <c r="H185" t="str">
        <f t="shared" si="4"/>
        <v>ACCT#287263291654/FAN#06062279</v>
      </c>
    </row>
    <row r="186" spans="1:8" x14ac:dyDescent="0.25">
      <c r="E186" t="str">
        <f>""</f>
        <v/>
      </c>
      <c r="F186" t="str">
        <f>""</f>
        <v/>
      </c>
      <c r="H186" t="str">
        <f t="shared" si="4"/>
        <v>ACCT#287263291654/FAN#06062279</v>
      </c>
    </row>
    <row r="187" spans="1:8" x14ac:dyDescent="0.25">
      <c r="E187" t="str">
        <f>""</f>
        <v/>
      </c>
      <c r="F187" t="str">
        <f>""</f>
        <v/>
      </c>
      <c r="H187" t="str">
        <f t="shared" si="4"/>
        <v>ACCT#287263291654/FAN#06062279</v>
      </c>
    </row>
    <row r="188" spans="1:8" x14ac:dyDescent="0.25">
      <c r="E188" t="str">
        <f>""</f>
        <v/>
      </c>
      <c r="F188" t="str">
        <f>""</f>
        <v/>
      </c>
      <c r="H188" t="str">
        <f t="shared" si="4"/>
        <v>ACCT#287263291654/FAN#06062279</v>
      </c>
    </row>
    <row r="189" spans="1:8" x14ac:dyDescent="0.25">
      <c r="E189" t="str">
        <f>""</f>
        <v/>
      </c>
      <c r="F189" t="str">
        <f>""</f>
        <v/>
      </c>
      <c r="H189" t="str">
        <f t="shared" si="4"/>
        <v>ACCT#287263291654/FAN#06062279</v>
      </c>
    </row>
    <row r="190" spans="1:8" x14ac:dyDescent="0.25">
      <c r="E190" t="str">
        <f>""</f>
        <v/>
      </c>
      <c r="F190" t="str">
        <f>""</f>
        <v/>
      </c>
      <c r="H190" t="str">
        <f t="shared" si="4"/>
        <v>ACCT#287263291654/FAN#06062279</v>
      </c>
    </row>
    <row r="191" spans="1:8" x14ac:dyDescent="0.25">
      <c r="E191" t="str">
        <f>""</f>
        <v/>
      </c>
      <c r="F191" t="str">
        <f>""</f>
        <v/>
      </c>
      <c r="H191" t="str">
        <f t="shared" si="4"/>
        <v>ACCT#287263291654/FAN#06062279</v>
      </c>
    </row>
    <row r="192" spans="1:8" x14ac:dyDescent="0.25">
      <c r="E192" t="str">
        <f>""</f>
        <v/>
      </c>
      <c r="F192" t="str">
        <f>""</f>
        <v/>
      </c>
      <c r="H192" t="str">
        <f t="shared" si="4"/>
        <v>ACCT#287263291654/FAN#06062279</v>
      </c>
    </row>
    <row r="193" spans="1:8" x14ac:dyDescent="0.25">
      <c r="E193" t="str">
        <f>""</f>
        <v/>
      </c>
      <c r="F193" t="str">
        <f>""</f>
        <v/>
      </c>
      <c r="H193" t="str">
        <f t="shared" si="4"/>
        <v>ACCT#287263291654/FAN#06062279</v>
      </c>
    </row>
    <row r="194" spans="1:8" x14ac:dyDescent="0.25">
      <c r="E194" t="str">
        <f>""</f>
        <v/>
      </c>
      <c r="F194" t="str">
        <f>""</f>
        <v/>
      </c>
      <c r="H194" t="str">
        <f t="shared" si="4"/>
        <v>ACCT#287263291654/FAN#06062279</v>
      </c>
    </row>
    <row r="195" spans="1:8" x14ac:dyDescent="0.25">
      <c r="E195" t="str">
        <f>""</f>
        <v/>
      </c>
      <c r="F195" t="str">
        <f>""</f>
        <v/>
      </c>
      <c r="H195" t="str">
        <f t="shared" si="4"/>
        <v>ACCT#287263291654/FAN#06062279</v>
      </c>
    </row>
    <row r="196" spans="1:8" x14ac:dyDescent="0.25">
      <c r="E196" t="str">
        <f>"280903541X07202020"</f>
        <v>280903541X07202020</v>
      </c>
      <c r="F196" t="str">
        <f>"287280903541X07202020"</f>
        <v>287280903541X07202020</v>
      </c>
      <c r="G196" s="2">
        <v>324.13</v>
      </c>
      <c r="H196" t="str">
        <f>"287280903541X07202020"</f>
        <v>287280903541X07202020</v>
      </c>
    </row>
    <row r="197" spans="1:8" x14ac:dyDescent="0.25">
      <c r="A197" t="s">
        <v>30</v>
      </c>
      <c r="B197">
        <v>132332</v>
      </c>
      <c r="C197" s="2">
        <v>439.9</v>
      </c>
      <c r="D197" s="1">
        <v>44025</v>
      </c>
      <c r="E197" t="str">
        <f>"9999901365803"</f>
        <v>9999901365803</v>
      </c>
      <c r="F197" t="str">
        <f>"SHIP ORD#2346373601/ANIMAL SVC"</f>
        <v>SHIP ORD#2346373601/ANIMAL SVC</v>
      </c>
      <c r="G197" s="2">
        <v>439.9</v>
      </c>
      <c r="H197" t="str">
        <f>"SHIP ORD#2346373601/ANIMAL SVC"</f>
        <v>SHIP ORD#2346373601/ANIMAL SVC</v>
      </c>
    </row>
    <row r="198" spans="1:8" x14ac:dyDescent="0.25">
      <c r="A198" t="s">
        <v>31</v>
      </c>
      <c r="B198">
        <v>132488</v>
      </c>
      <c r="C198" s="2">
        <v>118.33</v>
      </c>
      <c r="D198" s="1">
        <v>44039</v>
      </c>
      <c r="E198" t="str">
        <f>"213624"</f>
        <v>213624</v>
      </c>
      <c r="F198" t="str">
        <f>"INV 213624"</f>
        <v>INV 213624</v>
      </c>
      <c r="G198" s="2">
        <v>118.33</v>
      </c>
      <c r="H198" t="str">
        <f>"INV 213624"</f>
        <v>INV 213624</v>
      </c>
    </row>
    <row r="199" spans="1:8" x14ac:dyDescent="0.25">
      <c r="E199" t="str">
        <f>""</f>
        <v/>
      </c>
      <c r="F199" t="str">
        <f>""</f>
        <v/>
      </c>
      <c r="H199" t="str">
        <f>"INV 213624 / SHIPPIN"</f>
        <v>INV 213624 / SHIPPIN</v>
      </c>
    </row>
    <row r="200" spans="1:8" x14ac:dyDescent="0.25">
      <c r="A200" t="s">
        <v>32</v>
      </c>
      <c r="B200">
        <v>132333</v>
      </c>
      <c r="C200" s="2">
        <v>46.73</v>
      </c>
      <c r="D200" s="1">
        <v>44025</v>
      </c>
      <c r="E200" t="str">
        <f>"114*83*1"</f>
        <v>114*83*1</v>
      </c>
      <c r="F200" t="str">
        <f>"JAIL MEDICAL"</f>
        <v>JAIL MEDICAL</v>
      </c>
      <c r="G200" s="2">
        <v>46.73</v>
      </c>
      <c r="H200" t="str">
        <f>"JAIL MEDICAL"</f>
        <v>JAIL MEDICAL</v>
      </c>
    </row>
    <row r="201" spans="1:8" x14ac:dyDescent="0.25">
      <c r="A201" t="s">
        <v>33</v>
      </c>
      <c r="B201">
        <v>132489</v>
      </c>
      <c r="C201" s="2">
        <v>170.27</v>
      </c>
      <c r="D201" s="1">
        <v>44039</v>
      </c>
      <c r="E201" t="str">
        <f>"202007217980"</f>
        <v>202007217980</v>
      </c>
      <c r="F201" t="str">
        <f>"INDIGENT HEALTH"</f>
        <v>INDIGENT HEALTH</v>
      </c>
      <c r="G201" s="2">
        <v>170.27</v>
      </c>
      <c r="H201" t="str">
        <f>"INDIGENT HEALTH"</f>
        <v>INDIGENT HEALTH</v>
      </c>
    </row>
    <row r="202" spans="1:8" x14ac:dyDescent="0.25">
      <c r="A202" t="s">
        <v>34</v>
      </c>
      <c r="B202">
        <v>132334</v>
      </c>
      <c r="C202" s="2">
        <v>3684</v>
      </c>
      <c r="D202" s="1">
        <v>44025</v>
      </c>
      <c r="E202" t="str">
        <f>"SI-1665229"</f>
        <v>SI-1665229</v>
      </c>
      <c r="F202" t="str">
        <f>"INV SI-1665229"</f>
        <v>INV SI-1665229</v>
      </c>
      <c r="G202" s="2">
        <v>607</v>
      </c>
      <c r="H202" t="str">
        <f>"INV SI-1665229"</f>
        <v>INV SI-1665229</v>
      </c>
    </row>
    <row r="203" spans="1:8" x14ac:dyDescent="0.25">
      <c r="E203" t="str">
        <f>"SI-1665962"</f>
        <v>SI-1665962</v>
      </c>
      <c r="F203" t="str">
        <f>"INV SI-1665962"</f>
        <v>INV SI-1665962</v>
      </c>
      <c r="G203" s="2">
        <v>3077</v>
      </c>
      <c r="H203" t="str">
        <f>"INV SI-1665962"</f>
        <v>INV SI-1665962</v>
      </c>
    </row>
    <row r="204" spans="1:8" x14ac:dyDescent="0.25">
      <c r="A204" t="s">
        <v>35</v>
      </c>
      <c r="B204">
        <v>132335</v>
      </c>
      <c r="C204" s="2">
        <v>860</v>
      </c>
      <c r="D204" s="1">
        <v>44025</v>
      </c>
      <c r="E204" t="str">
        <f>"001386"</f>
        <v>001386</v>
      </c>
      <c r="F204" t="str">
        <f>"2012 FRHT/PCT#4"</f>
        <v>2012 FRHT/PCT#4</v>
      </c>
      <c r="G204" s="2">
        <v>860</v>
      </c>
      <c r="H204" t="str">
        <f>"2012 FRHT/PCT#4"</f>
        <v>2012 FRHT/PCT#4</v>
      </c>
    </row>
    <row r="205" spans="1:8" x14ac:dyDescent="0.25">
      <c r="A205" t="s">
        <v>36</v>
      </c>
      <c r="B205">
        <v>2826</v>
      </c>
      <c r="C205" s="2">
        <v>2163.9299999999998</v>
      </c>
      <c r="D205" s="1">
        <v>44026</v>
      </c>
      <c r="E205" t="str">
        <f>"202007017514"</f>
        <v>202007017514</v>
      </c>
      <c r="F205" t="str">
        <f>"CUST ID:0009/PCT#1"</f>
        <v>CUST ID:0009/PCT#1</v>
      </c>
      <c r="G205" s="2">
        <v>934.97</v>
      </c>
      <c r="H205" t="str">
        <f>"CUST ID:0009/PCT#1"</f>
        <v>CUST ID:0009/PCT#1</v>
      </c>
    </row>
    <row r="206" spans="1:8" x14ac:dyDescent="0.25">
      <c r="E206" t="str">
        <f>"202007067652"</f>
        <v>202007067652</v>
      </c>
      <c r="F206" t="str">
        <f>"CUST#0010/PCT#2"</f>
        <v>CUST#0010/PCT#2</v>
      </c>
      <c r="G206" s="2">
        <v>227</v>
      </c>
      <c r="H206" t="str">
        <f>"CUST#0010/PCT#2"</f>
        <v>CUST#0010/PCT#2</v>
      </c>
    </row>
    <row r="207" spans="1:8" x14ac:dyDescent="0.25">
      <c r="E207" t="str">
        <f>"202007087782"</f>
        <v>202007087782</v>
      </c>
      <c r="F207" t="str">
        <f>"CUST ID:0011/PCT#3"</f>
        <v>CUST ID:0011/PCT#3</v>
      </c>
      <c r="G207" s="2">
        <v>1001.96</v>
      </c>
      <c r="H207" t="str">
        <f>"CUST ID:0011/PCT#3"</f>
        <v>CUST ID:0011/PCT#3</v>
      </c>
    </row>
    <row r="208" spans="1:8" x14ac:dyDescent="0.25">
      <c r="A208" t="s">
        <v>37</v>
      </c>
      <c r="B208">
        <v>132337</v>
      </c>
      <c r="C208" s="2">
        <v>1320</v>
      </c>
      <c r="D208" s="1">
        <v>44025</v>
      </c>
      <c r="E208" t="str">
        <f>"12555"</f>
        <v>12555</v>
      </c>
      <c r="F208" t="str">
        <f t="shared" ref="F208:F216" si="5">"SERVICE"</f>
        <v>SERVICE</v>
      </c>
      <c r="G208" s="2">
        <v>150</v>
      </c>
      <c r="H208" t="str">
        <f t="shared" ref="H208:H216" si="6">"SERVICE"</f>
        <v>SERVICE</v>
      </c>
    </row>
    <row r="209" spans="1:8" x14ac:dyDescent="0.25">
      <c r="E209" t="str">
        <f>"12911"</f>
        <v>12911</v>
      </c>
      <c r="F209" t="str">
        <f t="shared" si="5"/>
        <v>SERVICE</v>
      </c>
      <c r="G209" s="2">
        <v>250</v>
      </c>
      <c r="H209" t="str">
        <f t="shared" si="6"/>
        <v>SERVICE</v>
      </c>
    </row>
    <row r="210" spans="1:8" x14ac:dyDescent="0.25">
      <c r="E210" t="str">
        <f>"13168"</f>
        <v>13168</v>
      </c>
      <c r="F210" t="str">
        <f t="shared" si="5"/>
        <v>SERVICE</v>
      </c>
      <c r="G210" s="2">
        <v>250</v>
      </c>
      <c r="H210" t="str">
        <f t="shared" si="6"/>
        <v>SERVICE</v>
      </c>
    </row>
    <row r="211" spans="1:8" x14ac:dyDescent="0.25">
      <c r="E211" t="str">
        <f>"13311"</f>
        <v>13311</v>
      </c>
      <c r="F211" t="str">
        <f t="shared" si="5"/>
        <v>SERVICE</v>
      </c>
      <c r="G211" s="2">
        <v>70</v>
      </c>
      <c r="H211" t="str">
        <f t="shared" si="6"/>
        <v>SERVICE</v>
      </c>
    </row>
    <row r="212" spans="1:8" x14ac:dyDescent="0.25">
      <c r="E212" t="str">
        <f>"13358"</f>
        <v>13358</v>
      </c>
      <c r="F212" t="str">
        <f t="shared" si="5"/>
        <v>SERVICE</v>
      </c>
      <c r="G212" s="2">
        <v>150</v>
      </c>
      <c r="H212" t="str">
        <f t="shared" si="6"/>
        <v>SERVICE</v>
      </c>
    </row>
    <row r="213" spans="1:8" x14ac:dyDescent="0.25">
      <c r="E213" t="str">
        <f>"13397"</f>
        <v>13397</v>
      </c>
      <c r="F213" t="str">
        <f t="shared" si="5"/>
        <v>SERVICE</v>
      </c>
      <c r="G213" s="2">
        <v>75</v>
      </c>
      <c r="H213" t="str">
        <f t="shared" si="6"/>
        <v>SERVICE</v>
      </c>
    </row>
    <row r="214" spans="1:8" x14ac:dyDescent="0.25">
      <c r="E214" t="str">
        <f>"13410"</f>
        <v>13410</v>
      </c>
      <c r="F214" t="str">
        <f t="shared" si="5"/>
        <v>SERVICE</v>
      </c>
      <c r="G214" s="2">
        <v>75</v>
      </c>
      <c r="H214" t="str">
        <f t="shared" si="6"/>
        <v>SERVICE</v>
      </c>
    </row>
    <row r="215" spans="1:8" x14ac:dyDescent="0.25">
      <c r="E215" t="str">
        <f>"13425"</f>
        <v>13425</v>
      </c>
      <c r="F215" t="str">
        <f t="shared" si="5"/>
        <v>SERVICE</v>
      </c>
      <c r="G215" s="2">
        <v>150</v>
      </c>
      <c r="H215" t="str">
        <f t="shared" si="6"/>
        <v>SERVICE</v>
      </c>
    </row>
    <row r="216" spans="1:8" x14ac:dyDescent="0.25">
      <c r="E216" t="str">
        <f>"13458"</f>
        <v>13458</v>
      </c>
      <c r="F216" t="str">
        <f t="shared" si="5"/>
        <v>SERVICE</v>
      </c>
      <c r="G216" s="2">
        <v>150</v>
      </c>
      <c r="H216" t="str">
        <f t="shared" si="6"/>
        <v>SERVICE</v>
      </c>
    </row>
    <row r="217" spans="1:8" x14ac:dyDescent="0.25">
      <c r="A217" t="s">
        <v>38</v>
      </c>
      <c r="B217">
        <v>132338</v>
      </c>
      <c r="C217" s="2">
        <v>317.8</v>
      </c>
      <c r="D217" s="1">
        <v>44025</v>
      </c>
      <c r="E217" t="str">
        <f>"202007077667"</f>
        <v>202007077667</v>
      </c>
      <c r="F217" t="str">
        <f>"ACCT#BC01"</f>
        <v>ACCT#BC01</v>
      </c>
      <c r="G217" s="2">
        <v>317.8</v>
      </c>
      <c r="H217" t="str">
        <f>"ACCT#BC01"</f>
        <v>ACCT#BC01</v>
      </c>
    </row>
    <row r="218" spans="1:8" x14ac:dyDescent="0.25">
      <c r="E218" t="str">
        <f>""</f>
        <v/>
      </c>
      <c r="F218" t="str">
        <f>""</f>
        <v/>
      </c>
      <c r="H218" t="str">
        <f>"ACCT#BC01"</f>
        <v>ACCT#BC01</v>
      </c>
    </row>
    <row r="219" spans="1:8" x14ac:dyDescent="0.25">
      <c r="E219" t="str">
        <f>""</f>
        <v/>
      </c>
      <c r="F219" t="str">
        <f>""</f>
        <v/>
      </c>
      <c r="H219" t="str">
        <f>"ACCT#BC01"</f>
        <v>ACCT#BC01</v>
      </c>
    </row>
    <row r="220" spans="1:8" x14ac:dyDescent="0.25">
      <c r="E220" t="str">
        <f>""</f>
        <v/>
      </c>
      <c r="F220" t="str">
        <f>""</f>
        <v/>
      </c>
      <c r="H220" t="str">
        <f>"ACCT#BC01"</f>
        <v>ACCT#BC01</v>
      </c>
    </row>
    <row r="221" spans="1:8" x14ac:dyDescent="0.25">
      <c r="E221" t="str">
        <f>""</f>
        <v/>
      </c>
      <c r="F221" t="str">
        <f>""</f>
        <v/>
      </c>
      <c r="H221" t="str">
        <f>"ACCT#BC01"</f>
        <v>ACCT#BC01</v>
      </c>
    </row>
    <row r="222" spans="1:8" x14ac:dyDescent="0.25">
      <c r="A222" t="s">
        <v>39</v>
      </c>
      <c r="B222">
        <v>2817</v>
      </c>
      <c r="C222" s="2">
        <v>8558.4500000000007</v>
      </c>
      <c r="D222" s="1">
        <v>44026</v>
      </c>
      <c r="E222" t="str">
        <f>"202006237374"</f>
        <v>202006237374</v>
      </c>
      <c r="F222" t="str">
        <f>"GRANT REIMBURSEMENT"</f>
        <v>GRANT REIMBURSEMENT</v>
      </c>
      <c r="G222" s="2">
        <v>8558.4500000000007</v>
      </c>
      <c r="H222" t="str">
        <f>"GRANT REIMBURSEMENT"</f>
        <v>GRANT REIMBURSEMENT</v>
      </c>
    </row>
    <row r="223" spans="1:8" x14ac:dyDescent="0.25">
      <c r="A223" t="s">
        <v>39</v>
      </c>
      <c r="B223">
        <v>2891</v>
      </c>
      <c r="C223" s="2">
        <v>8558.4500000000007</v>
      </c>
      <c r="D223" s="1">
        <v>44040</v>
      </c>
      <c r="E223" t="str">
        <f>"202007228008"</f>
        <v>202007228008</v>
      </c>
      <c r="F223" t="str">
        <f>"GRANT REIMBURSEMENT"</f>
        <v>GRANT REIMBURSEMENT</v>
      </c>
      <c r="G223" s="2">
        <v>8558.4500000000007</v>
      </c>
      <c r="H223" t="str">
        <f>"GRANT REIMBURSEMENT"</f>
        <v>GRANT REIMBURSEMENT</v>
      </c>
    </row>
    <row r="224" spans="1:8" x14ac:dyDescent="0.25">
      <c r="A224" t="s">
        <v>40</v>
      </c>
      <c r="B224">
        <v>2913</v>
      </c>
      <c r="C224" s="2">
        <v>66.540000000000006</v>
      </c>
      <c r="D224" s="1">
        <v>44040</v>
      </c>
      <c r="E224" t="str">
        <f>"202007217981"</f>
        <v>202007217981</v>
      </c>
      <c r="F224" t="str">
        <f>"INDIGENT HEALTH"</f>
        <v>INDIGENT HEALTH</v>
      </c>
      <c r="G224" s="2">
        <v>66.540000000000006</v>
      </c>
      <c r="H224" t="str">
        <f>"INDIGENT HEALTH"</f>
        <v>INDIGENT HEALTH</v>
      </c>
    </row>
    <row r="225" spans="1:8" x14ac:dyDescent="0.25">
      <c r="A225" t="s">
        <v>41</v>
      </c>
      <c r="B225">
        <v>132490</v>
      </c>
      <c r="C225" s="2">
        <v>14.21</v>
      </c>
      <c r="D225" s="1">
        <v>44039</v>
      </c>
      <c r="E225" t="str">
        <f>"202007217960"</f>
        <v>202007217960</v>
      </c>
      <c r="F225" t="str">
        <f>"ARREST FEES 04/01/20-06/30/20"</f>
        <v>ARREST FEES 04/01/20-06/30/20</v>
      </c>
      <c r="G225" s="2">
        <v>14.21</v>
      </c>
      <c r="H225" t="str">
        <f>"ARREST FEES 04/01/20-06/30/20"</f>
        <v>ARREST FEES 04/01/20-06/30/20</v>
      </c>
    </row>
    <row r="226" spans="1:8" x14ac:dyDescent="0.25">
      <c r="A226" t="s">
        <v>42</v>
      </c>
      <c r="B226">
        <v>2788</v>
      </c>
      <c r="C226" s="2">
        <v>2770</v>
      </c>
      <c r="D226" s="1">
        <v>44026</v>
      </c>
      <c r="E226" t="str">
        <f>"20200071"</f>
        <v>20200071</v>
      </c>
      <c r="F226" t="str">
        <f>"TRANSPORT - M. ROHE"</f>
        <v>TRANSPORT - M. ROHE</v>
      </c>
      <c r="G226" s="2">
        <v>295</v>
      </c>
      <c r="H226" t="str">
        <f>"TRANSPORT - M. ROHE"</f>
        <v>TRANSPORT - M. ROHE</v>
      </c>
    </row>
    <row r="227" spans="1:8" x14ac:dyDescent="0.25">
      <c r="E227" t="str">
        <f>"2020093"</f>
        <v>2020093</v>
      </c>
      <c r="F227" t="str">
        <f>"TRANSPORT - D. ZUNIGA"</f>
        <v>TRANSPORT - D. ZUNIGA</v>
      </c>
      <c r="G227" s="2">
        <v>495</v>
      </c>
      <c r="H227" t="str">
        <f>"TRANSPORT - D. ZUNIGA"</f>
        <v>TRANSPORT - D. ZUNIGA</v>
      </c>
    </row>
    <row r="228" spans="1:8" x14ac:dyDescent="0.25">
      <c r="E228" t="str">
        <f>"2020096"</f>
        <v>2020096</v>
      </c>
      <c r="F228" t="str">
        <f>"TRANSPORT - C. ESPINOSA"</f>
        <v>TRANSPORT - C. ESPINOSA</v>
      </c>
      <c r="G228" s="2">
        <v>495</v>
      </c>
      <c r="H228" t="str">
        <f>"TRANSPORT - C. ESPINOSA"</f>
        <v>TRANSPORT - C. ESPINOSA</v>
      </c>
    </row>
    <row r="229" spans="1:8" x14ac:dyDescent="0.25">
      <c r="E229" t="str">
        <f>"2020099"</f>
        <v>2020099</v>
      </c>
      <c r="F229" t="str">
        <f>"TRANSPORT - J.D. LUNA"</f>
        <v>TRANSPORT - J.D. LUNA</v>
      </c>
      <c r="G229" s="2">
        <v>495</v>
      </c>
      <c r="H229" t="str">
        <f>"TRANSPORT - J.D. LUNA"</f>
        <v>TRANSPORT - J.D. LUNA</v>
      </c>
    </row>
    <row r="230" spans="1:8" x14ac:dyDescent="0.25">
      <c r="E230" t="str">
        <f>"2020102"</f>
        <v>2020102</v>
      </c>
      <c r="F230" t="str">
        <f>"TRANSPORT - C. SWIFT"</f>
        <v>TRANSPORT - C. SWIFT</v>
      </c>
      <c r="G230" s="2">
        <v>495</v>
      </c>
      <c r="H230" t="str">
        <f>"TRANSPORT - C. SWIFT"</f>
        <v>TRANSPORT - C. SWIFT</v>
      </c>
    </row>
    <row r="231" spans="1:8" x14ac:dyDescent="0.25">
      <c r="E231" t="str">
        <f>"2020103"</f>
        <v>2020103</v>
      </c>
      <c r="F231" t="str">
        <f>"TRANSPORT - R. DICKEY"</f>
        <v>TRANSPORT - R. DICKEY</v>
      </c>
      <c r="G231" s="2">
        <v>495</v>
      </c>
      <c r="H231" t="str">
        <f>"TRANSPORT - R. DICKEY"</f>
        <v>TRANSPORT - R. DICKEY</v>
      </c>
    </row>
    <row r="232" spans="1:8" x14ac:dyDescent="0.25">
      <c r="A232" t="s">
        <v>43</v>
      </c>
      <c r="B232">
        <v>132491</v>
      </c>
      <c r="C232" s="2">
        <v>139.80000000000001</v>
      </c>
      <c r="D232" s="1">
        <v>44039</v>
      </c>
      <c r="E232" t="str">
        <f>"8037"</f>
        <v>8037</v>
      </c>
      <c r="F232" t="str">
        <f>"CORRUGATED SIGNS/ELECTIONS"</f>
        <v>CORRUGATED SIGNS/ELECTIONS</v>
      </c>
      <c r="G232" s="2">
        <v>139.80000000000001</v>
      </c>
      <c r="H232" t="str">
        <f>"CORRUGATED SIGNS/ELECTIONS"</f>
        <v>CORRUGATED SIGNS/ELECTIONS</v>
      </c>
    </row>
    <row r="233" spans="1:8" x14ac:dyDescent="0.25">
      <c r="A233" t="s">
        <v>44</v>
      </c>
      <c r="B233">
        <v>2821</v>
      </c>
      <c r="C233" s="2">
        <v>56.43</v>
      </c>
      <c r="D233" s="1">
        <v>44026</v>
      </c>
      <c r="E233" t="str">
        <f>"6008682202"</f>
        <v>6008682202</v>
      </c>
      <c r="F233" t="str">
        <f>"ACCT#3422853/ANIMAL CONTROL"</f>
        <v>ACCT#3422853/ANIMAL CONTROL</v>
      </c>
      <c r="G233" s="2">
        <v>56.43</v>
      </c>
      <c r="H233" t="str">
        <f>"ACCT#3422853/ANIMAL CONTROL"</f>
        <v>ACCT#3422853/ANIMAL CONTROL</v>
      </c>
    </row>
    <row r="234" spans="1:8" x14ac:dyDescent="0.25">
      <c r="A234" t="s">
        <v>45</v>
      </c>
      <c r="B234">
        <v>2785</v>
      </c>
      <c r="C234" s="2">
        <v>840</v>
      </c>
      <c r="D234" s="1">
        <v>44026</v>
      </c>
      <c r="E234" t="str">
        <f>"202007017513"</f>
        <v>202007017513</v>
      </c>
      <c r="F234" t="str">
        <f>"BACKGROUND INV SVCS-JUNE 2020"</f>
        <v>BACKGROUND INV SVCS-JUNE 2020</v>
      </c>
      <c r="G234" s="2">
        <v>157.5</v>
      </c>
      <c r="H234" t="str">
        <f>"BACKGROUND INV SVCS-JUNE 2020"</f>
        <v>BACKGROUND INV SVCS-JUNE 2020</v>
      </c>
    </row>
    <row r="235" spans="1:8" x14ac:dyDescent="0.25">
      <c r="E235" t="str">
        <f>"202007077678"</f>
        <v>202007077678</v>
      </c>
      <c r="F235" t="str">
        <f>"JUNE SERVICES"</f>
        <v>JUNE SERVICES</v>
      </c>
      <c r="G235" s="2">
        <v>682.5</v>
      </c>
      <c r="H235" t="str">
        <f>"JUNE SERVICES-JAIL"</f>
        <v>JUNE SERVICES-JAIL</v>
      </c>
    </row>
    <row r="236" spans="1:8" x14ac:dyDescent="0.25">
      <c r="A236" t="s">
        <v>46</v>
      </c>
      <c r="B236">
        <v>132339</v>
      </c>
      <c r="C236" s="2">
        <v>13.5</v>
      </c>
      <c r="D236" s="1">
        <v>44025</v>
      </c>
      <c r="E236" t="str">
        <f>"FM60266"</f>
        <v>FM60266</v>
      </c>
      <c r="F236" t="str">
        <f>"INV FM60266"</f>
        <v>INV FM60266</v>
      </c>
      <c r="G236" s="2">
        <v>13.5</v>
      </c>
      <c r="H236" t="str">
        <f>"INV FM60266"</f>
        <v>INV FM60266</v>
      </c>
    </row>
    <row r="237" spans="1:8" x14ac:dyDescent="0.25">
      <c r="A237" t="s">
        <v>47</v>
      </c>
      <c r="B237">
        <v>132340</v>
      </c>
      <c r="C237" s="2">
        <v>80</v>
      </c>
      <c r="D237" s="1">
        <v>44025</v>
      </c>
      <c r="E237" t="str">
        <f>"13458"</f>
        <v>13458</v>
      </c>
      <c r="F237" t="str">
        <f>"SERVICE"</f>
        <v>SERVICE</v>
      </c>
      <c r="G237" s="2">
        <v>80</v>
      </c>
      <c r="H237" t="str">
        <f>"SERVICE"</f>
        <v>SERVICE</v>
      </c>
    </row>
    <row r="238" spans="1:8" x14ac:dyDescent="0.25">
      <c r="A238" t="s">
        <v>48</v>
      </c>
      <c r="B238">
        <v>132341</v>
      </c>
      <c r="C238" s="2">
        <v>1879.9</v>
      </c>
      <c r="D238" s="1">
        <v>44025</v>
      </c>
      <c r="E238" t="str">
        <f>"75556387 75564764"</f>
        <v>75556387 75564764</v>
      </c>
      <c r="F238" t="str">
        <f>"INV 75556387"</f>
        <v>INV 75556387</v>
      </c>
      <c r="G238" s="2">
        <v>1879.9</v>
      </c>
      <c r="H238" t="str">
        <f>"INV 75556387"</f>
        <v>INV 75556387</v>
      </c>
    </row>
    <row r="239" spans="1:8" x14ac:dyDescent="0.25">
      <c r="E239" t="str">
        <f>""</f>
        <v/>
      </c>
      <c r="F239" t="str">
        <f>""</f>
        <v/>
      </c>
      <c r="H239" t="str">
        <f>"INV 75564764"</f>
        <v>INV 75564764</v>
      </c>
    </row>
    <row r="240" spans="1:8" x14ac:dyDescent="0.25">
      <c r="E240" t="str">
        <f>""</f>
        <v/>
      </c>
      <c r="F240" t="str">
        <f>""</f>
        <v/>
      </c>
      <c r="H240" t="str">
        <f>"INV 75572452"</f>
        <v>INV 75572452</v>
      </c>
    </row>
    <row r="241" spans="1:8" x14ac:dyDescent="0.25">
      <c r="A241" t="s">
        <v>48</v>
      </c>
      <c r="B241">
        <v>132492</v>
      </c>
      <c r="C241" s="2">
        <v>1643.98</v>
      </c>
      <c r="D241" s="1">
        <v>44039</v>
      </c>
      <c r="E241" t="str">
        <f>"75579410 75586806"</f>
        <v>75579410 75586806</v>
      </c>
      <c r="F241" t="str">
        <f>"INV 75579410"</f>
        <v>INV 75579410</v>
      </c>
      <c r="G241" s="2">
        <v>1643.98</v>
      </c>
      <c r="H241" t="str">
        <f>"INV 75579410"</f>
        <v>INV 75579410</v>
      </c>
    </row>
    <row r="242" spans="1:8" x14ac:dyDescent="0.25">
      <c r="E242" t="str">
        <f>""</f>
        <v/>
      </c>
      <c r="F242" t="str">
        <f>""</f>
        <v/>
      </c>
      <c r="H242" t="str">
        <f>"INV 75586806"</f>
        <v>INV 75586806</v>
      </c>
    </row>
    <row r="243" spans="1:8" x14ac:dyDescent="0.25">
      <c r="A243" t="s">
        <v>49</v>
      </c>
      <c r="B243">
        <v>2840</v>
      </c>
      <c r="C243" s="2">
        <v>3579.24</v>
      </c>
      <c r="D243" s="1">
        <v>44026</v>
      </c>
      <c r="E243" t="str">
        <f>"24778"</f>
        <v>24778</v>
      </c>
      <c r="F243" t="str">
        <f>"INV 24778"</f>
        <v>INV 24778</v>
      </c>
      <c r="G243" s="2">
        <v>3579.24</v>
      </c>
      <c r="H243" t="str">
        <f>"INV 24778"</f>
        <v>INV 24778</v>
      </c>
    </row>
    <row r="244" spans="1:8" x14ac:dyDescent="0.25">
      <c r="A244" t="s">
        <v>49</v>
      </c>
      <c r="B244">
        <v>2909</v>
      </c>
      <c r="C244" s="2">
        <v>2212.4899999999998</v>
      </c>
      <c r="D244" s="1">
        <v>44040</v>
      </c>
      <c r="E244" t="str">
        <f>"24796"</f>
        <v>24796</v>
      </c>
      <c r="F244" t="str">
        <f>"INV 24796"</f>
        <v>INV 24796</v>
      </c>
      <c r="G244" s="2">
        <v>2212.4899999999998</v>
      </c>
      <c r="H244" t="str">
        <f>"INV 24796"</f>
        <v>INV 24796</v>
      </c>
    </row>
    <row r="245" spans="1:8" x14ac:dyDescent="0.25">
      <c r="A245" t="s">
        <v>50</v>
      </c>
      <c r="B245">
        <v>132342</v>
      </c>
      <c r="C245" s="2">
        <v>130</v>
      </c>
      <c r="D245" s="1">
        <v>44025</v>
      </c>
      <c r="E245" t="str">
        <f>"202007087825"</f>
        <v>202007087825</v>
      </c>
      <c r="F245" t="str">
        <f>"ADOPTION FEE REFUND"</f>
        <v>ADOPTION FEE REFUND</v>
      </c>
      <c r="G245" s="2">
        <v>130</v>
      </c>
      <c r="H245" t="str">
        <f>"ADOPTION FEE REFUND"</f>
        <v>ADOPTION FEE REFUND</v>
      </c>
    </row>
    <row r="246" spans="1:8" x14ac:dyDescent="0.25">
      <c r="A246" t="s">
        <v>51</v>
      </c>
      <c r="B246">
        <v>132343</v>
      </c>
      <c r="C246" s="2">
        <v>815.66</v>
      </c>
      <c r="D246" s="1">
        <v>44025</v>
      </c>
      <c r="E246" t="str">
        <f>"84078905512 840789"</f>
        <v>84078905512 840789</v>
      </c>
      <c r="F246" t="str">
        <f>"INV 84078905512"</f>
        <v>INV 84078905512</v>
      </c>
      <c r="G246" s="2">
        <v>815.66</v>
      </c>
      <c r="H246" t="str">
        <f>"INV 84078905512"</f>
        <v>INV 84078905512</v>
      </c>
    </row>
    <row r="247" spans="1:8" x14ac:dyDescent="0.25">
      <c r="E247" t="str">
        <f>""</f>
        <v/>
      </c>
      <c r="F247" t="str">
        <f>""</f>
        <v/>
      </c>
      <c r="H247" t="str">
        <f>"INV 84078905584"</f>
        <v>INV 84078905584</v>
      </c>
    </row>
    <row r="248" spans="1:8" x14ac:dyDescent="0.25">
      <c r="E248" t="str">
        <f>""</f>
        <v/>
      </c>
      <c r="F248" t="str">
        <f>""</f>
        <v/>
      </c>
      <c r="H248" t="str">
        <f>"INV 84078905680"</f>
        <v>INV 84078905680</v>
      </c>
    </row>
    <row r="249" spans="1:8" x14ac:dyDescent="0.25">
      <c r="A249" t="s">
        <v>51</v>
      </c>
      <c r="B249">
        <v>132493</v>
      </c>
      <c r="C249" s="2">
        <v>489.48</v>
      </c>
      <c r="D249" s="1">
        <v>44039</v>
      </c>
      <c r="E249" t="str">
        <f>"84078905735/05815"</f>
        <v>84078905735/05815</v>
      </c>
      <c r="F249" t="str">
        <f>"INV 84078905735"</f>
        <v>INV 84078905735</v>
      </c>
      <c r="G249" s="2">
        <v>489.48</v>
      </c>
      <c r="H249" t="str">
        <f>"INV 84078905735"</f>
        <v>INV 84078905735</v>
      </c>
    </row>
    <row r="250" spans="1:8" x14ac:dyDescent="0.25">
      <c r="E250" t="str">
        <f>""</f>
        <v/>
      </c>
      <c r="F250" t="str">
        <f>""</f>
        <v/>
      </c>
      <c r="H250" t="str">
        <f>"INV 84078905815"</f>
        <v>INV 84078905815</v>
      </c>
    </row>
    <row r="251" spans="1:8" x14ac:dyDescent="0.25">
      <c r="A251" t="s">
        <v>52</v>
      </c>
      <c r="B251">
        <v>2801</v>
      </c>
      <c r="C251" s="2">
        <v>2000</v>
      </c>
      <c r="D251" s="1">
        <v>44026</v>
      </c>
      <c r="E251" t="str">
        <f>"202006307428"</f>
        <v>202006307428</v>
      </c>
      <c r="F251" t="str">
        <f>"408229-6"</f>
        <v>408229-6</v>
      </c>
      <c r="G251" s="2">
        <v>250</v>
      </c>
      <c r="H251" t="str">
        <f>"408229-6"</f>
        <v>408229-6</v>
      </c>
    </row>
    <row r="252" spans="1:8" x14ac:dyDescent="0.25">
      <c r="E252" t="str">
        <f>"202006307429"</f>
        <v>202006307429</v>
      </c>
      <c r="F252" t="str">
        <f>"303182019B"</f>
        <v>303182019B</v>
      </c>
      <c r="G252" s="2">
        <v>250</v>
      </c>
      <c r="H252" t="str">
        <f>"303182019B"</f>
        <v>303182019B</v>
      </c>
    </row>
    <row r="253" spans="1:8" x14ac:dyDescent="0.25">
      <c r="E253" t="str">
        <f>"202006307430"</f>
        <v>202006307430</v>
      </c>
      <c r="F253" t="str">
        <f>"AC2020-0421  9253571020"</f>
        <v>AC2020-0421  9253571020</v>
      </c>
      <c r="G253" s="2">
        <v>250</v>
      </c>
      <c r="H253" t="str">
        <f>"AC2020-0421  9253571020"</f>
        <v>AC2020-0421  9253571020</v>
      </c>
    </row>
    <row r="254" spans="1:8" x14ac:dyDescent="0.25">
      <c r="E254" t="str">
        <f>"202006307431"</f>
        <v>202006307431</v>
      </c>
      <c r="F254" t="str">
        <f>"4013020-9"</f>
        <v>4013020-9</v>
      </c>
      <c r="G254" s="2">
        <v>250</v>
      </c>
      <c r="H254" t="str">
        <f>"4013020-9"</f>
        <v>4013020-9</v>
      </c>
    </row>
    <row r="255" spans="1:8" x14ac:dyDescent="0.25">
      <c r="E255" t="str">
        <f>"202006307432"</f>
        <v>202006307432</v>
      </c>
      <c r="F255" t="str">
        <f>"4012920-13"</f>
        <v>4012920-13</v>
      </c>
      <c r="G255" s="2">
        <v>250</v>
      </c>
      <c r="H255" t="str">
        <f>"4012920-13"</f>
        <v>4012920-13</v>
      </c>
    </row>
    <row r="256" spans="1:8" x14ac:dyDescent="0.25">
      <c r="E256" t="str">
        <f>"202006307433"</f>
        <v>202006307433</v>
      </c>
      <c r="F256" t="str">
        <f>"57 343"</f>
        <v>57 343</v>
      </c>
      <c r="G256" s="2">
        <v>250</v>
      </c>
      <c r="H256" t="str">
        <f>"57 343"</f>
        <v>57 343</v>
      </c>
    </row>
    <row r="257" spans="1:8" x14ac:dyDescent="0.25">
      <c r="E257" t="str">
        <f>"202007037630"</f>
        <v>202007037630</v>
      </c>
      <c r="F257" t="str">
        <f>"02-1222-2  925-355-7621 A001"</f>
        <v>02-1222-2  925-355-7621 A001</v>
      </c>
      <c r="G257" s="2">
        <v>250</v>
      </c>
      <c r="H257" t="str">
        <f>"02-1222-2  925-355-7621 A001"</f>
        <v>02-1222-2  925-355-7621 A001</v>
      </c>
    </row>
    <row r="258" spans="1:8" x14ac:dyDescent="0.25">
      <c r="E258" t="str">
        <f>"202007037631"</f>
        <v>202007037631</v>
      </c>
      <c r="F258" t="str">
        <f>"02-1213-1  925-347-6796 A001"</f>
        <v>02-1213-1  925-347-6796 A001</v>
      </c>
      <c r="G258" s="2">
        <v>250</v>
      </c>
      <c r="H258" t="str">
        <f>"02-1213-1  925-347-6796 A001"</f>
        <v>02-1213-1  925-347-6796 A001</v>
      </c>
    </row>
    <row r="259" spans="1:8" x14ac:dyDescent="0.25">
      <c r="A259" t="s">
        <v>53</v>
      </c>
      <c r="B259">
        <v>132494</v>
      </c>
      <c r="C259" s="2">
        <v>158.18</v>
      </c>
      <c r="D259" s="1">
        <v>44039</v>
      </c>
      <c r="E259" t="str">
        <f>"202007157852"</f>
        <v>202007157852</v>
      </c>
      <c r="F259" t="str">
        <f>"CRIMESTOPPER FEES FOR JUNE2020"</f>
        <v>CRIMESTOPPER FEES FOR JUNE2020</v>
      </c>
      <c r="G259" s="2">
        <v>158.18</v>
      </c>
      <c r="H259" t="str">
        <f>"CRIMESTOPPER FEES FOR JUNE2020"</f>
        <v>CRIMESTOPPER FEES FOR JUNE2020</v>
      </c>
    </row>
    <row r="260" spans="1:8" x14ac:dyDescent="0.25">
      <c r="A260" t="s">
        <v>54</v>
      </c>
      <c r="B260">
        <v>132473</v>
      </c>
      <c r="C260" s="2">
        <v>3944.1</v>
      </c>
      <c r="D260" s="1">
        <v>44028</v>
      </c>
      <c r="E260" t="str">
        <f>"202007167885"</f>
        <v>202007167885</v>
      </c>
      <c r="F260" t="str">
        <f>"ACCT#5000057374 / 07072020"</f>
        <v>ACCT#5000057374 / 07072020</v>
      </c>
      <c r="G260" s="2">
        <v>3944.1</v>
      </c>
      <c r="H260" t="str">
        <f>"ACCT#5000057374 / 07072020"</f>
        <v>ACCT#5000057374 / 07072020</v>
      </c>
    </row>
    <row r="261" spans="1:8" x14ac:dyDescent="0.25">
      <c r="E261" t="str">
        <f>""</f>
        <v/>
      </c>
      <c r="F261" t="str">
        <f>""</f>
        <v/>
      </c>
      <c r="H261" t="str">
        <f>"ACCT#5000057374 / 07072020"</f>
        <v>ACCT#5000057374 / 07072020</v>
      </c>
    </row>
    <row r="262" spans="1:8" x14ac:dyDescent="0.25">
      <c r="E262" t="str">
        <f>""</f>
        <v/>
      </c>
      <c r="F262" t="str">
        <f>""</f>
        <v/>
      </c>
      <c r="H262" t="str">
        <f>"ACCT#5000057374 / 07072020"</f>
        <v>ACCT#5000057374 / 07072020</v>
      </c>
    </row>
    <row r="263" spans="1:8" x14ac:dyDescent="0.25">
      <c r="E263" t="str">
        <f>""</f>
        <v/>
      </c>
      <c r="F263" t="str">
        <f>""</f>
        <v/>
      </c>
      <c r="H263" t="str">
        <f>"ACCT#5000057374 / 07072020"</f>
        <v>ACCT#5000057374 / 07072020</v>
      </c>
    </row>
    <row r="264" spans="1:8" x14ac:dyDescent="0.25">
      <c r="A264" t="s">
        <v>55</v>
      </c>
      <c r="B264">
        <v>2850</v>
      </c>
      <c r="C264" s="2">
        <v>1325</v>
      </c>
      <c r="D264" s="1">
        <v>44026</v>
      </c>
      <c r="E264" t="str">
        <f>"25052020"</f>
        <v>25052020</v>
      </c>
      <c r="F264" t="str">
        <f>"INV 25052020"</f>
        <v>INV 25052020</v>
      </c>
      <c r="G264" s="2">
        <v>1325</v>
      </c>
      <c r="H264" t="str">
        <f>"INV 25052020"</f>
        <v>INV 25052020</v>
      </c>
    </row>
    <row r="265" spans="1:8" x14ac:dyDescent="0.25">
      <c r="A265" t="s">
        <v>56</v>
      </c>
      <c r="B265">
        <v>132344</v>
      </c>
      <c r="C265" s="2">
        <v>34218.160000000003</v>
      </c>
      <c r="D265" s="1">
        <v>44025</v>
      </c>
      <c r="E265" t="str">
        <f>"110857"</f>
        <v>110857</v>
      </c>
      <c r="F265" t="str">
        <f>"ACCT#1267/PCT#2"</f>
        <v>ACCT#1267/PCT#2</v>
      </c>
      <c r="G265" s="2">
        <v>11995</v>
      </c>
      <c r="H265" t="str">
        <f>"ACCT#1267/PCT#2"</f>
        <v>ACCT#1267/PCT#2</v>
      </c>
    </row>
    <row r="266" spans="1:8" x14ac:dyDescent="0.25">
      <c r="E266" t="str">
        <f>"110858"</f>
        <v>110858</v>
      </c>
      <c r="F266" t="str">
        <f>"ACCT#1268/PCT#3"</f>
        <v>ACCT#1268/PCT#3</v>
      </c>
      <c r="G266" s="2">
        <v>2281.64</v>
      </c>
      <c r="H266" t="str">
        <f>"ACCT#1268/PCT#3"</f>
        <v>ACCT#1268/PCT#3</v>
      </c>
    </row>
    <row r="267" spans="1:8" x14ac:dyDescent="0.25">
      <c r="E267" t="str">
        <f>"110859"</f>
        <v>110859</v>
      </c>
      <c r="F267" t="str">
        <f>"ACCT#1269/WASHED ROCK/PCT#4"</f>
        <v>ACCT#1269/WASHED ROCK/PCT#4</v>
      </c>
      <c r="G267" s="2">
        <v>3075.4</v>
      </c>
      <c r="H267" t="str">
        <f>"ACCT#1269/WASHED ROCK/PCT#4"</f>
        <v>ACCT#1269/WASHED ROCK/PCT#4</v>
      </c>
    </row>
    <row r="268" spans="1:8" x14ac:dyDescent="0.25">
      <c r="E268" t="str">
        <f>"111082"</f>
        <v>111082</v>
      </c>
      <c r="F268" t="str">
        <f>"ACCT#1268/COMM BASE/PCT#3"</f>
        <v>ACCT#1268/COMM BASE/PCT#3</v>
      </c>
      <c r="G268" s="2">
        <v>4114.88</v>
      </c>
      <c r="H268" t="str">
        <f>"ACCT#1268/COMM BASE/PCT#3"</f>
        <v>ACCT#1268/COMM BASE/PCT#3</v>
      </c>
    </row>
    <row r="269" spans="1:8" x14ac:dyDescent="0.25">
      <c r="E269" t="str">
        <f>"111083"</f>
        <v>111083</v>
      </c>
      <c r="F269" t="str">
        <f>"ACCT#1269/WASHED ROCK/PCT#4"</f>
        <v>ACCT#1269/WASHED ROCK/PCT#4</v>
      </c>
      <c r="G269" s="2">
        <v>10887</v>
      </c>
      <c r="H269" t="str">
        <f>"ACCT#1269/WASHED ROCK/PCT#4"</f>
        <v>ACCT#1269/WASHED ROCK/PCT#4</v>
      </c>
    </row>
    <row r="270" spans="1:8" x14ac:dyDescent="0.25">
      <c r="E270" t="str">
        <f>"111281"</f>
        <v>111281</v>
      </c>
      <c r="F270" t="str">
        <f>"ACCT#1268/PCT#3"</f>
        <v>ACCT#1268/PCT#3</v>
      </c>
      <c r="G270" s="2">
        <v>1288.24</v>
      </c>
      <c r="H270" t="str">
        <f>"ACCT#1268/PCT#3"</f>
        <v>ACCT#1268/PCT#3</v>
      </c>
    </row>
    <row r="271" spans="1:8" x14ac:dyDescent="0.25">
      <c r="E271" t="str">
        <f>"ORD#46669"</f>
        <v>ORD#46669</v>
      </c>
      <c r="F271" t="str">
        <f>"ACCT#1266/GEN SVCS"</f>
        <v>ACCT#1266/GEN SVCS</v>
      </c>
      <c r="G271" s="2">
        <v>576</v>
      </c>
      <c r="H271" t="str">
        <f>"ACCT#1266/GEN SVCS"</f>
        <v>ACCT#1266/GEN SVCS</v>
      </c>
    </row>
    <row r="272" spans="1:8" x14ac:dyDescent="0.25">
      <c r="A272" t="s">
        <v>56</v>
      </c>
      <c r="B272">
        <v>132495</v>
      </c>
      <c r="C272" s="2">
        <v>3384.68</v>
      </c>
      <c r="D272" s="1">
        <v>44039</v>
      </c>
      <c r="E272" t="str">
        <f>"111442"</f>
        <v>111442</v>
      </c>
      <c r="F272" t="str">
        <f>"ACCT#1268/COMM BASE/PCT#3"</f>
        <v>ACCT#1268/COMM BASE/PCT#3</v>
      </c>
      <c r="G272" s="2">
        <v>1742.16</v>
      </c>
      <c r="H272" t="str">
        <f>"ACCT#1268/COMM BASE/PCT#3"</f>
        <v>ACCT#1268/COMM BASE/PCT#3</v>
      </c>
    </row>
    <row r="273" spans="1:8" x14ac:dyDescent="0.25">
      <c r="E273" t="str">
        <f>"111665"</f>
        <v>111665</v>
      </c>
      <c r="F273" t="str">
        <f>"ACCT# 1268 / PCT #3"</f>
        <v>ACCT# 1268 / PCT #3</v>
      </c>
      <c r="G273" s="2">
        <v>1642.52</v>
      </c>
      <c r="H273" t="str">
        <f>"ACCT# 1268 / PCT #3"</f>
        <v>ACCT# 1268 / PCT #3</v>
      </c>
    </row>
    <row r="274" spans="1:8" x14ac:dyDescent="0.25">
      <c r="A274" t="s">
        <v>57</v>
      </c>
      <c r="B274">
        <v>2856</v>
      </c>
      <c r="C274" s="2">
        <v>250</v>
      </c>
      <c r="D274" s="1">
        <v>44026</v>
      </c>
      <c r="E274" t="str">
        <f>"202006307434"</f>
        <v>202006307434</v>
      </c>
      <c r="F274" t="str">
        <f>"56988"</f>
        <v>56988</v>
      </c>
      <c r="G274" s="2">
        <v>250</v>
      </c>
      <c r="H274" t="str">
        <f>"56988"</f>
        <v>56988</v>
      </c>
    </row>
    <row r="275" spans="1:8" x14ac:dyDescent="0.25">
      <c r="A275" t="s">
        <v>57</v>
      </c>
      <c r="B275">
        <v>2925</v>
      </c>
      <c r="C275" s="2">
        <v>1500</v>
      </c>
      <c r="D275" s="1">
        <v>44040</v>
      </c>
      <c r="E275" t="str">
        <f>"202007177936"</f>
        <v>202007177936</v>
      </c>
      <c r="F275" t="str">
        <f>"56 935"</f>
        <v>56 935</v>
      </c>
      <c r="G275" s="2">
        <v>250</v>
      </c>
      <c r="H275" t="str">
        <f>"56 935"</f>
        <v>56 935</v>
      </c>
    </row>
    <row r="276" spans="1:8" x14ac:dyDescent="0.25">
      <c r="E276" t="str">
        <f>"202007177937"</f>
        <v>202007177937</v>
      </c>
      <c r="F276" t="str">
        <f>"52 463"</f>
        <v>52 463</v>
      </c>
      <c r="G276" s="2">
        <v>250</v>
      </c>
      <c r="H276" t="str">
        <f>"52 463"</f>
        <v>52 463</v>
      </c>
    </row>
    <row r="277" spans="1:8" x14ac:dyDescent="0.25">
      <c r="E277" t="str">
        <f>"202007177938"</f>
        <v>202007177938</v>
      </c>
      <c r="F277" t="str">
        <f>"410097-2"</f>
        <v>410097-2</v>
      </c>
      <c r="G277" s="2">
        <v>250</v>
      </c>
      <c r="H277" t="str">
        <f>"410097-2"</f>
        <v>410097-2</v>
      </c>
    </row>
    <row r="278" spans="1:8" x14ac:dyDescent="0.25">
      <c r="E278" t="str">
        <f>"202007177939"</f>
        <v>202007177939</v>
      </c>
      <c r="F278" t="str">
        <f>"1JP91217C"</f>
        <v>1JP91217C</v>
      </c>
      <c r="G278" s="2">
        <v>250</v>
      </c>
      <c r="H278" t="str">
        <f>"1JP91217C"</f>
        <v>1JP91217C</v>
      </c>
    </row>
    <row r="279" spans="1:8" x14ac:dyDescent="0.25">
      <c r="E279" t="str">
        <f>"202007177940"</f>
        <v>202007177940</v>
      </c>
      <c r="F279" t="str">
        <f>"02-0618-3"</f>
        <v>02-0618-3</v>
      </c>
      <c r="G279" s="2">
        <v>250</v>
      </c>
      <c r="H279" t="str">
        <f>"02-0618-3"</f>
        <v>02-0618-3</v>
      </c>
    </row>
    <row r="280" spans="1:8" x14ac:dyDescent="0.25">
      <c r="E280" t="str">
        <f>"202007177941"</f>
        <v>202007177941</v>
      </c>
      <c r="F280" t="str">
        <f>"02-0227-4"</f>
        <v>02-0227-4</v>
      </c>
      <c r="G280" s="2">
        <v>250</v>
      </c>
      <c r="H280" t="str">
        <f>"02-0227-4"</f>
        <v>02-0227-4</v>
      </c>
    </row>
    <row r="281" spans="1:8" x14ac:dyDescent="0.25">
      <c r="A281" t="s">
        <v>58</v>
      </c>
      <c r="B281">
        <v>132345</v>
      </c>
      <c r="C281" s="2">
        <v>30</v>
      </c>
      <c r="D281" s="1">
        <v>44025</v>
      </c>
      <c r="E281" t="str">
        <f>"17-18345"</f>
        <v>17-18345</v>
      </c>
      <c r="F281" t="str">
        <f>"CENTRAL ADOPTION REGISTRY FUND"</f>
        <v>CENTRAL ADOPTION REGISTRY FUND</v>
      </c>
      <c r="G281" s="2">
        <v>15</v>
      </c>
      <c r="H281" t="str">
        <f>"CENTRAL ADOPTION REGISTRY FUND"</f>
        <v>CENTRAL ADOPTION REGISTRY FUND</v>
      </c>
    </row>
    <row r="282" spans="1:8" x14ac:dyDescent="0.25">
      <c r="E282" t="str">
        <f>"20-20274"</f>
        <v>20-20274</v>
      </c>
      <c r="F282" t="str">
        <f>"CENTRAL ADOPTION REGISTRY"</f>
        <v>CENTRAL ADOPTION REGISTRY</v>
      </c>
      <c r="G282" s="2">
        <v>15</v>
      </c>
      <c r="H282" t="str">
        <f>"CENTRAL ADOPTION REGISTRY"</f>
        <v>CENTRAL ADOPTION REGISTRY</v>
      </c>
    </row>
    <row r="283" spans="1:8" x14ac:dyDescent="0.25">
      <c r="A283" t="s">
        <v>58</v>
      </c>
      <c r="B283">
        <v>132496</v>
      </c>
      <c r="C283" s="2">
        <v>45</v>
      </c>
      <c r="D283" s="1">
        <v>44039</v>
      </c>
      <c r="E283" t="str">
        <f>"20-20299"</f>
        <v>20-20299</v>
      </c>
      <c r="F283" t="str">
        <f>"CENTRAL ADOPTION REGISTRY FUND"</f>
        <v>CENTRAL ADOPTION REGISTRY FUND</v>
      </c>
      <c r="G283" s="2">
        <v>15</v>
      </c>
      <c r="H283" t="str">
        <f>"CENTRAL ADOPTION REGISTRY FUND"</f>
        <v>CENTRAL ADOPTION REGISTRY FUND</v>
      </c>
    </row>
    <row r="284" spans="1:8" x14ac:dyDescent="0.25">
      <c r="E284" t="str">
        <f>"20-20300"</f>
        <v>20-20300</v>
      </c>
      <c r="F284" t="str">
        <f>"CENTRAL ADOPTION REGISTRY FUND"</f>
        <v>CENTRAL ADOPTION REGISTRY FUND</v>
      </c>
      <c r="G284" s="2">
        <v>15</v>
      </c>
      <c r="H284" t="str">
        <f>"CENTRAL ADOPTION REGISTRY FUND"</f>
        <v>CENTRAL ADOPTION REGISTRY FUND</v>
      </c>
    </row>
    <row r="285" spans="1:8" x14ac:dyDescent="0.25">
      <c r="E285" t="str">
        <f>"20-20308"</f>
        <v>20-20308</v>
      </c>
      <c r="F285" t="str">
        <f>"CENTRAL ADOPTION REGISTRY FUND"</f>
        <v>CENTRAL ADOPTION REGISTRY FUND</v>
      </c>
      <c r="G285" s="2">
        <v>15</v>
      </c>
      <c r="H285" t="str">
        <f>"CENTRAL ADOPTION REGISTRY FUND"</f>
        <v>CENTRAL ADOPTION REGISTRY FUND</v>
      </c>
    </row>
    <row r="286" spans="1:8" x14ac:dyDescent="0.25">
      <c r="A286" t="s">
        <v>59</v>
      </c>
      <c r="B286">
        <v>2827</v>
      </c>
      <c r="C286" s="2">
        <v>739.42</v>
      </c>
      <c r="D286" s="1">
        <v>44026</v>
      </c>
      <c r="E286" t="str">
        <f>"01805242"</f>
        <v>01805242</v>
      </c>
      <c r="F286" t="str">
        <f>"ACCT#000690/ORD#01409798/P4"</f>
        <v>ACCT#000690/ORD#01409798/P4</v>
      </c>
      <c r="G286" s="2">
        <v>739.42</v>
      </c>
      <c r="H286" t="str">
        <f>"ACCT#000690/ORD#01409798/P4"</f>
        <v>ACCT#000690/ORD#01409798/P4</v>
      </c>
    </row>
    <row r="287" spans="1:8" x14ac:dyDescent="0.25">
      <c r="A287" t="s">
        <v>59</v>
      </c>
      <c r="B287">
        <v>2897</v>
      </c>
      <c r="C287" s="2">
        <v>239.25</v>
      </c>
      <c r="D287" s="1">
        <v>44040</v>
      </c>
      <c r="E287" t="str">
        <f>"04002104"</f>
        <v>04002104</v>
      </c>
      <c r="F287" t="str">
        <f>"ACCT#000690/ORD#00424556/PCT#2"</f>
        <v>ACCT#000690/ORD#00424556/PCT#2</v>
      </c>
      <c r="G287" s="2">
        <v>239.25</v>
      </c>
      <c r="H287" t="str">
        <f>"ACCT#000690/ORD#00424556/PCT#2"</f>
        <v>ACCT#000690/ORD#00424556/PCT#2</v>
      </c>
    </row>
    <row r="288" spans="1:8" x14ac:dyDescent="0.25">
      <c r="A288" t="s">
        <v>60</v>
      </c>
      <c r="B288">
        <v>589</v>
      </c>
      <c r="C288" s="2">
        <v>4933.6099999999997</v>
      </c>
      <c r="D288" s="1">
        <v>44025</v>
      </c>
      <c r="E288" t="str">
        <f>"202007087796"</f>
        <v>202007087796</v>
      </c>
      <c r="F288" t="str">
        <f>"acct# 0058"</f>
        <v>acct# 0058</v>
      </c>
      <c r="G288" s="2">
        <v>4933.6099999999997</v>
      </c>
      <c r="H288" t="str">
        <f>"APCO"</f>
        <v>APCO</v>
      </c>
    </row>
    <row r="289" spans="5:8" x14ac:dyDescent="0.25">
      <c r="E289" t="str">
        <f>""</f>
        <v/>
      </c>
      <c r="F289" t="str">
        <f>""</f>
        <v/>
      </c>
      <c r="H289" t="str">
        <f>"CISCO WEBEX"</f>
        <v>CISCO WEBEX</v>
      </c>
    </row>
    <row r="290" spans="5:8" x14ac:dyDescent="0.25">
      <c r="E290" t="str">
        <f>""</f>
        <v/>
      </c>
      <c r="F290" t="str">
        <f>""</f>
        <v/>
      </c>
      <c r="H290" t="str">
        <f>"GOOGLE"</f>
        <v>GOOGLE</v>
      </c>
    </row>
    <row r="291" spans="5:8" x14ac:dyDescent="0.25">
      <c r="E291" t="str">
        <f>""</f>
        <v/>
      </c>
      <c r="F291" t="str">
        <f>""</f>
        <v/>
      </c>
      <c r="H291" t="str">
        <f>"dropbox"</f>
        <v>dropbox</v>
      </c>
    </row>
    <row r="292" spans="5:8" x14ac:dyDescent="0.25">
      <c r="E292" t="str">
        <f>""</f>
        <v/>
      </c>
      <c r="F292" t="str">
        <f>""</f>
        <v/>
      </c>
      <c r="H292" t="str">
        <f>"drop box"</f>
        <v>drop box</v>
      </c>
    </row>
    <row r="293" spans="5:8" x14ac:dyDescent="0.25">
      <c r="E293" t="str">
        <f>""</f>
        <v/>
      </c>
      <c r="F293" t="str">
        <f>""</f>
        <v/>
      </c>
      <c r="H293" t="str">
        <f>"dropbox"</f>
        <v>dropbox</v>
      </c>
    </row>
    <row r="294" spans="5:8" x14ac:dyDescent="0.25">
      <c r="E294" t="str">
        <f>""</f>
        <v/>
      </c>
      <c r="F294" t="str">
        <f>""</f>
        <v/>
      </c>
      <c r="H294" t="str">
        <f>"txtag"</f>
        <v>txtag</v>
      </c>
    </row>
    <row r="295" spans="5:8" x14ac:dyDescent="0.25">
      <c r="E295" t="str">
        <f>""</f>
        <v/>
      </c>
      <c r="F295" t="str">
        <f>""</f>
        <v/>
      </c>
      <c r="H295" t="str">
        <f>"txtag"</f>
        <v>txtag</v>
      </c>
    </row>
    <row r="296" spans="5:8" x14ac:dyDescent="0.25">
      <c r="E296" t="str">
        <f>""</f>
        <v/>
      </c>
      <c r="F296" t="str">
        <f>""</f>
        <v/>
      </c>
      <c r="H296" t="str">
        <f>"RMA"</f>
        <v>RMA</v>
      </c>
    </row>
    <row r="297" spans="5:8" x14ac:dyDescent="0.25">
      <c r="E297" t="str">
        <f>""</f>
        <v/>
      </c>
      <c r="F297" t="str">
        <f>""</f>
        <v/>
      </c>
      <c r="H297" t="str">
        <f>"txtag"</f>
        <v>txtag</v>
      </c>
    </row>
    <row r="298" spans="5:8" x14ac:dyDescent="0.25">
      <c r="E298" t="str">
        <f>""</f>
        <v/>
      </c>
      <c r="F298" t="str">
        <f>""</f>
        <v/>
      </c>
      <c r="H298" t="str">
        <f>"txtag"</f>
        <v>txtag</v>
      </c>
    </row>
    <row r="299" spans="5:8" x14ac:dyDescent="0.25">
      <c r="E299" t="str">
        <f>""</f>
        <v/>
      </c>
      <c r="F299" t="str">
        <f>""</f>
        <v/>
      </c>
      <c r="H299" t="str">
        <f>"rma"</f>
        <v>rma</v>
      </c>
    </row>
    <row r="300" spans="5:8" x14ac:dyDescent="0.25">
      <c r="E300" t="str">
        <f>""</f>
        <v/>
      </c>
      <c r="F300" t="str">
        <f>""</f>
        <v/>
      </c>
      <c r="H300" t="str">
        <f>"teex"</f>
        <v>teex</v>
      </c>
    </row>
    <row r="301" spans="5:8" x14ac:dyDescent="0.25">
      <c r="E301" t="str">
        <f>""</f>
        <v/>
      </c>
      <c r="F301" t="str">
        <f>""</f>
        <v/>
      </c>
      <c r="H301" t="str">
        <f>"tceq"</f>
        <v>tceq</v>
      </c>
    </row>
    <row r="302" spans="5:8" x14ac:dyDescent="0.25">
      <c r="E302" t="str">
        <f>""</f>
        <v/>
      </c>
      <c r="F302" t="str">
        <f>""</f>
        <v/>
      </c>
      <c r="H302" t="str">
        <f>"whataburger"</f>
        <v>whataburger</v>
      </c>
    </row>
    <row r="303" spans="5:8" x14ac:dyDescent="0.25">
      <c r="E303" t="str">
        <f>""</f>
        <v/>
      </c>
      <c r="F303" t="str">
        <f>""</f>
        <v/>
      </c>
      <c r="H303" t="str">
        <f>"subway"</f>
        <v>subway</v>
      </c>
    </row>
    <row r="304" spans="5:8" x14ac:dyDescent="0.25">
      <c r="E304" t="str">
        <f>""</f>
        <v/>
      </c>
      <c r="F304" t="str">
        <f>""</f>
        <v/>
      </c>
      <c r="H304" t="str">
        <f>"panda"</f>
        <v>panda</v>
      </c>
    </row>
    <row r="305" spans="5:8" x14ac:dyDescent="0.25">
      <c r="E305" t="str">
        <f>""</f>
        <v/>
      </c>
      <c r="F305" t="str">
        <f>""</f>
        <v/>
      </c>
      <c r="H305" t="str">
        <f>"txtag"</f>
        <v>txtag</v>
      </c>
    </row>
    <row r="306" spans="5:8" x14ac:dyDescent="0.25">
      <c r="E306" t="str">
        <f>""</f>
        <v/>
      </c>
      <c r="F306" t="str">
        <f>""</f>
        <v/>
      </c>
      <c r="H306" t="str">
        <f>"txtag"</f>
        <v>txtag</v>
      </c>
    </row>
    <row r="307" spans="5:8" x14ac:dyDescent="0.25">
      <c r="E307" t="str">
        <f>""</f>
        <v/>
      </c>
      <c r="F307" t="str">
        <f>""</f>
        <v/>
      </c>
      <c r="H307" t="str">
        <f>"txtag"</f>
        <v>txtag</v>
      </c>
    </row>
    <row r="308" spans="5:8" x14ac:dyDescent="0.25">
      <c r="E308" t="str">
        <f>""</f>
        <v/>
      </c>
      <c r="F308" t="str">
        <f>""</f>
        <v/>
      </c>
      <c r="H308" t="str">
        <f>"txtag"</f>
        <v>txtag</v>
      </c>
    </row>
    <row r="309" spans="5:8" x14ac:dyDescent="0.25">
      <c r="E309" t="str">
        <f>""</f>
        <v/>
      </c>
      <c r="F309" t="str">
        <f>""</f>
        <v/>
      </c>
      <c r="H309" t="str">
        <f>"texas county"</f>
        <v>texas county</v>
      </c>
    </row>
    <row r="310" spans="5:8" x14ac:dyDescent="0.25">
      <c r="E310" t="str">
        <f>""</f>
        <v/>
      </c>
      <c r="F310" t="str">
        <f>""</f>
        <v/>
      </c>
      <c r="H310" t="str">
        <f>"LOST PINES"</f>
        <v>LOST PINES</v>
      </c>
    </row>
    <row r="311" spans="5:8" x14ac:dyDescent="0.25">
      <c r="E311" t="str">
        <f>""</f>
        <v/>
      </c>
      <c r="F311" t="str">
        <f>""</f>
        <v/>
      </c>
      <c r="H311" t="str">
        <f>"TDCAA"</f>
        <v>TDCAA</v>
      </c>
    </row>
    <row r="312" spans="5:8" x14ac:dyDescent="0.25">
      <c r="E312" t="str">
        <f>""</f>
        <v/>
      </c>
      <c r="F312" t="str">
        <f>""</f>
        <v/>
      </c>
      <c r="H312" t="str">
        <f>"notary"</f>
        <v>notary</v>
      </c>
    </row>
    <row r="313" spans="5:8" x14ac:dyDescent="0.25">
      <c r="E313" t="str">
        <f>""</f>
        <v/>
      </c>
      <c r="F313" t="str">
        <f>""</f>
        <v/>
      </c>
      <c r="H313" t="str">
        <f>"txtag"</f>
        <v>txtag</v>
      </c>
    </row>
    <row r="314" spans="5:8" x14ac:dyDescent="0.25">
      <c r="E314" t="str">
        <f>""</f>
        <v/>
      </c>
      <c r="F314" t="str">
        <f>""</f>
        <v/>
      </c>
      <c r="H314" t="str">
        <f>"txtag"</f>
        <v>txtag</v>
      </c>
    </row>
    <row r="315" spans="5:8" x14ac:dyDescent="0.25">
      <c r="E315" t="str">
        <f>""</f>
        <v/>
      </c>
      <c r="F315" t="str">
        <f>""</f>
        <v/>
      </c>
      <c r="H315" t="str">
        <f>"txtag"</f>
        <v>txtag</v>
      </c>
    </row>
    <row r="316" spans="5:8" x14ac:dyDescent="0.25">
      <c r="E316" t="str">
        <f>""</f>
        <v/>
      </c>
      <c r="F316" t="str">
        <f>""</f>
        <v/>
      </c>
      <c r="H316" t="str">
        <f>"txtag"</f>
        <v>txtag</v>
      </c>
    </row>
    <row r="317" spans="5:8" x14ac:dyDescent="0.25">
      <c r="E317" t="str">
        <f>""</f>
        <v/>
      </c>
      <c r="F317" t="str">
        <f>""</f>
        <v/>
      </c>
      <c r="H317" t="str">
        <f>"bobby"</f>
        <v>bobby</v>
      </c>
    </row>
    <row r="318" spans="5:8" x14ac:dyDescent="0.25">
      <c r="E318" t="str">
        <f>""</f>
        <v/>
      </c>
      <c r="F318" t="str">
        <f>""</f>
        <v/>
      </c>
      <c r="H318" t="str">
        <f>"GOVERNMENT"</f>
        <v>GOVERNMENT</v>
      </c>
    </row>
    <row r="319" spans="5:8" x14ac:dyDescent="0.25">
      <c r="E319" t="str">
        <f>""</f>
        <v/>
      </c>
      <c r="F319" t="str">
        <f>""</f>
        <v/>
      </c>
      <c r="H319" t="str">
        <f>"txtag"</f>
        <v>txtag</v>
      </c>
    </row>
    <row r="320" spans="5:8" x14ac:dyDescent="0.25">
      <c r="E320" t="str">
        <f>""</f>
        <v/>
      </c>
      <c r="F320" t="str">
        <f>""</f>
        <v/>
      </c>
      <c r="H320" t="str">
        <f>"RMA"</f>
        <v>RMA</v>
      </c>
    </row>
    <row r="321" spans="1:8" x14ac:dyDescent="0.25">
      <c r="E321" t="str">
        <f>""</f>
        <v/>
      </c>
      <c r="F321" t="str">
        <f>""</f>
        <v/>
      </c>
      <c r="H321" t="str">
        <f t="shared" ref="H321:H327" si="7">"txtag"</f>
        <v>txtag</v>
      </c>
    </row>
    <row r="322" spans="1:8" x14ac:dyDescent="0.25">
      <c r="E322" t="str">
        <f>""</f>
        <v/>
      </c>
      <c r="F322" t="str">
        <f>""</f>
        <v/>
      </c>
      <c r="H322" t="str">
        <f t="shared" si="7"/>
        <v>txtag</v>
      </c>
    </row>
    <row r="323" spans="1:8" x14ac:dyDescent="0.25">
      <c r="E323" t="str">
        <f>""</f>
        <v/>
      </c>
      <c r="F323" t="str">
        <f>""</f>
        <v/>
      </c>
      <c r="H323" t="str">
        <f t="shared" si="7"/>
        <v>txtag</v>
      </c>
    </row>
    <row r="324" spans="1:8" x14ac:dyDescent="0.25">
      <c r="E324" t="str">
        <f>""</f>
        <v/>
      </c>
      <c r="F324" t="str">
        <f>""</f>
        <v/>
      </c>
      <c r="H324" t="str">
        <f t="shared" si="7"/>
        <v>txtag</v>
      </c>
    </row>
    <row r="325" spans="1:8" x14ac:dyDescent="0.25">
      <c r="E325" t="str">
        <f>""</f>
        <v/>
      </c>
      <c r="F325" t="str">
        <f>""</f>
        <v/>
      </c>
      <c r="H325" t="str">
        <f t="shared" si="7"/>
        <v>txtag</v>
      </c>
    </row>
    <row r="326" spans="1:8" x14ac:dyDescent="0.25">
      <c r="E326" t="str">
        <f>""</f>
        <v/>
      </c>
      <c r="F326" t="str">
        <f>""</f>
        <v/>
      </c>
      <c r="H326" t="str">
        <f t="shared" si="7"/>
        <v>txtag</v>
      </c>
    </row>
    <row r="327" spans="1:8" x14ac:dyDescent="0.25">
      <c r="E327" t="str">
        <f>""</f>
        <v/>
      </c>
      <c r="F327" t="str">
        <f>""</f>
        <v/>
      </c>
      <c r="H327" t="str">
        <f t="shared" si="7"/>
        <v>txtag</v>
      </c>
    </row>
    <row r="328" spans="1:8" x14ac:dyDescent="0.25">
      <c r="E328" t="str">
        <f>""</f>
        <v/>
      </c>
      <c r="F328" t="str">
        <f>""</f>
        <v/>
      </c>
      <c r="H328" t="str">
        <f>"3C"</f>
        <v>3C</v>
      </c>
    </row>
    <row r="329" spans="1:8" x14ac:dyDescent="0.25">
      <c r="E329" t="str">
        <f>""</f>
        <v/>
      </c>
      <c r="F329" t="str">
        <f>""</f>
        <v/>
      </c>
      <c r="H329" t="str">
        <f>"daniels"</f>
        <v>daniels</v>
      </c>
    </row>
    <row r="330" spans="1:8" x14ac:dyDescent="0.25">
      <c r="A330" t="s">
        <v>60</v>
      </c>
      <c r="B330">
        <v>590</v>
      </c>
      <c r="C330" s="2">
        <v>181.87</v>
      </c>
      <c r="D330" s="1">
        <v>44025</v>
      </c>
      <c r="E330" t="str">
        <f>"202007087795"</f>
        <v>202007087795</v>
      </c>
      <c r="F330" t="str">
        <f>"ACCT 0574"</f>
        <v>ACCT 0574</v>
      </c>
      <c r="G330" s="2">
        <v>181.87</v>
      </c>
      <c r="H330" t="str">
        <f>"LOWES"</f>
        <v>LOWES</v>
      </c>
    </row>
    <row r="331" spans="1:8" x14ac:dyDescent="0.25">
      <c r="E331" t="str">
        <f>""</f>
        <v/>
      </c>
      <c r="F331" t="str">
        <f>""</f>
        <v/>
      </c>
      <c r="H331" t="str">
        <f>"STAPLES"</f>
        <v>STAPLES</v>
      </c>
    </row>
    <row r="332" spans="1:8" x14ac:dyDescent="0.25">
      <c r="A332" t="s">
        <v>61</v>
      </c>
      <c r="B332">
        <v>2848</v>
      </c>
      <c r="C332" s="2">
        <v>786.75</v>
      </c>
      <c r="D332" s="1">
        <v>44026</v>
      </c>
      <c r="E332" t="str">
        <f>"ZCH3832"</f>
        <v>ZCH3832</v>
      </c>
      <c r="F332" t="str">
        <f>"Inv# ZCH3832"</f>
        <v>Inv# ZCH3832</v>
      </c>
      <c r="G332" s="2">
        <v>295.29000000000002</v>
      </c>
      <c r="H332" t="str">
        <f>"part# 1011425"</f>
        <v>part# 1011425</v>
      </c>
    </row>
    <row r="333" spans="1:8" x14ac:dyDescent="0.25">
      <c r="E333" t="str">
        <f>"ZCT8803 - 3"</f>
        <v>ZCT8803 - 3</v>
      </c>
      <c r="F333" t="str">
        <f>"inv# ZCT8803"</f>
        <v>inv# ZCT8803</v>
      </c>
      <c r="G333" s="2">
        <v>491.46</v>
      </c>
      <c r="H333" t="str">
        <f>"Battery Backup"</f>
        <v>Battery Backup</v>
      </c>
    </row>
    <row r="334" spans="1:8" x14ac:dyDescent="0.25">
      <c r="A334" t="s">
        <v>62</v>
      </c>
      <c r="B334">
        <v>132577</v>
      </c>
      <c r="C334" s="2">
        <v>1505.3</v>
      </c>
      <c r="D334" s="1">
        <v>44042</v>
      </c>
      <c r="E334" t="str">
        <f>"202007308050"</f>
        <v>202007308050</v>
      </c>
      <c r="F334" t="str">
        <f>"ACCT#8000081165-5 / 07222020"</f>
        <v>ACCT#8000081165-5 / 07222020</v>
      </c>
      <c r="G334" s="2">
        <v>1505.3</v>
      </c>
      <c r="H334" t="str">
        <f>"ACCT#8000081165-5 / 07222020"</f>
        <v>ACCT#8000081165-5 / 07222020</v>
      </c>
    </row>
    <row r="335" spans="1:8" x14ac:dyDescent="0.25">
      <c r="E335" t="str">
        <f>""</f>
        <v/>
      </c>
      <c r="F335" t="str">
        <f>""</f>
        <v/>
      </c>
      <c r="H335" t="str">
        <f>"ACCT#8000081165-5 / 07222020"</f>
        <v>ACCT#8000081165-5 / 07222020</v>
      </c>
    </row>
    <row r="336" spans="1:8" x14ac:dyDescent="0.25">
      <c r="A336" t="s">
        <v>63</v>
      </c>
      <c r="B336">
        <v>132346</v>
      </c>
      <c r="C336" s="2">
        <v>2191.94</v>
      </c>
      <c r="D336" s="1">
        <v>44025</v>
      </c>
      <c r="E336" t="str">
        <f>"30138840"</f>
        <v>30138840</v>
      </c>
      <c r="F336" t="str">
        <f>"CUST#BASPCT1/ORD#23945/PCT#1"</f>
        <v>CUST#BASPCT1/ORD#23945/PCT#1</v>
      </c>
      <c r="G336" s="2">
        <v>687.8</v>
      </c>
      <c r="H336" t="str">
        <f>"CUST#BASPCT1/ORD#23945/PCT#1"</f>
        <v>CUST#BASPCT1/ORD#23945/PCT#1</v>
      </c>
    </row>
    <row r="337" spans="1:8" x14ac:dyDescent="0.25">
      <c r="E337" t="str">
        <f>"30138859"</f>
        <v>30138859</v>
      </c>
      <c r="F337" t="str">
        <f>"CUST#BASPCT1/ORD#23945/PCT#1"</f>
        <v>CUST#BASPCT1/ORD#23945/PCT#1</v>
      </c>
      <c r="G337" s="2">
        <v>1504.14</v>
      </c>
      <c r="H337" t="str">
        <f>"CUST#BASPCT1/ORD#23945/PCT#1"</f>
        <v>CUST#BASPCT1/ORD#23945/PCT#1</v>
      </c>
    </row>
    <row r="338" spans="1:8" x14ac:dyDescent="0.25">
      <c r="A338" t="s">
        <v>64</v>
      </c>
      <c r="B338">
        <v>132497</v>
      </c>
      <c r="C338" s="2">
        <v>2100</v>
      </c>
      <c r="D338" s="1">
        <v>44039</v>
      </c>
      <c r="E338" t="str">
        <f>"13157"</f>
        <v>13157</v>
      </c>
      <c r="F338" t="str">
        <f>"CTA 358-19 - A. BECK"</f>
        <v>CTA 358-19 - A. BECK</v>
      </c>
      <c r="G338" s="2">
        <v>2100</v>
      </c>
      <c r="H338" t="str">
        <f>"CTA 358-19 - A. BECK"</f>
        <v>CTA 358-19 - A. BECK</v>
      </c>
    </row>
    <row r="339" spans="1:8" x14ac:dyDescent="0.25">
      <c r="A339" t="s">
        <v>65</v>
      </c>
      <c r="B339">
        <v>132347</v>
      </c>
      <c r="C339" s="2">
        <v>741</v>
      </c>
      <c r="D339" s="1">
        <v>44025</v>
      </c>
      <c r="E339" t="str">
        <f>"202007087783"</f>
        <v>202007087783</v>
      </c>
      <c r="F339" t="str">
        <f>"19-19940"</f>
        <v>19-19940</v>
      </c>
      <c r="G339" s="2">
        <v>460.5</v>
      </c>
      <c r="H339" t="str">
        <f>"19-19940"</f>
        <v>19-19940</v>
      </c>
    </row>
    <row r="340" spans="1:8" x14ac:dyDescent="0.25">
      <c r="E340" t="str">
        <f>"202007087784"</f>
        <v>202007087784</v>
      </c>
      <c r="F340" t="str">
        <f>"17-18119"</f>
        <v>17-18119</v>
      </c>
      <c r="G340" s="2">
        <v>150</v>
      </c>
      <c r="H340" t="str">
        <f>"17-18119"</f>
        <v>17-18119</v>
      </c>
    </row>
    <row r="341" spans="1:8" x14ac:dyDescent="0.25">
      <c r="E341" t="str">
        <f>"202007087791"</f>
        <v>202007087791</v>
      </c>
      <c r="F341" t="str">
        <f>"G-135"</f>
        <v>G-135</v>
      </c>
      <c r="G341" s="2">
        <v>130.5</v>
      </c>
      <c r="H341" t="str">
        <f>"G-135"</f>
        <v>G-135</v>
      </c>
    </row>
    <row r="342" spans="1:8" x14ac:dyDescent="0.25">
      <c r="A342" t="s">
        <v>66</v>
      </c>
      <c r="B342">
        <v>132348</v>
      </c>
      <c r="C342" s="2">
        <v>570</v>
      </c>
      <c r="D342" s="1">
        <v>44025</v>
      </c>
      <c r="E342" t="str">
        <f>"202006297405"</f>
        <v>202006297405</v>
      </c>
      <c r="F342" t="str">
        <f>"RENTAL UNIT 190/JULY20-JAN21"</f>
        <v>RENTAL UNIT 190/JULY20-JAN21</v>
      </c>
      <c r="G342" s="2">
        <v>570</v>
      </c>
      <c r="H342" t="str">
        <f>"RENTAL UNIT 190/JULY20-JAN21"</f>
        <v>RENTAL UNIT 190/JULY20-JAN21</v>
      </c>
    </row>
    <row r="343" spans="1:8" x14ac:dyDescent="0.25">
      <c r="A343" t="s">
        <v>67</v>
      </c>
      <c r="B343">
        <v>2855</v>
      </c>
      <c r="C343" s="2">
        <v>2300</v>
      </c>
      <c r="D343" s="1">
        <v>44026</v>
      </c>
      <c r="E343" t="str">
        <f>"202007037591"</f>
        <v>202007037591</v>
      </c>
      <c r="F343" t="str">
        <f>"306292018B 308142019D 30814201"</f>
        <v>306292018B 308142019D 30814201</v>
      </c>
      <c r="G343" s="2">
        <v>500</v>
      </c>
      <c r="H343" t="str">
        <f>"306292018B 308142019D 30814201"</f>
        <v>306292018B 308142019D 30814201</v>
      </c>
    </row>
    <row r="344" spans="1:8" x14ac:dyDescent="0.25">
      <c r="E344" t="str">
        <f>"202007037592"</f>
        <v>202007037592</v>
      </c>
      <c r="F344" t="str">
        <f>"JP102052020D"</f>
        <v>JP102052020D</v>
      </c>
      <c r="G344" s="2">
        <v>250</v>
      </c>
      <c r="H344" t="str">
        <f>"JP102052020D"</f>
        <v>JP102052020D</v>
      </c>
    </row>
    <row r="345" spans="1:8" x14ac:dyDescent="0.25">
      <c r="E345" t="str">
        <f>"202007037593"</f>
        <v>202007037593</v>
      </c>
      <c r="F345" t="str">
        <f>"309122019C"</f>
        <v>309122019C</v>
      </c>
      <c r="G345" s="2">
        <v>250</v>
      </c>
      <c r="H345" t="str">
        <f>"309122019C"</f>
        <v>309122019C</v>
      </c>
    </row>
    <row r="346" spans="1:8" x14ac:dyDescent="0.25">
      <c r="E346" t="str">
        <f>"202007037594"</f>
        <v>202007037594</v>
      </c>
      <c r="F346" t="str">
        <f>"19-19866"</f>
        <v>19-19866</v>
      </c>
      <c r="G346" s="2">
        <v>100</v>
      </c>
      <c r="H346" t="str">
        <f>"19-19866"</f>
        <v>19-19866</v>
      </c>
    </row>
    <row r="347" spans="1:8" x14ac:dyDescent="0.25">
      <c r="E347" t="str">
        <f>"202007037595"</f>
        <v>202007037595</v>
      </c>
      <c r="F347" t="str">
        <f>"20-20258"</f>
        <v>20-20258</v>
      </c>
      <c r="G347" s="2">
        <v>100</v>
      </c>
      <c r="H347" t="str">
        <f>"20-20258"</f>
        <v>20-20258</v>
      </c>
    </row>
    <row r="348" spans="1:8" x14ac:dyDescent="0.25">
      <c r="E348" t="str">
        <f>"202007037596"</f>
        <v>202007037596</v>
      </c>
      <c r="F348" t="str">
        <f>"54574"</f>
        <v>54574</v>
      </c>
      <c r="G348" s="2">
        <v>250</v>
      </c>
      <c r="H348" t="str">
        <f>"54574"</f>
        <v>54574</v>
      </c>
    </row>
    <row r="349" spans="1:8" x14ac:dyDescent="0.25">
      <c r="E349" t="str">
        <f>"202007037597"</f>
        <v>202007037597</v>
      </c>
      <c r="F349" t="str">
        <f>"57 289"</f>
        <v>57 289</v>
      </c>
      <c r="G349" s="2">
        <v>100</v>
      </c>
      <c r="H349" t="str">
        <f>"57 289"</f>
        <v>57 289</v>
      </c>
    </row>
    <row r="350" spans="1:8" x14ac:dyDescent="0.25">
      <c r="E350" t="str">
        <f>"202007037598"</f>
        <v>202007037598</v>
      </c>
      <c r="F350" t="str">
        <f>"55 362"</f>
        <v>55 362</v>
      </c>
      <c r="G350" s="2">
        <v>250</v>
      </c>
      <c r="H350" t="str">
        <f>"55 362"</f>
        <v>55 362</v>
      </c>
    </row>
    <row r="351" spans="1:8" x14ac:dyDescent="0.25">
      <c r="E351" t="str">
        <f>"202007067637"</f>
        <v>202007067637</v>
      </c>
      <c r="F351" t="str">
        <f>"17 082"</f>
        <v>17 082</v>
      </c>
      <c r="G351" s="2">
        <v>100</v>
      </c>
      <c r="H351" t="str">
        <f>"17 082"</f>
        <v>17 082</v>
      </c>
    </row>
    <row r="352" spans="1:8" x14ac:dyDescent="0.25">
      <c r="E352" t="str">
        <f>"202007067638"</f>
        <v>202007067638</v>
      </c>
      <c r="F352" t="str">
        <f>"309122019D"</f>
        <v>309122019D</v>
      </c>
      <c r="G352" s="2">
        <v>400</v>
      </c>
      <c r="H352" t="str">
        <f>"309122019D"</f>
        <v>309122019D</v>
      </c>
    </row>
    <row r="353" spans="1:8" x14ac:dyDescent="0.25">
      <c r="A353" t="s">
        <v>67</v>
      </c>
      <c r="B353">
        <v>2924</v>
      </c>
      <c r="C353" s="2">
        <v>500</v>
      </c>
      <c r="D353" s="1">
        <v>44040</v>
      </c>
      <c r="E353" t="str">
        <f>"202007177914"</f>
        <v>202007177914</v>
      </c>
      <c r="F353" t="str">
        <f>"56 004"</f>
        <v>56 004</v>
      </c>
      <c r="G353" s="2">
        <v>250</v>
      </c>
      <c r="H353" t="str">
        <f>"56 004"</f>
        <v>56 004</v>
      </c>
    </row>
    <row r="354" spans="1:8" x14ac:dyDescent="0.25">
      <c r="E354" t="str">
        <f>"202007177915"</f>
        <v>202007177915</v>
      </c>
      <c r="F354" t="str">
        <f>"57 140"</f>
        <v>57 140</v>
      </c>
      <c r="G354" s="2">
        <v>250</v>
      </c>
      <c r="H354" t="str">
        <f>"57 140"</f>
        <v>57 140</v>
      </c>
    </row>
    <row r="355" spans="1:8" x14ac:dyDescent="0.25">
      <c r="A355" t="s">
        <v>68</v>
      </c>
      <c r="B355">
        <v>132498</v>
      </c>
      <c r="C355" s="2">
        <v>25</v>
      </c>
      <c r="D355" s="1">
        <v>44039</v>
      </c>
      <c r="E355" t="str">
        <f>"202007207955"</f>
        <v>202007207955</v>
      </c>
      <c r="F355" t="str">
        <f>"REFUND DRIVEWAY PERMIT FEE"</f>
        <v>REFUND DRIVEWAY PERMIT FEE</v>
      </c>
      <c r="G355" s="2">
        <v>25</v>
      </c>
      <c r="H355" t="str">
        <f>"REFUND DRIVEWAY PERMIT FEE"</f>
        <v>REFUND DRIVEWAY PERMIT FEE</v>
      </c>
    </row>
    <row r="356" spans="1:8" x14ac:dyDescent="0.25">
      <c r="A356" t="s">
        <v>69</v>
      </c>
      <c r="B356">
        <v>132349</v>
      </c>
      <c r="C356" s="2">
        <v>255.85</v>
      </c>
      <c r="D356" s="1">
        <v>44025</v>
      </c>
      <c r="E356" t="str">
        <f>"5017617857"</f>
        <v>5017617857</v>
      </c>
      <c r="F356" t="str">
        <f>"CUST#0011167190/PCT#1"</f>
        <v>CUST#0011167190/PCT#1</v>
      </c>
      <c r="G356" s="2">
        <v>105.85</v>
      </c>
      <c r="H356" t="str">
        <f>"CUST#0011167190/PCT#1"</f>
        <v>CUST#0011167190/PCT#1</v>
      </c>
    </row>
    <row r="357" spans="1:8" x14ac:dyDescent="0.25">
      <c r="E357" t="str">
        <f>"9094219984"</f>
        <v>9094219984</v>
      </c>
      <c r="F357" t="str">
        <f>"INV 9094219984"</f>
        <v>INV 9094219984</v>
      </c>
      <c r="G357" s="2">
        <v>100</v>
      </c>
      <c r="H357" t="str">
        <f>"INV 9094219984"</f>
        <v>INV 9094219984</v>
      </c>
    </row>
    <row r="358" spans="1:8" x14ac:dyDescent="0.25">
      <c r="E358" t="str">
        <f>"9094219985"</f>
        <v>9094219985</v>
      </c>
      <c r="F358" t="str">
        <f>"INV 9094219985"</f>
        <v>INV 9094219985</v>
      </c>
      <c r="G358" s="2">
        <v>50</v>
      </c>
      <c r="H358" t="str">
        <f>"INV 9094219985"</f>
        <v>INV 9094219985</v>
      </c>
    </row>
    <row r="359" spans="1:8" x14ac:dyDescent="0.25">
      <c r="A359" t="s">
        <v>69</v>
      </c>
      <c r="B359">
        <v>132499</v>
      </c>
      <c r="C359" s="2">
        <v>42.17</v>
      </c>
      <c r="D359" s="1">
        <v>44039</v>
      </c>
      <c r="E359" t="str">
        <f>"5018884213"</f>
        <v>5018884213</v>
      </c>
      <c r="F359" t="str">
        <f>"CUST#0011167190/PCT#1"</f>
        <v>CUST#0011167190/PCT#1</v>
      </c>
      <c r="G359" s="2">
        <v>42.17</v>
      </c>
      <c r="H359" t="str">
        <f>"CUST#0011167190/PCT#1"</f>
        <v>CUST#0011167190/PCT#1</v>
      </c>
    </row>
    <row r="360" spans="1:8" x14ac:dyDescent="0.25">
      <c r="A360" t="s">
        <v>70</v>
      </c>
      <c r="B360">
        <v>132350</v>
      </c>
      <c r="C360" s="2">
        <v>203.21</v>
      </c>
      <c r="D360" s="1">
        <v>44025</v>
      </c>
      <c r="E360" t="str">
        <f>"202007077656"</f>
        <v>202007077656</v>
      </c>
      <c r="F360" t="str">
        <f>"CUST#10377368/PCT#2"</f>
        <v>CUST#10377368/PCT#2</v>
      </c>
      <c r="G360" s="2">
        <v>84.19</v>
      </c>
      <c r="H360" t="str">
        <f>"CUST#10377368/PCT#2"</f>
        <v>CUST#10377368/PCT#2</v>
      </c>
    </row>
    <row r="361" spans="1:8" x14ac:dyDescent="0.25">
      <c r="E361" t="str">
        <f>"8404698123"</f>
        <v>8404698123</v>
      </c>
      <c r="F361" t="str">
        <f>"CUST#10377368/PCT#3"</f>
        <v>CUST#10377368/PCT#3</v>
      </c>
      <c r="G361" s="2">
        <v>119.02</v>
      </c>
      <c r="H361" t="str">
        <f>"CUST#10377368/PCT#3"</f>
        <v>CUST#10377368/PCT#3</v>
      </c>
    </row>
    <row r="362" spans="1:8" x14ac:dyDescent="0.25">
      <c r="A362" t="s">
        <v>71</v>
      </c>
      <c r="B362">
        <v>132351</v>
      </c>
      <c r="C362" s="2">
        <v>2017.56</v>
      </c>
      <c r="D362" s="1">
        <v>44025</v>
      </c>
      <c r="E362" t="str">
        <f>"202006307412"</f>
        <v>202006307412</v>
      </c>
      <c r="F362" t="str">
        <f>"PAYER#14108375/GENERAL SVCS"</f>
        <v>PAYER#14108375/GENERAL SVCS</v>
      </c>
      <c r="G362" s="2">
        <v>1694.76</v>
      </c>
      <c r="H362" t="str">
        <f>"PAYER#14108375/GENERAL SVCS"</f>
        <v>PAYER#14108375/GENERAL SVCS</v>
      </c>
    </row>
    <row r="363" spans="1:8" x14ac:dyDescent="0.25">
      <c r="E363" t="str">
        <f>"202007067642"</f>
        <v>202007067642</v>
      </c>
      <c r="F363" t="str">
        <f>"PAYER#14108463/ANIMAL SHELTER"</f>
        <v>PAYER#14108463/ANIMAL SHELTER</v>
      </c>
      <c r="G363" s="2">
        <v>322.8</v>
      </c>
      <c r="H363" t="str">
        <f>"PAYER#14108463/ANIMAL SHELTER"</f>
        <v>PAYER#14108463/ANIMAL SHELTER</v>
      </c>
    </row>
    <row r="364" spans="1:8" x14ac:dyDescent="0.25">
      <c r="A364" t="s">
        <v>70</v>
      </c>
      <c r="B364">
        <v>132500</v>
      </c>
      <c r="C364" s="2">
        <v>59.87</v>
      </c>
      <c r="D364" s="1">
        <v>44039</v>
      </c>
      <c r="E364" t="str">
        <f>"8404723448"</f>
        <v>8404723448</v>
      </c>
      <c r="F364" t="str">
        <f>"CUST#10377368/PCT#2"</f>
        <v>CUST#10377368/PCT#2</v>
      </c>
      <c r="G364" s="2">
        <v>59.87</v>
      </c>
      <c r="H364" t="str">
        <f>"CUST#10377368/PCT#2"</f>
        <v>CUST#10377368/PCT#2</v>
      </c>
    </row>
    <row r="365" spans="1:8" x14ac:dyDescent="0.25">
      <c r="A365" t="s">
        <v>71</v>
      </c>
      <c r="B365">
        <v>132501</v>
      </c>
      <c r="C365" s="2">
        <v>5434.21</v>
      </c>
      <c r="D365" s="1">
        <v>44039</v>
      </c>
      <c r="E365" t="str">
        <f>"202007147842"</f>
        <v>202007147842</v>
      </c>
      <c r="F365" t="str">
        <f>"PAYER#14108430/PCT#4"</f>
        <v>PAYER#14108430/PCT#4</v>
      </c>
      <c r="G365" s="2">
        <v>1783.72</v>
      </c>
      <c r="H365" t="str">
        <f>"PAYER#14108430/PCT#4"</f>
        <v>PAYER#14108430/PCT#4</v>
      </c>
    </row>
    <row r="366" spans="1:8" x14ac:dyDescent="0.25">
      <c r="E366" t="str">
        <f>"202007147845"</f>
        <v>202007147845</v>
      </c>
      <c r="F366" t="str">
        <f>"PAYER#14108367/PCT#2"</f>
        <v>PAYER#14108367/PCT#2</v>
      </c>
      <c r="G366" s="2">
        <v>621.58000000000004</v>
      </c>
      <c r="H366" t="str">
        <f>"PAYER#14108367/PCT#2"</f>
        <v>PAYER#14108367/PCT#2</v>
      </c>
    </row>
    <row r="367" spans="1:8" x14ac:dyDescent="0.25">
      <c r="E367" t="str">
        <f>"202007157853"</f>
        <v>202007157853</v>
      </c>
      <c r="F367" t="str">
        <f>"PAYER#14108375/GENERAL SVC"</f>
        <v>PAYER#14108375/GENERAL SVC</v>
      </c>
      <c r="G367" s="2">
        <v>2181.3000000000002</v>
      </c>
      <c r="H367" t="str">
        <f>"PAYER#14108375/GENERAL SVC"</f>
        <v>PAYER#14108375/GENERAL SVC</v>
      </c>
    </row>
    <row r="368" spans="1:8" x14ac:dyDescent="0.25">
      <c r="E368" t="str">
        <f>"202007177892"</f>
        <v>202007177892</v>
      </c>
      <c r="F368" t="str">
        <f>"PAYER#14108431/PCT#1"</f>
        <v>PAYER#14108431/PCT#1</v>
      </c>
      <c r="G368" s="2">
        <v>791.71</v>
      </c>
      <c r="H368" t="str">
        <f>"PAYER#14108431/PCT#1"</f>
        <v>PAYER#14108431/PCT#1</v>
      </c>
    </row>
    <row r="369" spans="1:8" x14ac:dyDescent="0.25">
      <c r="E369" t="str">
        <f>"202007177893"</f>
        <v>202007177893</v>
      </c>
      <c r="F369" t="str">
        <f>"PAYER#14108431"</f>
        <v>PAYER#14108431</v>
      </c>
      <c r="G369" s="2">
        <v>55.9</v>
      </c>
      <c r="H369" t="str">
        <f>"PAYER#14108431"</f>
        <v>PAYER#14108431</v>
      </c>
    </row>
    <row r="370" spans="1:8" x14ac:dyDescent="0.25">
      <c r="A370" t="s">
        <v>72</v>
      </c>
      <c r="B370">
        <v>132302</v>
      </c>
      <c r="C370" s="2">
        <v>1825.7</v>
      </c>
      <c r="D370" s="1">
        <v>44013</v>
      </c>
      <c r="E370" t="str">
        <f>"202007017509"</f>
        <v>202007017509</v>
      </c>
      <c r="F370" t="str">
        <f>"ACCT#72-5613 / 06032020"</f>
        <v>ACCT#72-5613 / 06032020</v>
      </c>
      <c r="G370" s="2">
        <v>1825.7</v>
      </c>
      <c r="H370" t="str">
        <f>"ACCT#72-5613 / 06032020"</f>
        <v>ACCT#72-5613 / 06032020</v>
      </c>
    </row>
    <row r="371" spans="1:8" x14ac:dyDescent="0.25">
      <c r="A371" t="s">
        <v>72</v>
      </c>
      <c r="B371">
        <v>132475</v>
      </c>
      <c r="C371" s="2">
        <v>4437.1899999999996</v>
      </c>
      <c r="D371" s="1">
        <v>44032</v>
      </c>
      <c r="E371" t="str">
        <f>"202007167888"</f>
        <v>202007167888</v>
      </c>
      <c r="F371" t="str">
        <f>"ACCT#72-5613 / 07032020"</f>
        <v>ACCT#72-5613 / 07032020</v>
      </c>
      <c r="G371" s="2">
        <v>4437.1899999999996</v>
      </c>
      <c r="H371" t="str">
        <f>"ACCT#72-5613 / 07032020"</f>
        <v>ACCT#72-5613 / 07032020</v>
      </c>
    </row>
    <row r="372" spans="1:8" x14ac:dyDescent="0.25">
      <c r="A372" t="s">
        <v>73</v>
      </c>
      <c r="B372">
        <v>132317</v>
      </c>
      <c r="C372" s="2">
        <v>47175.519999999997</v>
      </c>
      <c r="D372" s="1">
        <v>44021</v>
      </c>
      <c r="E372" t="str">
        <f>"202007087830"</f>
        <v>202007087830</v>
      </c>
      <c r="F372" t="str">
        <f>"ACCT#02-2083-04 / 06292020"</f>
        <v>ACCT#02-2083-04 / 06292020</v>
      </c>
      <c r="G372" s="2">
        <v>5958.54</v>
      </c>
      <c r="H372" t="str">
        <f>"ACCT#02-2083-04 / 06292020"</f>
        <v>ACCT#02-2083-04 / 06292020</v>
      </c>
    </row>
    <row r="373" spans="1:8" x14ac:dyDescent="0.25">
      <c r="E373" t="str">
        <f>"202007087831"</f>
        <v>202007087831</v>
      </c>
      <c r="F373" t="str">
        <f>"COUNTY DEV CTR / 06292020"</f>
        <v>COUNTY DEV CTR / 06292020</v>
      </c>
      <c r="G373" s="2">
        <v>1755.46</v>
      </c>
      <c r="H373" t="str">
        <f>"COUNTY DEV CTR / 06292020"</f>
        <v>COUNTY DEV CTR / 06292020</v>
      </c>
    </row>
    <row r="374" spans="1:8" x14ac:dyDescent="0.25">
      <c r="E374" t="str">
        <f>"202007087832"</f>
        <v>202007087832</v>
      </c>
      <c r="F374" t="str">
        <f>"COUNTY LAW ENF / 06292020"</f>
        <v>COUNTY LAW ENF / 06292020</v>
      </c>
      <c r="G374" s="2">
        <v>26632.15</v>
      </c>
      <c r="H374" t="str">
        <f>"COUNTY LAW ENF / 06292020"</f>
        <v>COUNTY LAW ENF / 06292020</v>
      </c>
    </row>
    <row r="375" spans="1:8" x14ac:dyDescent="0.25">
      <c r="E375" t="str">
        <f>"202007087833"</f>
        <v>202007087833</v>
      </c>
      <c r="F375" t="str">
        <f>"BASTROP COURTHOUSE / 06292020"</f>
        <v>BASTROP COURTHOUSE / 06292020</v>
      </c>
      <c r="G375" s="2">
        <v>12829.37</v>
      </c>
      <c r="H375" t="str">
        <f>"BASTROP COURTHOUSE / 06292020"</f>
        <v>BASTROP COURTHOUSE / 06292020</v>
      </c>
    </row>
    <row r="376" spans="1:8" x14ac:dyDescent="0.25">
      <c r="A376" t="s">
        <v>73</v>
      </c>
      <c r="B376">
        <v>132502</v>
      </c>
      <c r="C376" s="2">
        <v>1275</v>
      </c>
      <c r="D376" s="1">
        <v>44039</v>
      </c>
      <c r="E376" t="str">
        <f>"202007147850"</f>
        <v>202007147850</v>
      </c>
      <c r="F376" t="str">
        <f>"RENTAL-PARKING LOT"</f>
        <v>RENTAL-PARKING LOT</v>
      </c>
      <c r="G376" s="2">
        <v>750</v>
      </c>
      <c r="H376" t="str">
        <f>"RENTAL-PARKING LOT"</f>
        <v>RENTAL-PARKING LOT</v>
      </c>
    </row>
    <row r="377" spans="1:8" x14ac:dyDescent="0.25">
      <c r="E377" t="str">
        <f>"INV-00004233"</f>
        <v>INV-00004233</v>
      </c>
      <c r="F377" t="str">
        <f>"ZONING REVIEW FEE - 2575 CEDAR"</f>
        <v>ZONING REVIEW FEE - 2575 CEDAR</v>
      </c>
      <c r="G377" s="2">
        <v>525</v>
      </c>
      <c r="H377" t="str">
        <f>"ZONING REVIEW FEE - 2575 CEDAR"</f>
        <v>ZONING REVIEW FEE - 2575 CEDAR</v>
      </c>
    </row>
    <row r="378" spans="1:8" x14ac:dyDescent="0.25">
      <c r="A378" t="s">
        <v>74</v>
      </c>
      <c r="B378">
        <v>2791</v>
      </c>
      <c r="C378" s="2">
        <v>215</v>
      </c>
      <c r="D378" s="1">
        <v>44026</v>
      </c>
      <c r="E378" t="str">
        <f>"PMA-0064624"</f>
        <v>PMA-0064624</v>
      </c>
      <c r="F378" t="str">
        <f>"AGREEMENT#PMA-010644"</f>
        <v>AGREEMENT#PMA-010644</v>
      </c>
      <c r="G378" s="2">
        <v>100</v>
      </c>
      <c r="H378" t="str">
        <f>"AGREEMENT#PMA-010644"</f>
        <v>AGREEMENT#PMA-010644</v>
      </c>
    </row>
    <row r="379" spans="1:8" x14ac:dyDescent="0.25">
      <c r="E379" t="str">
        <f>"PMA-0064625"</f>
        <v>PMA-0064625</v>
      </c>
      <c r="F379" t="str">
        <f>"AGREEMENT#PMA-010648"</f>
        <v>AGREEMENT#PMA-010648</v>
      </c>
      <c r="G379" s="2">
        <v>115</v>
      </c>
      <c r="H379" t="str">
        <f>"AGREEMENT#PMA-010648"</f>
        <v>AGREEMENT#PMA-010648</v>
      </c>
    </row>
    <row r="380" spans="1:8" x14ac:dyDescent="0.25">
      <c r="A380" t="s">
        <v>75</v>
      </c>
      <c r="B380">
        <v>2899</v>
      </c>
      <c r="C380" s="2">
        <v>103.29</v>
      </c>
      <c r="D380" s="1">
        <v>44040</v>
      </c>
      <c r="E380" t="str">
        <f>"202007217982"</f>
        <v>202007217982</v>
      </c>
      <c r="F380" t="str">
        <f>"INDIGENT HEALTH"</f>
        <v>INDIGENT HEALTH</v>
      </c>
      <c r="G380" s="2">
        <v>103.29</v>
      </c>
      <c r="H380" t="str">
        <f>"INDIGENT HEALTH"</f>
        <v>INDIGENT HEALTH</v>
      </c>
    </row>
    <row r="381" spans="1:8" x14ac:dyDescent="0.25">
      <c r="A381" t="s">
        <v>76</v>
      </c>
      <c r="B381">
        <v>132503</v>
      </c>
      <c r="C381" s="2">
        <v>8673</v>
      </c>
      <c r="D381" s="1">
        <v>44039</v>
      </c>
      <c r="E381" t="str">
        <f>"221345-13-001"</f>
        <v>221345-13-001</v>
      </c>
      <c r="F381" t="str">
        <f>"INV 221345-13-001"</f>
        <v>INV 221345-13-001</v>
      </c>
      <c r="G381" s="2">
        <v>8673</v>
      </c>
      <c r="H381" t="str">
        <f>"INV 221345-13-001"</f>
        <v>INV 221345-13-001</v>
      </c>
    </row>
    <row r="382" spans="1:8" x14ac:dyDescent="0.25">
      <c r="A382" t="s">
        <v>77</v>
      </c>
      <c r="B382">
        <v>2794</v>
      </c>
      <c r="C382" s="2">
        <v>156</v>
      </c>
      <c r="D382" s="1">
        <v>44026</v>
      </c>
      <c r="E382" t="str">
        <f>"12457016953"</f>
        <v>12457016953</v>
      </c>
      <c r="F382" t="str">
        <f>"INV 12457016953"</f>
        <v>INV 12457016953</v>
      </c>
      <c r="G382" s="2">
        <v>156</v>
      </c>
      <c r="H382" t="str">
        <f>"INV 12457016953"</f>
        <v>INV 12457016953</v>
      </c>
    </row>
    <row r="383" spans="1:8" x14ac:dyDescent="0.25">
      <c r="A383" t="s">
        <v>78</v>
      </c>
      <c r="B383">
        <v>2882</v>
      </c>
      <c r="C383" s="2">
        <v>600.45000000000005</v>
      </c>
      <c r="D383" s="1">
        <v>44040</v>
      </c>
      <c r="E383" t="str">
        <f>"202007217983"</f>
        <v>202007217983</v>
      </c>
      <c r="F383" t="str">
        <f>"INDIGENT HEALTH"</f>
        <v>INDIGENT HEALTH</v>
      </c>
      <c r="G383" s="2">
        <v>600.45000000000005</v>
      </c>
      <c r="H383" t="str">
        <f>"INDIGENT HEALTH"</f>
        <v>INDIGENT HEALTH</v>
      </c>
    </row>
    <row r="384" spans="1:8" x14ac:dyDescent="0.25">
      <c r="A384" t="s">
        <v>79</v>
      </c>
      <c r="B384">
        <v>132352</v>
      </c>
      <c r="C384" s="2">
        <v>93.15</v>
      </c>
      <c r="D384" s="1">
        <v>44025</v>
      </c>
      <c r="E384" t="str">
        <f>"202007077685"</f>
        <v>202007077685</v>
      </c>
      <c r="F384" t="str">
        <f>"MILEAGE REIMBURSEMENT"</f>
        <v>MILEAGE REIMBURSEMENT</v>
      </c>
      <c r="G384" s="2">
        <v>93.15</v>
      </c>
      <c r="H384" t="str">
        <f>"MILEAGE REIMBURSEMENT"</f>
        <v>MILEAGE REIMBURSEMENT</v>
      </c>
    </row>
    <row r="385" spans="1:8" x14ac:dyDescent="0.25">
      <c r="A385" t="s">
        <v>80</v>
      </c>
      <c r="B385">
        <v>2880</v>
      </c>
      <c r="C385" s="2">
        <v>1830</v>
      </c>
      <c r="D385" s="1">
        <v>44040</v>
      </c>
      <c r="E385" t="str">
        <f>"20574"</f>
        <v>20574</v>
      </c>
      <c r="F385" t="str">
        <f>"INV 20574"</f>
        <v>INV 20574</v>
      </c>
      <c r="G385" s="2">
        <v>1830</v>
      </c>
      <c r="H385" t="str">
        <f>"INV 20574"</f>
        <v>INV 20574</v>
      </c>
    </row>
    <row r="386" spans="1:8" x14ac:dyDescent="0.25">
      <c r="A386" t="s">
        <v>80</v>
      </c>
      <c r="B386">
        <v>132353</v>
      </c>
      <c r="C386" s="2">
        <v>92</v>
      </c>
      <c r="D386" s="1">
        <v>44025</v>
      </c>
      <c r="E386" t="str">
        <f>"20565"</f>
        <v>20565</v>
      </c>
      <c r="F386" t="str">
        <f>"TROUBLESHOOT CABLE/LABOR"</f>
        <v>TROUBLESHOOT CABLE/LABOR</v>
      </c>
      <c r="G386" s="2">
        <v>92</v>
      </c>
      <c r="H386" t="str">
        <f>"TROUBLESHOOT CABLE/LABOR"</f>
        <v>TROUBLESHOOT CABLE/LABOR</v>
      </c>
    </row>
    <row r="387" spans="1:8" x14ac:dyDescent="0.25">
      <c r="A387" t="s">
        <v>81</v>
      </c>
      <c r="B387">
        <v>2898</v>
      </c>
      <c r="C387" s="2">
        <v>6437.17</v>
      </c>
      <c r="D387" s="1">
        <v>44040</v>
      </c>
      <c r="E387" t="str">
        <f>"IG00364"</f>
        <v>IG00364</v>
      </c>
      <c r="F387" t="str">
        <f>"ACCT#063/PCT#3"</f>
        <v>ACCT#063/PCT#3</v>
      </c>
      <c r="G387" s="2">
        <v>167.21</v>
      </c>
      <c r="H387" t="str">
        <f>"ACCT#063/PCT#3"</f>
        <v>ACCT#063/PCT#3</v>
      </c>
    </row>
    <row r="388" spans="1:8" x14ac:dyDescent="0.25">
      <c r="E388" t="str">
        <f>"IG00381"</f>
        <v>IG00381</v>
      </c>
      <c r="F388" t="str">
        <f>"ACCT#063/PCT#3"</f>
        <v>ACCT#063/PCT#3</v>
      </c>
      <c r="G388" s="2">
        <v>117.58</v>
      </c>
      <c r="H388" t="str">
        <f>"ACCT#063/PCT#3"</f>
        <v>ACCT#063/PCT#3</v>
      </c>
    </row>
    <row r="389" spans="1:8" x14ac:dyDescent="0.25">
      <c r="E389" t="str">
        <f>"IG00382"</f>
        <v>IG00382</v>
      </c>
      <c r="F389" t="str">
        <f>"ACCT#063/PCT#3"</f>
        <v>ACCT#063/PCT#3</v>
      </c>
      <c r="G389" s="2">
        <v>400.02</v>
      </c>
      <c r="H389" t="str">
        <f>"ACCT#063/PCT#3"</f>
        <v>ACCT#063/PCT#3</v>
      </c>
    </row>
    <row r="390" spans="1:8" x14ac:dyDescent="0.25">
      <c r="E390" t="str">
        <f>"IG00393"</f>
        <v>IG00393</v>
      </c>
      <c r="F390" t="str">
        <f>"ACCT#063/PCT#2"</f>
        <v>ACCT#063/PCT#2</v>
      </c>
      <c r="G390" s="2">
        <v>219.97</v>
      </c>
      <c r="H390" t="str">
        <f>"ACCT#063/PCT#2"</f>
        <v>ACCT#063/PCT#2</v>
      </c>
    </row>
    <row r="391" spans="1:8" x14ac:dyDescent="0.25">
      <c r="E391" t="str">
        <f>"WS19844"</f>
        <v>WS19844</v>
      </c>
      <c r="F391" t="str">
        <f>"CUST#353/PCT#2"</f>
        <v>CUST#353/PCT#2</v>
      </c>
      <c r="G391" s="2">
        <v>5532.39</v>
      </c>
      <c r="H391" t="str">
        <f>"CUST#353/PCT#2"</f>
        <v>CUST#353/PCT#2</v>
      </c>
    </row>
    <row r="392" spans="1:8" x14ac:dyDescent="0.25">
      <c r="A392" t="s">
        <v>82</v>
      </c>
      <c r="B392">
        <v>132354</v>
      </c>
      <c r="C392" s="2">
        <v>150</v>
      </c>
      <c r="D392" s="1">
        <v>44025</v>
      </c>
      <c r="E392" t="str">
        <f>"12911"</f>
        <v>12911</v>
      </c>
      <c r="F392" t="str">
        <f>"SERVICE"</f>
        <v>SERVICE</v>
      </c>
      <c r="G392" s="2">
        <v>150</v>
      </c>
      <c r="H392" t="str">
        <f>"SERVICE"</f>
        <v>SERVICE</v>
      </c>
    </row>
    <row r="393" spans="1:8" x14ac:dyDescent="0.25">
      <c r="A393" t="s">
        <v>83</v>
      </c>
      <c r="B393">
        <v>132355</v>
      </c>
      <c r="C393" s="2">
        <v>5673.81</v>
      </c>
      <c r="D393" s="1">
        <v>44025</v>
      </c>
      <c r="E393" t="str">
        <f>"202007087779"</f>
        <v>202007087779</v>
      </c>
      <c r="F393" t="str">
        <f>"BCAS Rescue Disinfectant"</f>
        <v>BCAS Rescue Disinfectant</v>
      </c>
      <c r="G393" s="2">
        <v>3185.68</v>
      </c>
      <c r="H393" t="str">
        <f>"55 gallon Drum"</f>
        <v>55 gallon Drum</v>
      </c>
    </row>
    <row r="394" spans="1:8" x14ac:dyDescent="0.25">
      <c r="E394" t="str">
        <f>""</f>
        <v/>
      </c>
      <c r="F394" t="str">
        <f>""</f>
        <v/>
      </c>
      <c r="H394" t="str">
        <f>"shipping"</f>
        <v>shipping</v>
      </c>
    </row>
    <row r="395" spans="1:8" x14ac:dyDescent="0.25">
      <c r="E395" t="str">
        <f>"TA67345"</f>
        <v>TA67345</v>
      </c>
      <c r="F395" t="str">
        <f>"ACCT#68930/ANIMAL SERVICES"</f>
        <v>ACCT#68930/ANIMAL SERVICES</v>
      </c>
      <c r="G395" s="2">
        <v>370.6</v>
      </c>
      <c r="H395" t="str">
        <f>"ACCT#68930/ANIMAL SERVICES"</f>
        <v>ACCT#68930/ANIMAL SERVICES</v>
      </c>
    </row>
    <row r="396" spans="1:8" x14ac:dyDescent="0.25">
      <c r="E396" t="str">
        <f>""</f>
        <v/>
      </c>
      <c r="F396" t="str">
        <f>""</f>
        <v/>
      </c>
      <c r="H396" t="str">
        <f>"ACCT#68930/ANIMAL SERVICES"</f>
        <v>ACCT#68930/ANIMAL SERVICES</v>
      </c>
    </row>
    <row r="397" spans="1:8" x14ac:dyDescent="0.25">
      <c r="E397" t="str">
        <f>"TB20776"</f>
        <v>TB20776</v>
      </c>
      <c r="F397" t="str">
        <f>"ACCT#68930-000/ANIMAL SVCS"</f>
        <v>ACCT#68930-000/ANIMAL SVCS</v>
      </c>
      <c r="G397" s="2">
        <v>816</v>
      </c>
      <c r="H397" t="str">
        <f>"ACCT#68930-000/ANIMAL SVCS"</f>
        <v>ACCT#68930-000/ANIMAL SVCS</v>
      </c>
    </row>
    <row r="398" spans="1:8" x14ac:dyDescent="0.25">
      <c r="E398" t="str">
        <f>""</f>
        <v/>
      </c>
      <c r="F398" t="str">
        <f>""</f>
        <v/>
      </c>
      <c r="H398" t="str">
        <f>"ACCT#68930-000/ANIMAL SVCS"</f>
        <v>ACCT#68930-000/ANIMAL SVCS</v>
      </c>
    </row>
    <row r="399" spans="1:8" x14ac:dyDescent="0.25">
      <c r="E399" t="str">
        <f>"TB21605"</f>
        <v>TB21605</v>
      </c>
      <c r="F399" t="str">
        <f>"ACCT#68930/ANIMAL SVCS"</f>
        <v>ACCT#68930/ANIMAL SVCS</v>
      </c>
      <c r="G399" s="2">
        <v>233.72</v>
      </c>
      <c r="H399" t="str">
        <f>"ACCT#68930/ANIMAL SVCS"</f>
        <v>ACCT#68930/ANIMAL SVCS</v>
      </c>
    </row>
    <row r="400" spans="1:8" x14ac:dyDescent="0.25">
      <c r="E400" t="str">
        <f>"TC04479"</f>
        <v>TC04479</v>
      </c>
      <c r="F400" t="str">
        <f>"ACCT#68930/ANIMAL SVCS"</f>
        <v>ACCT#68930/ANIMAL SVCS</v>
      </c>
      <c r="G400" s="2">
        <v>159.46</v>
      </c>
      <c r="H400" t="str">
        <f>"ACCT#68930/ANIMAL SVCS"</f>
        <v>ACCT#68930/ANIMAL SVCS</v>
      </c>
    </row>
    <row r="401" spans="1:8" x14ac:dyDescent="0.25">
      <c r="E401" t="str">
        <f>""</f>
        <v/>
      </c>
      <c r="F401" t="str">
        <f>""</f>
        <v/>
      </c>
      <c r="H401" t="str">
        <f>"ACCT#68930/ANIMAL SVCS"</f>
        <v>ACCT#68930/ANIMAL SVCS</v>
      </c>
    </row>
    <row r="402" spans="1:8" x14ac:dyDescent="0.25">
      <c r="E402" t="str">
        <f>"TC72949"</f>
        <v>TC72949</v>
      </c>
      <c r="F402" t="str">
        <f>"ACCT#68930-000/ANIMAL SERVICES"</f>
        <v>ACCT#68930-000/ANIMAL SERVICES</v>
      </c>
      <c r="G402" s="2">
        <v>283.97000000000003</v>
      </c>
      <c r="H402" t="str">
        <f>"ACCT#68930-000/ANIMAL SERVICES"</f>
        <v>ACCT#68930-000/ANIMAL SERVICES</v>
      </c>
    </row>
    <row r="403" spans="1:8" x14ac:dyDescent="0.25">
      <c r="E403" t="str">
        <f>""</f>
        <v/>
      </c>
      <c r="F403" t="str">
        <f>""</f>
        <v/>
      </c>
      <c r="H403" t="str">
        <f>"ACCT#68930-000/ANIMAL SERVICES"</f>
        <v>ACCT#68930-000/ANIMAL SERVICES</v>
      </c>
    </row>
    <row r="404" spans="1:8" x14ac:dyDescent="0.25">
      <c r="E404" t="str">
        <f>"TC73610"</f>
        <v>TC73610</v>
      </c>
      <c r="F404" t="str">
        <f>"ACCT#68930-000/ANIMAL SERVICES"</f>
        <v>ACCT#68930-000/ANIMAL SERVICES</v>
      </c>
      <c r="G404" s="2">
        <v>624.38</v>
      </c>
      <c r="H404" t="str">
        <f>"ACCT#68930-000/ANIMAL SERVICES"</f>
        <v>ACCT#68930-000/ANIMAL SERVICES</v>
      </c>
    </row>
    <row r="405" spans="1:8" x14ac:dyDescent="0.25">
      <c r="A405" t="s">
        <v>83</v>
      </c>
      <c r="B405">
        <v>132504</v>
      </c>
      <c r="C405" s="2">
        <v>727.76</v>
      </c>
      <c r="D405" s="1">
        <v>44039</v>
      </c>
      <c r="E405" t="str">
        <f>"TD39910"</f>
        <v>TD39910</v>
      </c>
      <c r="F405" t="str">
        <f>"ACCT#68930/ANIMAL SERVICES"</f>
        <v>ACCT#68930/ANIMAL SERVICES</v>
      </c>
      <c r="G405" s="2">
        <v>213.34</v>
      </c>
      <c r="H405" t="str">
        <f>"ACCT#68930/ANIMAL SERVICES"</f>
        <v>ACCT#68930/ANIMAL SERVICES</v>
      </c>
    </row>
    <row r="406" spans="1:8" x14ac:dyDescent="0.25">
      <c r="E406" t="str">
        <f>"TD40182"</f>
        <v>TD40182</v>
      </c>
      <c r="F406" t="str">
        <f>"ACCT#68930/ANIMAL SERVICES"</f>
        <v>ACCT#68930/ANIMAL SERVICES</v>
      </c>
      <c r="G406" s="2">
        <v>109.8</v>
      </c>
      <c r="H406" t="str">
        <f>"ACCT#68930/ANIMAL SERVICES"</f>
        <v>ACCT#68930/ANIMAL SERVICES</v>
      </c>
    </row>
    <row r="407" spans="1:8" x14ac:dyDescent="0.25">
      <c r="E407" t="str">
        <f>"TD42966"</f>
        <v>TD42966</v>
      </c>
      <c r="F407" t="str">
        <f>"ACCT#68930/ANIMAL SERVICES"</f>
        <v>ACCT#68930/ANIMAL SERVICES</v>
      </c>
      <c r="G407" s="2">
        <v>264.62</v>
      </c>
      <c r="H407" t="str">
        <f>"ACCT#68930/ANIMAL SERVICES"</f>
        <v>ACCT#68930/ANIMAL SERVICES</v>
      </c>
    </row>
    <row r="408" spans="1:8" x14ac:dyDescent="0.25">
      <c r="E408" t="str">
        <f>"TD43345"</f>
        <v>TD43345</v>
      </c>
      <c r="F408" t="str">
        <f>"ACCT#68930/ANIMAL SERVICES"</f>
        <v>ACCT#68930/ANIMAL SERVICES</v>
      </c>
      <c r="G408" s="2">
        <v>140</v>
      </c>
      <c r="H408" t="str">
        <f>"ACCT#68930/ANIMAL SERVICES"</f>
        <v>ACCT#68930/ANIMAL SERVICES</v>
      </c>
    </row>
    <row r="409" spans="1:8" x14ac:dyDescent="0.25">
      <c r="A409" t="s">
        <v>84</v>
      </c>
      <c r="B409">
        <v>132356</v>
      </c>
      <c r="C409" s="2">
        <v>750</v>
      </c>
      <c r="D409" s="1">
        <v>44025</v>
      </c>
      <c r="E409" t="str">
        <f>"202007017485"</f>
        <v>202007017485</v>
      </c>
      <c r="F409" t="str">
        <f>"PSYCHOLOGICAL EVALUATION"</f>
        <v>PSYCHOLOGICAL EVALUATION</v>
      </c>
      <c r="G409" s="2">
        <v>250</v>
      </c>
      <c r="H409" t="str">
        <f>"PSYCHOLOGICAL EVALUATION"</f>
        <v>PSYCHOLOGICAL EVALUATION</v>
      </c>
    </row>
    <row r="410" spans="1:8" x14ac:dyDescent="0.25">
      <c r="E410" t="str">
        <f>"202007077677"</f>
        <v>202007077677</v>
      </c>
      <c r="F410" t="str">
        <f>"JUNE INVOICE"</f>
        <v>JUNE INVOICE</v>
      </c>
      <c r="G410" s="2">
        <v>500</v>
      </c>
      <c r="H410" t="str">
        <f>"JUNE INVOICE"</f>
        <v>JUNE INVOICE</v>
      </c>
    </row>
    <row r="411" spans="1:8" x14ac:dyDescent="0.25">
      <c r="A411" t="s">
        <v>85</v>
      </c>
      <c r="B411">
        <v>132357</v>
      </c>
      <c r="C411" s="2">
        <v>240</v>
      </c>
      <c r="D411" s="1">
        <v>44025</v>
      </c>
      <c r="E411" t="str">
        <f>"13358"</f>
        <v>13358</v>
      </c>
      <c r="F411" t="str">
        <f>"SERVICE"</f>
        <v>SERVICE</v>
      </c>
      <c r="G411" s="2">
        <v>160</v>
      </c>
      <c r="H411" t="str">
        <f>"SERVICE"</f>
        <v>SERVICE</v>
      </c>
    </row>
    <row r="412" spans="1:8" x14ac:dyDescent="0.25">
      <c r="E412" t="str">
        <f>"13425"</f>
        <v>13425</v>
      </c>
      <c r="F412" t="str">
        <f>"SERVICE"</f>
        <v>SERVICE</v>
      </c>
      <c r="G412" s="2">
        <v>80</v>
      </c>
      <c r="H412" t="str">
        <f>"SERVICE"</f>
        <v>SERVICE</v>
      </c>
    </row>
    <row r="413" spans="1:8" x14ac:dyDescent="0.25">
      <c r="A413" t="s">
        <v>86</v>
      </c>
      <c r="B413">
        <v>132505</v>
      </c>
      <c r="C413" s="2">
        <v>1420</v>
      </c>
      <c r="D413" s="1">
        <v>44039</v>
      </c>
      <c r="E413" t="str">
        <f>"202007177897"</f>
        <v>202007177897</v>
      </c>
      <c r="F413" t="str">
        <f>"15010"</f>
        <v>15010</v>
      </c>
      <c r="G413" s="2">
        <v>820</v>
      </c>
      <c r="H413" t="str">
        <f>"15010"</f>
        <v>15010</v>
      </c>
    </row>
    <row r="414" spans="1:8" x14ac:dyDescent="0.25">
      <c r="E414" t="str">
        <f>"202007217966"</f>
        <v>202007217966</v>
      </c>
      <c r="F414" t="str">
        <f>"423-7192"</f>
        <v>423-7192</v>
      </c>
      <c r="G414" s="2">
        <v>200</v>
      </c>
      <c r="H414" t="str">
        <f>"423-7192"</f>
        <v>423-7192</v>
      </c>
    </row>
    <row r="415" spans="1:8" x14ac:dyDescent="0.25">
      <c r="E415" t="str">
        <f>"202007217967"</f>
        <v>202007217967</v>
      </c>
      <c r="F415" t="str">
        <f>"17 172"</f>
        <v>17 172</v>
      </c>
      <c r="G415" s="2">
        <v>200</v>
      </c>
      <c r="H415" t="str">
        <f>"17 172"</f>
        <v>17 172</v>
      </c>
    </row>
    <row r="416" spans="1:8" x14ac:dyDescent="0.25">
      <c r="E416" t="str">
        <f>"202007217968"</f>
        <v>202007217968</v>
      </c>
      <c r="F416" t="str">
        <f>"20-20171"</f>
        <v>20-20171</v>
      </c>
      <c r="G416" s="2">
        <v>200</v>
      </c>
      <c r="H416" t="str">
        <f>"20-20171"</f>
        <v>20-20171</v>
      </c>
    </row>
    <row r="417" spans="1:8" x14ac:dyDescent="0.25">
      <c r="A417" t="s">
        <v>87</v>
      </c>
      <c r="B417">
        <v>132506</v>
      </c>
      <c r="C417" s="2">
        <v>343.6</v>
      </c>
      <c r="D417" s="1">
        <v>44039</v>
      </c>
      <c r="E417" t="str">
        <f>"1205725"</f>
        <v>1205725</v>
      </c>
      <c r="F417" t="str">
        <f>"INV 1205725"</f>
        <v>INV 1205725</v>
      </c>
      <c r="G417" s="2">
        <v>343.6</v>
      </c>
      <c r="H417" t="str">
        <f>"INV 1205725"</f>
        <v>INV 1205725</v>
      </c>
    </row>
    <row r="418" spans="1:8" x14ac:dyDescent="0.25">
      <c r="A418" t="s">
        <v>88</v>
      </c>
      <c r="B418">
        <v>132358</v>
      </c>
      <c r="C418" s="2">
        <v>100</v>
      </c>
      <c r="D418" s="1">
        <v>44025</v>
      </c>
      <c r="E418" t="str">
        <f>"202007017490"</f>
        <v>202007017490</v>
      </c>
      <c r="F418" t="str">
        <f>"LEGAL CONSULT SVCS-JUNE 2020"</f>
        <v>LEGAL CONSULT SVCS-JUNE 2020</v>
      </c>
      <c r="G418" s="2">
        <v>100</v>
      </c>
      <c r="H418" t="str">
        <f>"LEGAL CONSULT SVCS-JUNE 2020"</f>
        <v>LEGAL CONSULT SVCS-JUNE 2020</v>
      </c>
    </row>
    <row r="419" spans="1:8" x14ac:dyDescent="0.25">
      <c r="A419" t="s">
        <v>89</v>
      </c>
      <c r="B419">
        <v>2798</v>
      </c>
      <c r="C419" s="2">
        <v>697.5</v>
      </c>
      <c r="D419" s="1">
        <v>44026</v>
      </c>
      <c r="E419" t="str">
        <f>"202006307435"</f>
        <v>202006307435</v>
      </c>
      <c r="F419" t="str">
        <f>"20-20096"</f>
        <v>20-20096</v>
      </c>
      <c r="G419" s="2">
        <v>75</v>
      </c>
      <c r="H419" t="str">
        <f>"20-20096"</f>
        <v>20-20096</v>
      </c>
    </row>
    <row r="420" spans="1:8" x14ac:dyDescent="0.25">
      <c r="E420" t="str">
        <f>"202006307436"</f>
        <v>202006307436</v>
      </c>
      <c r="F420" t="str">
        <f>"20-20207"</f>
        <v>20-20207</v>
      </c>
      <c r="G420" s="2">
        <v>202.5</v>
      </c>
      <c r="H420" t="str">
        <f>"20-20207"</f>
        <v>20-20207</v>
      </c>
    </row>
    <row r="421" spans="1:8" x14ac:dyDescent="0.25">
      <c r="E421" t="str">
        <f>"202006307437"</f>
        <v>202006307437</v>
      </c>
      <c r="F421" t="str">
        <f>"19-19967"</f>
        <v>19-19967</v>
      </c>
      <c r="G421" s="2">
        <v>120</v>
      </c>
      <c r="H421" t="str">
        <f>"19-19967"</f>
        <v>19-19967</v>
      </c>
    </row>
    <row r="422" spans="1:8" x14ac:dyDescent="0.25">
      <c r="E422" t="str">
        <f>"202006307438"</f>
        <v>202006307438</v>
      </c>
      <c r="F422" t="str">
        <f>"19-19445"</f>
        <v>19-19445</v>
      </c>
      <c r="G422" s="2">
        <v>75</v>
      </c>
      <c r="H422" t="str">
        <f>"19-19445"</f>
        <v>19-19445</v>
      </c>
    </row>
    <row r="423" spans="1:8" x14ac:dyDescent="0.25">
      <c r="E423" t="str">
        <f>"202006307439"</f>
        <v>202006307439</v>
      </c>
      <c r="F423" t="str">
        <f>"19-19931"</f>
        <v>19-19931</v>
      </c>
      <c r="G423" s="2">
        <v>105</v>
      </c>
      <c r="H423" t="str">
        <f>"19-19931"</f>
        <v>19-19931</v>
      </c>
    </row>
    <row r="424" spans="1:8" x14ac:dyDescent="0.25">
      <c r="E424" t="str">
        <f>"202006307440"</f>
        <v>202006307440</v>
      </c>
      <c r="F424" t="str">
        <f>"19-19866"</f>
        <v>19-19866</v>
      </c>
      <c r="G424" s="2">
        <v>120</v>
      </c>
      <c r="H424" t="str">
        <f>"19-19866"</f>
        <v>19-19866</v>
      </c>
    </row>
    <row r="425" spans="1:8" x14ac:dyDescent="0.25">
      <c r="A425" t="s">
        <v>90</v>
      </c>
      <c r="B425">
        <v>132359</v>
      </c>
      <c r="C425" s="2">
        <v>1594.2</v>
      </c>
      <c r="D425" s="1">
        <v>44025</v>
      </c>
      <c r="E425" t="str">
        <f>"1975995 1981278 19"</f>
        <v>1975995 1981278 19</v>
      </c>
      <c r="F425" t="str">
        <f>"INV 1975995"</f>
        <v>INV 1975995</v>
      </c>
      <c r="G425" s="2">
        <v>1594.2</v>
      </c>
      <c r="H425" t="str">
        <f>"INV 1975995"</f>
        <v>INV 1975995</v>
      </c>
    </row>
    <row r="426" spans="1:8" x14ac:dyDescent="0.25">
      <c r="E426" t="str">
        <f>""</f>
        <v/>
      </c>
      <c r="F426" t="str">
        <f>""</f>
        <v/>
      </c>
      <c r="H426" t="str">
        <f>"INV 1981278"</f>
        <v>INV 1981278</v>
      </c>
    </row>
    <row r="427" spans="1:8" x14ac:dyDescent="0.25">
      <c r="E427" t="str">
        <f>""</f>
        <v/>
      </c>
      <c r="F427" t="str">
        <f>""</f>
        <v/>
      </c>
      <c r="H427" t="str">
        <f>"INV 1986549"</f>
        <v>INV 1986549</v>
      </c>
    </row>
    <row r="428" spans="1:8" x14ac:dyDescent="0.25">
      <c r="A428" t="s">
        <v>90</v>
      </c>
      <c r="B428">
        <v>132507</v>
      </c>
      <c r="C428" s="2">
        <v>1130.76</v>
      </c>
      <c r="D428" s="1">
        <v>44039</v>
      </c>
      <c r="E428" t="str">
        <f>"1991761  1996821"</f>
        <v>1991761  1996821</v>
      </c>
      <c r="F428" t="str">
        <f>"INV 1991761"</f>
        <v>INV 1991761</v>
      </c>
      <c r="G428" s="2">
        <v>1130.76</v>
      </c>
      <c r="H428" t="str">
        <f>"INV 1991761"</f>
        <v>INV 1991761</v>
      </c>
    </row>
    <row r="429" spans="1:8" x14ac:dyDescent="0.25">
      <c r="E429" t="str">
        <f>""</f>
        <v/>
      </c>
      <c r="F429" t="str">
        <f>""</f>
        <v/>
      </c>
      <c r="H429" t="str">
        <f>"INV 1996821"</f>
        <v>INV 1996821</v>
      </c>
    </row>
    <row r="430" spans="1:8" x14ac:dyDescent="0.25">
      <c r="A430" t="s">
        <v>91</v>
      </c>
      <c r="B430">
        <v>132360</v>
      </c>
      <c r="C430" s="2">
        <v>243.97</v>
      </c>
      <c r="D430" s="1">
        <v>44025</v>
      </c>
      <c r="E430" t="str">
        <f>"10400878348"</f>
        <v>10400878348</v>
      </c>
      <c r="F430" t="str">
        <f>"Monitor for Fran Hunter"</f>
        <v>Monitor for Fran Hunter</v>
      </c>
      <c r="G430" s="2">
        <v>199.98</v>
      </c>
      <c r="H430" t="str">
        <f>"Dell 24 Monitor"</f>
        <v>Dell 24 Monitor</v>
      </c>
    </row>
    <row r="431" spans="1:8" x14ac:dyDescent="0.25">
      <c r="E431" t="str">
        <f>""</f>
        <v/>
      </c>
      <c r="F431" t="str">
        <f>""</f>
        <v/>
      </c>
      <c r="H431" t="str">
        <f>"Premier Discount"</f>
        <v>Premier Discount</v>
      </c>
    </row>
    <row r="432" spans="1:8" x14ac:dyDescent="0.25">
      <c r="E432" t="str">
        <f>"10402197339"</f>
        <v>10402197339</v>
      </c>
      <c r="F432" t="str">
        <f>"Graphics Card for NemoQ"</f>
        <v>Graphics Card for NemoQ</v>
      </c>
      <c r="G432" s="2">
        <v>43.99</v>
      </c>
      <c r="H432" t="str">
        <f>"A8763274"</f>
        <v>A8763274</v>
      </c>
    </row>
    <row r="433" spans="1:8" x14ac:dyDescent="0.25">
      <c r="A433" t="s">
        <v>92</v>
      </c>
      <c r="B433">
        <v>2900</v>
      </c>
      <c r="C433" s="2">
        <v>1868.75</v>
      </c>
      <c r="D433" s="1">
        <v>44040</v>
      </c>
      <c r="E433" t="str">
        <f>"BATX016839"</f>
        <v>BATX016839</v>
      </c>
      <c r="F433" t="str">
        <f>"INV BATX016839"</f>
        <v>INV BATX016839</v>
      </c>
      <c r="G433" s="2">
        <v>1868.75</v>
      </c>
      <c r="H433" t="str">
        <f>"INV BATX016839"</f>
        <v>INV BATX016839</v>
      </c>
    </row>
    <row r="434" spans="1:8" x14ac:dyDescent="0.25">
      <c r="A434" t="s">
        <v>93</v>
      </c>
      <c r="B434">
        <v>132361</v>
      </c>
      <c r="C434" s="2">
        <v>18458</v>
      </c>
      <c r="D434" s="1">
        <v>44025</v>
      </c>
      <c r="E434" t="str">
        <f>"20051123N"</f>
        <v>20051123N</v>
      </c>
      <c r="F434" t="str">
        <f>"CUST#PKE5000/MAY 2020"</f>
        <v>CUST#PKE5000/MAY 2020</v>
      </c>
      <c r="G434" s="2">
        <v>18458</v>
      </c>
      <c r="H434" t="str">
        <f>"CUST#PKE5000/MAY 2020"</f>
        <v>CUST#PKE5000/MAY 2020</v>
      </c>
    </row>
    <row r="435" spans="1:8" x14ac:dyDescent="0.25">
      <c r="E435" t="str">
        <f>""</f>
        <v/>
      </c>
      <c r="F435" t="str">
        <f>""</f>
        <v/>
      </c>
      <c r="H435" t="str">
        <f>"CUST#PKE5000/MAY 2020"</f>
        <v>CUST#PKE5000/MAY 2020</v>
      </c>
    </row>
    <row r="436" spans="1:8" x14ac:dyDescent="0.25">
      <c r="A436" t="s">
        <v>93</v>
      </c>
      <c r="B436">
        <v>132508</v>
      </c>
      <c r="C436" s="2">
        <v>18839.439999999999</v>
      </c>
      <c r="D436" s="1">
        <v>44039</v>
      </c>
      <c r="E436" t="str">
        <f>"20061123N"</f>
        <v>20061123N</v>
      </c>
      <c r="F436" t="str">
        <f>"CUST#PKE5000/JUNE 2020"</f>
        <v>CUST#PKE5000/JUNE 2020</v>
      </c>
      <c r="G436" s="2">
        <v>18839.439999999999</v>
      </c>
      <c r="H436" t="str">
        <f>"CUST#PKE5000/JUNE 2020"</f>
        <v>CUST#PKE5000/JUNE 2020</v>
      </c>
    </row>
    <row r="437" spans="1:8" x14ac:dyDescent="0.25">
      <c r="E437" t="str">
        <f>""</f>
        <v/>
      </c>
      <c r="F437" t="str">
        <f>""</f>
        <v/>
      </c>
      <c r="H437" t="str">
        <f>"CUST#PKE5000/JUNE 2020"</f>
        <v>CUST#PKE5000/JUNE 2020</v>
      </c>
    </row>
    <row r="438" spans="1:8" x14ac:dyDescent="0.25">
      <c r="A438" t="s">
        <v>94</v>
      </c>
      <c r="B438">
        <v>132362</v>
      </c>
      <c r="C438" s="2">
        <v>62.73</v>
      </c>
      <c r="D438" s="1">
        <v>44025</v>
      </c>
      <c r="E438" t="str">
        <f>"18182"</f>
        <v>18182</v>
      </c>
      <c r="F438" t="str">
        <f>"ANGLE 20'/CUTTING CHRG/PCT#1"</f>
        <v>ANGLE 20'/CUTTING CHRG/PCT#1</v>
      </c>
      <c r="G438" s="2">
        <v>62.73</v>
      </c>
      <c r="H438" t="str">
        <f>"ANGLE 20'/CUTTING CHRG/PCT#1"</f>
        <v>ANGLE 20'/CUTTING CHRG/PCT#1</v>
      </c>
    </row>
    <row r="439" spans="1:8" x14ac:dyDescent="0.25">
      <c r="A439" t="s">
        <v>95</v>
      </c>
      <c r="B439">
        <v>132363</v>
      </c>
      <c r="C439" s="2">
        <v>211.34</v>
      </c>
      <c r="D439" s="1">
        <v>44025</v>
      </c>
      <c r="E439" t="str">
        <f>"1656"</f>
        <v>1656</v>
      </c>
      <c r="F439" t="str">
        <f>"INV 1656"</f>
        <v>INV 1656</v>
      </c>
      <c r="G439" s="2">
        <v>211.34</v>
      </c>
      <c r="H439" t="str">
        <f>"INV 1656"</f>
        <v>INV 1656</v>
      </c>
    </row>
    <row r="440" spans="1:8" x14ac:dyDescent="0.25">
      <c r="E440" t="str">
        <f>""</f>
        <v/>
      </c>
      <c r="F440" t="str">
        <f>""</f>
        <v/>
      </c>
      <c r="H440" t="str">
        <f>"INV 1656"</f>
        <v>INV 1656</v>
      </c>
    </row>
    <row r="441" spans="1:8" x14ac:dyDescent="0.25">
      <c r="A441" t="s">
        <v>96</v>
      </c>
      <c r="B441">
        <v>132364</v>
      </c>
      <c r="C441" s="2">
        <v>449.5</v>
      </c>
      <c r="D441" s="1">
        <v>44025</v>
      </c>
      <c r="E441" t="str">
        <f>"2851233"</f>
        <v>2851233</v>
      </c>
      <c r="F441" t="str">
        <f>"ACCT#27917/2014 FORD"</f>
        <v>ACCT#27917/2014 FORD</v>
      </c>
      <c r="G441" s="2">
        <v>449.5</v>
      </c>
      <c r="H441" t="str">
        <f>"ACCT#27917/2014 FORD"</f>
        <v>ACCT#27917/2014 FORD</v>
      </c>
    </row>
    <row r="442" spans="1:8" x14ac:dyDescent="0.25">
      <c r="A442" t="s">
        <v>97</v>
      </c>
      <c r="B442">
        <v>132478</v>
      </c>
      <c r="C442" s="2">
        <v>749.4</v>
      </c>
      <c r="D442" s="1">
        <v>44035</v>
      </c>
      <c r="E442" t="str">
        <f>"202007217997"</f>
        <v>202007217997</v>
      </c>
      <c r="F442" t="str">
        <f>"ACCT#405900029213 / 08012020"</f>
        <v>ACCT#405900029213 / 08012020</v>
      </c>
      <c r="G442" s="2">
        <v>374.7</v>
      </c>
      <c r="H442" t="str">
        <f>"ACCT#405900029213 / 08012020"</f>
        <v>ACCT#405900029213 / 08012020</v>
      </c>
    </row>
    <row r="443" spans="1:8" x14ac:dyDescent="0.25">
      <c r="E443" t="str">
        <f>"202007217998"</f>
        <v>202007217998</v>
      </c>
      <c r="F443" t="str">
        <f>"ACCT#405900029225 / 08012020"</f>
        <v>ACCT#405900029225 / 08012020</v>
      </c>
      <c r="G443" s="2">
        <v>187.35</v>
      </c>
      <c r="H443" t="str">
        <f>"ACCT#405900029225 / 08012020"</f>
        <v>ACCT#405900029225 / 08012020</v>
      </c>
    </row>
    <row r="444" spans="1:8" x14ac:dyDescent="0.25">
      <c r="E444" t="str">
        <f>"202007217999"</f>
        <v>202007217999</v>
      </c>
      <c r="F444" t="str">
        <f>"ACCT#405900028789 / 08012020"</f>
        <v>ACCT#405900028789 / 08012020</v>
      </c>
      <c r="G444" s="2">
        <v>187.35</v>
      </c>
      <c r="H444" t="str">
        <f>"ACCT#405900028789 / 08012020"</f>
        <v>ACCT#405900028789 / 08012020</v>
      </c>
    </row>
    <row r="445" spans="1:8" x14ac:dyDescent="0.25">
      <c r="A445" t="s">
        <v>98</v>
      </c>
      <c r="B445">
        <v>2890</v>
      </c>
      <c r="C445" s="2">
        <v>2858.43</v>
      </c>
      <c r="D445" s="1">
        <v>44040</v>
      </c>
      <c r="E445" t="str">
        <f>"29628B"</f>
        <v>29628B</v>
      </c>
      <c r="F445" t="str">
        <f>"INV 29628B"</f>
        <v>INV 29628B</v>
      </c>
      <c r="G445" s="2">
        <v>2858.43</v>
      </c>
      <c r="H445" t="str">
        <f>"INV 29628B"</f>
        <v>INV 29628B</v>
      </c>
    </row>
    <row r="446" spans="1:8" x14ac:dyDescent="0.25">
      <c r="A446" t="s">
        <v>99</v>
      </c>
      <c r="B446">
        <v>132365</v>
      </c>
      <c r="C446" s="2">
        <v>499.49</v>
      </c>
      <c r="D446" s="1">
        <v>44025</v>
      </c>
      <c r="E446" t="str">
        <f>"38477"</f>
        <v>38477</v>
      </c>
      <c r="F446" t="str">
        <f>"ALUMINUM CASTING/PCT#4"</f>
        <v>ALUMINUM CASTING/PCT#4</v>
      </c>
      <c r="G446" s="2">
        <v>499.49</v>
      </c>
      <c r="H446" t="str">
        <f>"ALUMINUM CASTING/PCT#4"</f>
        <v>ALUMINUM CASTING/PCT#4</v>
      </c>
    </row>
    <row r="447" spans="1:8" x14ac:dyDescent="0.25">
      <c r="A447" t="s">
        <v>100</v>
      </c>
      <c r="B447">
        <v>132366</v>
      </c>
      <c r="C447" s="2">
        <v>600</v>
      </c>
      <c r="D447" s="1">
        <v>44025</v>
      </c>
      <c r="E447" t="str">
        <f>"004"</f>
        <v>004</v>
      </c>
      <c r="F447" t="str">
        <f>"INTERPRETER SERVICES"</f>
        <v>INTERPRETER SERVICES</v>
      </c>
      <c r="G447" s="2">
        <v>600</v>
      </c>
      <c r="H447" t="str">
        <f>"INTERPRETER SERVICES"</f>
        <v>INTERPRETER SERVICES</v>
      </c>
    </row>
    <row r="448" spans="1:8" x14ac:dyDescent="0.25">
      <c r="A448" t="s">
        <v>101</v>
      </c>
      <c r="B448">
        <v>2857</v>
      </c>
      <c r="C448" s="2">
        <v>3581.25</v>
      </c>
      <c r="D448" s="1">
        <v>44026</v>
      </c>
      <c r="E448" t="str">
        <f>"202006267392"</f>
        <v>202006267392</v>
      </c>
      <c r="F448" t="str">
        <f>"02-0603-10"</f>
        <v>02-0603-10</v>
      </c>
      <c r="G448" s="2">
        <v>100</v>
      </c>
      <c r="H448" t="str">
        <f>"02-0603-10"</f>
        <v>02-0603-10</v>
      </c>
    </row>
    <row r="449" spans="1:8" x14ac:dyDescent="0.25">
      <c r="E449" t="str">
        <f>"202006267393"</f>
        <v>202006267393</v>
      </c>
      <c r="F449" t="str">
        <f>"17136"</f>
        <v>17136</v>
      </c>
      <c r="G449" s="2">
        <v>400</v>
      </c>
      <c r="H449" t="str">
        <f>"17136"</f>
        <v>17136</v>
      </c>
    </row>
    <row r="450" spans="1:8" x14ac:dyDescent="0.25">
      <c r="E450" t="str">
        <f>"202006267395"</f>
        <v>202006267395</v>
      </c>
      <c r="F450" t="str">
        <f>"C19-0079"</f>
        <v>C19-0079</v>
      </c>
      <c r="G450" s="2">
        <v>400</v>
      </c>
      <c r="H450" t="str">
        <f>"C19-0079"</f>
        <v>C19-0079</v>
      </c>
    </row>
    <row r="451" spans="1:8" x14ac:dyDescent="0.25">
      <c r="E451" t="str">
        <f>"202006307454"</f>
        <v>202006307454</v>
      </c>
      <c r="F451" t="str">
        <f>"19-19713"</f>
        <v>19-19713</v>
      </c>
      <c r="G451" s="2">
        <v>456.25</v>
      </c>
      <c r="H451" t="str">
        <f>"19-19713"</f>
        <v>19-19713</v>
      </c>
    </row>
    <row r="452" spans="1:8" x14ac:dyDescent="0.25">
      <c r="E452" t="str">
        <f>"202006307455"</f>
        <v>202006307455</v>
      </c>
      <c r="F452" t="str">
        <f>"20-20060"</f>
        <v>20-20060</v>
      </c>
      <c r="G452" s="2">
        <v>375</v>
      </c>
      <c r="H452" t="str">
        <f>"20-20060"</f>
        <v>20-20060</v>
      </c>
    </row>
    <row r="453" spans="1:8" x14ac:dyDescent="0.25">
      <c r="E453" t="str">
        <f>"202006307457"</f>
        <v>202006307457</v>
      </c>
      <c r="F453" t="str">
        <f>"19-19940"</f>
        <v>19-19940</v>
      </c>
      <c r="G453" s="2">
        <v>375</v>
      </c>
      <c r="H453" t="str">
        <f>"19-19940"</f>
        <v>19-19940</v>
      </c>
    </row>
    <row r="454" spans="1:8" x14ac:dyDescent="0.25">
      <c r="E454" t="str">
        <f>"202006307458"</f>
        <v>202006307458</v>
      </c>
      <c r="F454" t="str">
        <f>"19-19567"</f>
        <v>19-19567</v>
      </c>
      <c r="G454" s="2">
        <v>175</v>
      </c>
      <c r="H454" t="str">
        <f>"19-19567"</f>
        <v>19-19567</v>
      </c>
    </row>
    <row r="455" spans="1:8" x14ac:dyDescent="0.25">
      <c r="E455" t="str">
        <f>"202006307459"</f>
        <v>202006307459</v>
      </c>
      <c r="F455" t="str">
        <f>"20-20208"</f>
        <v>20-20208</v>
      </c>
      <c r="G455" s="2">
        <v>75</v>
      </c>
      <c r="H455" t="str">
        <f>"20-20208"</f>
        <v>20-20208</v>
      </c>
    </row>
    <row r="456" spans="1:8" x14ac:dyDescent="0.25">
      <c r="E456" t="str">
        <f>"202006307461"</f>
        <v>202006307461</v>
      </c>
      <c r="F456" t="str">
        <f>"J-3217"</f>
        <v>J-3217</v>
      </c>
      <c r="G456" s="2">
        <v>250</v>
      </c>
      <c r="H456" t="str">
        <f>"J-3217"</f>
        <v>J-3217</v>
      </c>
    </row>
    <row r="457" spans="1:8" x14ac:dyDescent="0.25">
      <c r="E457" t="str">
        <f>"202006307463"</f>
        <v>202006307463</v>
      </c>
      <c r="F457" t="str">
        <f>"20200112"</f>
        <v>20200112</v>
      </c>
      <c r="G457" s="2">
        <v>250</v>
      </c>
      <c r="H457" t="str">
        <f>"20200112"</f>
        <v>20200112</v>
      </c>
    </row>
    <row r="458" spans="1:8" x14ac:dyDescent="0.25">
      <c r="E458" t="str">
        <f>"202007037619"</f>
        <v>202007037619</v>
      </c>
      <c r="F458" t="str">
        <f>"J-3183"</f>
        <v>J-3183</v>
      </c>
      <c r="G458" s="2">
        <v>475</v>
      </c>
      <c r="H458" t="str">
        <f>"J-3183"</f>
        <v>J-3183</v>
      </c>
    </row>
    <row r="459" spans="1:8" x14ac:dyDescent="0.25">
      <c r="E459" t="str">
        <f>"202007087814"</f>
        <v>202007087814</v>
      </c>
      <c r="F459" t="str">
        <f>"20180294B"</f>
        <v>20180294B</v>
      </c>
      <c r="G459" s="2">
        <v>250</v>
      </c>
      <c r="H459" t="str">
        <f>"20180294B"</f>
        <v>20180294B</v>
      </c>
    </row>
    <row r="460" spans="1:8" x14ac:dyDescent="0.25">
      <c r="A460" t="s">
        <v>101</v>
      </c>
      <c r="B460">
        <v>2926</v>
      </c>
      <c r="C460" s="2">
        <v>6600</v>
      </c>
      <c r="D460" s="1">
        <v>44040</v>
      </c>
      <c r="E460" t="str">
        <f>"202007157856"</f>
        <v>202007157856</v>
      </c>
      <c r="F460" t="str">
        <f>"17086"</f>
        <v>17086</v>
      </c>
      <c r="G460" s="2">
        <v>600</v>
      </c>
      <c r="H460" t="str">
        <f>"17086"</f>
        <v>17086</v>
      </c>
    </row>
    <row r="461" spans="1:8" x14ac:dyDescent="0.25">
      <c r="E461" t="str">
        <f>"202007157857"</f>
        <v>202007157857</v>
      </c>
      <c r="F461" t="str">
        <f>"17088  20180294"</f>
        <v>17088  20180294</v>
      </c>
      <c r="G461" s="2">
        <v>800</v>
      </c>
      <c r="H461" t="str">
        <f>"17088  20180294"</f>
        <v>17088  20180294</v>
      </c>
    </row>
    <row r="462" spans="1:8" x14ac:dyDescent="0.25">
      <c r="E462" t="str">
        <f>"202007177898"</f>
        <v>202007177898</v>
      </c>
      <c r="F462" t="str">
        <f>"17183  02-0406-4  02-0406-5"</f>
        <v>17183  02-0406-4  02-0406-5</v>
      </c>
      <c r="G462" s="2">
        <v>1050</v>
      </c>
      <c r="H462" t="str">
        <f>"17183  02-0406-4  02-0406-5"</f>
        <v>17183  02-0406-4  02-0406-5</v>
      </c>
    </row>
    <row r="463" spans="1:8" x14ac:dyDescent="0.25">
      <c r="E463" t="str">
        <f>"202007177912"</f>
        <v>202007177912</v>
      </c>
      <c r="F463" t="str">
        <f>"BC20191015BBR"</f>
        <v>BC20191015BBR</v>
      </c>
      <c r="G463" s="2">
        <v>250</v>
      </c>
      <c r="H463" t="str">
        <f>"BC20191015BBR"</f>
        <v>BC20191015BBR</v>
      </c>
    </row>
    <row r="464" spans="1:8" x14ac:dyDescent="0.25">
      <c r="E464" t="str">
        <f>"202007207953"</f>
        <v>202007207953</v>
      </c>
      <c r="F464" t="str">
        <f>"1563-21"</f>
        <v>1563-21</v>
      </c>
      <c r="G464" s="2">
        <v>100</v>
      </c>
      <c r="H464" t="str">
        <f>"1563-21"</f>
        <v>1563-21</v>
      </c>
    </row>
    <row r="465" spans="1:8" x14ac:dyDescent="0.25">
      <c r="E465" t="str">
        <f>"202007207954"</f>
        <v>202007207954</v>
      </c>
      <c r="F465" t="str">
        <f>"1JP9618 A - E"</f>
        <v>1JP9618 A - E</v>
      </c>
      <c r="G465" s="2">
        <v>3700</v>
      </c>
      <c r="H465" t="str">
        <f>"1JP9618 A - E"</f>
        <v>1JP9618 A - E</v>
      </c>
    </row>
    <row r="466" spans="1:8" x14ac:dyDescent="0.25">
      <c r="E466" t="str">
        <f>"202007228011"</f>
        <v>202007228011</v>
      </c>
      <c r="F466" t="str">
        <f>"1568-335"</f>
        <v>1568-335</v>
      </c>
      <c r="G466" s="2">
        <v>100</v>
      </c>
      <c r="H466" t="str">
        <f>"1568-335"</f>
        <v>1568-335</v>
      </c>
    </row>
    <row r="467" spans="1:8" x14ac:dyDescent="0.25">
      <c r="A467" t="s">
        <v>102</v>
      </c>
      <c r="B467">
        <v>132367</v>
      </c>
      <c r="C467" s="2">
        <v>4715.63</v>
      </c>
      <c r="D467" s="1">
        <v>44025</v>
      </c>
      <c r="E467" t="str">
        <f>"15-3313"</f>
        <v>15-3313</v>
      </c>
      <c r="F467" t="str">
        <f>"SCREENED BASE/PCT#3"</f>
        <v>SCREENED BASE/PCT#3</v>
      </c>
      <c r="G467" s="2">
        <v>4715.63</v>
      </c>
      <c r="H467" t="str">
        <f>"SCREENED BASE/PCT#3"</f>
        <v>SCREENED BASE/PCT#3</v>
      </c>
    </row>
    <row r="468" spans="1:8" x14ac:dyDescent="0.25">
      <c r="A468" t="s">
        <v>103</v>
      </c>
      <c r="B468">
        <v>132477</v>
      </c>
      <c r="C468" s="2">
        <v>6820</v>
      </c>
      <c r="D468" s="1">
        <v>44035</v>
      </c>
      <c r="E468" t="str">
        <f>"012-Reissue"</f>
        <v>012-Reissue</v>
      </c>
      <c r="F468" t="str">
        <f>"COMMERCIAL ROAD BASE/PCT#3"</f>
        <v>COMMERCIAL ROAD BASE/PCT#3</v>
      </c>
      <c r="G468" s="2">
        <v>6820</v>
      </c>
      <c r="H468" t="str">
        <f>"COMMERCIAL ROAD BASE/PCT#3"</f>
        <v>COMMERCIAL ROAD BASE/PCT#3</v>
      </c>
    </row>
    <row r="469" spans="1:8" x14ac:dyDescent="0.25">
      <c r="A469" t="s">
        <v>104</v>
      </c>
      <c r="B469">
        <v>2829</v>
      </c>
      <c r="C469" s="2">
        <v>1268.25</v>
      </c>
      <c r="D469" s="1">
        <v>44026</v>
      </c>
      <c r="E469" t="str">
        <f>"6256083053"</f>
        <v>6256083053</v>
      </c>
      <c r="F469" t="str">
        <f>"INV 6256083053"</f>
        <v>INV 6256083053</v>
      </c>
      <c r="G469" s="2">
        <v>1268.25</v>
      </c>
      <c r="H469" t="str">
        <f>"INV 6256083053"</f>
        <v>INV 6256083053</v>
      </c>
    </row>
    <row r="470" spans="1:8" x14ac:dyDescent="0.25">
      <c r="A470" t="s">
        <v>104</v>
      </c>
      <c r="B470">
        <v>2901</v>
      </c>
      <c r="C470" s="2">
        <v>1661.04</v>
      </c>
      <c r="D470" s="1">
        <v>44040</v>
      </c>
      <c r="E470" t="str">
        <f>"6256282446"</f>
        <v>6256282446</v>
      </c>
      <c r="F470" t="str">
        <f>"INV 6256282446"</f>
        <v>INV 6256282446</v>
      </c>
      <c r="G470" s="2">
        <v>1661.04</v>
      </c>
      <c r="H470" t="str">
        <f>"INV 6256282446"</f>
        <v>INV 6256282446</v>
      </c>
    </row>
    <row r="471" spans="1:8" x14ac:dyDescent="0.25">
      <c r="A471" t="s">
        <v>105</v>
      </c>
      <c r="B471">
        <v>132509</v>
      </c>
      <c r="C471" s="2">
        <v>995.19</v>
      </c>
      <c r="D471" s="1">
        <v>44039</v>
      </c>
      <c r="E471" t="str">
        <f>"1144622"</f>
        <v>1144622</v>
      </c>
      <c r="F471" t="str">
        <f>"ACCT#B06875/ELECTIONS"</f>
        <v>ACCT#B06875/ELECTIONS</v>
      </c>
      <c r="G471" s="2">
        <v>995.19</v>
      </c>
      <c r="H471" t="str">
        <f>"ACCT#B06875/ELECTIONS"</f>
        <v>ACCT#B06875/ELECTIONS</v>
      </c>
    </row>
    <row r="472" spans="1:8" x14ac:dyDescent="0.25">
      <c r="A472" t="s">
        <v>106</v>
      </c>
      <c r="B472">
        <v>2828</v>
      </c>
      <c r="C472" s="2">
        <v>565</v>
      </c>
      <c r="D472" s="1">
        <v>44026</v>
      </c>
      <c r="E472" t="str">
        <f>"52421-23557/23558"</f>
        <v>52421-23557/23558</v>
      </c>
      <c r="F472" t="str">
        <f>"Public Notice"</f>
        <v>Public Notice</v>
      </c>
      <c r="G472" s="2">
        <v>280</v>
      </c>
      <c r="H472" t="str">
        <f>"Public Notice"</f>
        <v>Public Notice</v>
      </c>
    </row>
    <row r="473" spans="1:8" x14ac:dyDescent="0.25">
      <c r="E473" t="str">
        <f>"52421-23570 / 2357"</f>
        <v>52421-23570 / 2357</v>
      </c>
      <c r="F473" t="str">
        <f>"Public Notice - 20BCP05A"</f>
        <v>Public Notice - 20BCP05A</v>
      </c>
      <c r="G473" s="2">
        <v>190</v>
      </c>
      <c r="H473" t="str">
        <f>"Public Notice - 20BCP05A"</f>
        <v>Public Notice - 20BCP05A</v>
      </c>
    </row>
    <row r="474" spans="1:8" x14ac:dyDescent="0.25">
      <c r="E474" t="str">
        <f>"52421-23701"</f>
        <v>52421-23701</v>
      </c>
      <c r="F474" t="str">
        <f>"BLACKLANDS PUBLICATIONS INC"</f>
        <v>BLACKLANDS PUBLICATIONS INC</v>
      </c>
      <c r="G474" s="2">
        <v>95</v>
      </c>
      <c r="H474" t="str">
        <f>"Public Notice Ad"</f>
        <v>Public Notice Ad</v>
      </c>
    </row>
    <row r="475" spans="1:8" x14ac:dyDescent="0.25">
      <c r="A475" t="s">
        <v>107</v>
      </c>
      <c r="B475">
        <v>132369</v>
      </c>
      <c r="C475" s="2">
        <v>121.99</v>
      </c>
      <c r="D475" s="1">
        <v>44025</v>
      </c>
      <c r="E475" t="str">
        <f>"897179"</f>
        <v>897179</v>
      </c>
      <c r="F475" t="str">
        <f>"STATEMENT#13655/PCT#4"</f>
        <v>STATEMENT#13655/PCT#4</v>
      </c>
      <c r="G475" s="2">
        <v>121.99</v>
      </c>
      <c r="H475" t="str">
        <f>"STATEMENT#13655/PCT#4"</f>
        <v>STATEMENT#13655/PCT#4</v>
      </c>
    </row>
    <row r="476" spans="1:8" x14ac:dyDescent="0.25">
      <c r="A476" t="s">
        <v>108</v>
      </c>
      <c r="B476">
        <v>132510</v>
      </c>
      <c r="C476" s="2">
        <v>3.42</v>
      </c>
      <c r="D476" s="1">
        <v>44039</v>
      </c>
      <c r="E476" t="str">
        <f>"202007217961"</f>
        <v>202007217961</v>
      </c>
      <c r="F476" t="str">
        <f>"ARREST FEES 04/01/20-06/30/20"</f>
        <v>ARREST FEES 04/01/20-06/30/20</v>
      </c>
      <c r="G476" s="2">
        <v>3.42</v>
      </c>
      <c r="H476" t="str">
        <f>"ARREST FEES 04/01/20-06/30/20"</f>
        <v>ARREST FEES 04/01/20-06/30/20</v>
      </c>
    </row>
    <row r="477" spans="1:8" x14ac:dyDescent="0.25">
      <c r="A477" t="s">
        <v>109</v>
      </c>
      <c r="B477">
        <v>132370</v>
      </c>
      <c r="C477" s="2">
        <v>677.91</v>
      </c>
      <c r="D477" s="1">
        <v>44025</v>
      </c>
      <c r="E477" t="str">
        <f>"202007017512"</f>
        <v>202007017512</v>
      </c>
      <c r="F477" t="str">
        <f>"ELGIN TIF AD VALOREM FY19/20"</f>
        <v>ELGIN TIF AD VALOREM FY19/20</v>
      </c>
      <c r="G477" s="2">
        <v>677.91</v>
      </c>
      <c r="H477" t="str">
        <f>"ELGIN TIF AD VALOREM FY19/20"</f>
        <v>ELGIN TIF AD VALOREM FY19/20</v>
      </c>
    </row>
    <row r="478" spans="1:8" x14ac:dyDescent="0.25">
      <c r="A478" t="s">
        <v>110</v>
      </c>
      <c r="B478">
        <v>132318</v>
      </c>
      <c r="C478" s="2">
        <v>1312.78</v>
      </c>
      <c r="D478" s="1">
        <v>44021</v>
      </c>
      <c r="E478" t="str">
        <f>"202007087834"</f>
        <v>202007087834</v>
      </c>
      <c r="F478" t="str">
        <f>"ACCT#007-0008410-002/06302020"</f>
        <v>ACCT#007-0008410-002/06302020</v>
      </c>
      <c r="G478" s="2">
        <v>227.32</v>
      </c>
      <c r="H478" t="str">
        <f>"ACCT#007-0008410-002/06302020"</f>
        <v>ACCT#007-0008410-002/06302020</v>
      </c>
    </row>
    <row r="479" spans="1:8" x14ac:dyDescent="0.25">
      <c r="E479" t="str">
        <f>"202007087835"</f>
        <v>202007087835</v>
      </c>
      <c r="F479" t="str">
        <f>"ACCT#007-0011501-000/06302020"</f>
        <v>ACCT#007-0011501-000/06302020</v>
      </c>
      <c r="G479" s="2">
        <v>333.52</v>
      </c>
      <c r="H479" t="str">
        <f>"ACCT#007-0011501-000/06302020"</f>
        <v>ACCT#007-0011501-000/06302020</v>
      </c>
    </row>
    <row r="480" spans="1:8" x14ac:dyDescent="0.25">
      <c r="E480" t="str">
        <f>"202007087836"</f>
        <v>202007087836</v>
      </c>
      <c r="F480" t="str">
        <f>"ACCT#007-0011510-000/06302020"</f>
        <v>ACCT#007-0011510-000/06302020</v>
      </c>
      <c r="G480" s="2">
        <v>240.58</v>
      </c>
      <c r="H480" t="str">
        <f>"ACCT#007-0011510-000/06302020"</f>
        <v>ACCT#007-0011510-000/06302020</v>
      </c>
    </row>
    <row r="481" spans="1:8" x14ac:dyDescent="0.25">
      <c r="E481" t="str">
        <f>"202007087837"</f>
        <v>202007087837</v>
      </c>
      <c r="F481" t="str">
        <f>"ACCT#007-0011530-000/06302020"</f>
        <v>ACCT#007-0011530-000/06302020</v>
      </c>
      <c r="G481" s="2">
        <v>98.12</v>
      </c>
      <c r="H481" t="str">
        <f>"ACCT#007-0011530-000/06302020"</f>
        <v>ACCT#007-0011530-000/06302020</v>
      </c>
    </row>
    <row r="482" spans="1:8" x14ac:dyDescent="0.25">
      <c r="E482" t="str">
        <f>"202007087838"</f>
        <v>202007087838</v>
      </c>
      <c r="F482" t="str">
        <f>"ACCT#007-0011534-001/06302020"</f>
        <v>ACCT#007-0011534-001/06302020</v>
      </c>
      <c r="G482" s="2">
        <v>169.3</v>
      </c>
      <c r="H482" t="str">
        <f>"ACCT#007-0011534-001/06302020"</f>
        <v>ACCT#007-0011534-001/06302020</v>
      </c>
    </row>
    <row r="483" spans="1:8" x14ac:dyDescent="0.25">
      <c r="E483" t="str">
        <f>"202007087839"</f>
        <v>202007087839</v>
      </c>
      <c r="F483" t="str">
        <f>"ACCT#007-0011535-000/06302020"</f>
        <v>ACCT#007-0011535-000/06302020</v>
      </c>
      <c r="G483" s="2">
        <v>112.62</v>
      </c>
      <c r="H483" t="str">
        <f>"ACCT#007-0011535-000/06302020"</f>
        <v>ACCT#007-0011535-000/06302020</v>
      </c>
    </row>
    <row r="484" spans="1:8" x14ac:dyDescent="0.25">
      <c r="E484" t="str">
        <f>"202007087840"</f>
        <v>202007087840</v>
      </c>
      <c r="F484" t="str">
        <f>"ACCT#007-0011544-001/06302020"</f>
        <v>ACCT#007-0011544-001/06302020</v>
      </c>
      <c r="G484" s="2">
        <v>131.32</v>
      </c>
      <c r="H484" t="str">
        <f>"ACCT#007-0011544-001/06302020"</f>
        <v>ACCT#007-0011544-001/06302020</v>
      </c>
    </row>
    <row r="485" spans="1:8" x14ac:dyDescent="0.25">
      <c r="A485" t="s">
        <v>111</v>
      </c>
      <c r="B485">
        <v>132371</v>
      </c>
      <c r="C485" s="2">
        <v>750</v>
      </c>
      <c r="D485" s="1">
        <v>44025</v>
      </c>
      <c r="E485" t="str">
        <f>"145-38208-01"</f>
        <v>145-38208-01</v>
      </c>
      <c r="F485" t="str">
        <f>"INV 145-38208-01"</f>
        <v>INV 145-38208-01</v>
      </c>
      <c r="G485" s="2">
        <v>360</v>
      </c>
      <c r="H485" t="str">
        <f>"INV 145-38208-01"</f>
        <v>INV 145-38208-01</v>
      </c>
    </row>
    <row r="486" spans="1:8" x14ac:dyDescent="0.25">
      <c r="E486" t="str">
        <f>"145-39281-01"</f>
        <v>145-39281-01</v>
      </c>
      <c r="F486" t="str">
        <f>"INV 145-39281-01"</f>
        <v>INV 145-39281-01</v>
      </c>
      <c r="G486" s="2">
        <v>60</v>
      </c>
      <c r="H486" t="str">
        <f>"INV 145-39281-01"</f>
        <v>INV 145-39281-01</v>
      </c>
    </row>
    <row r="487" spans="1:8" x14ac:dyDescent="0.25">
      <c r="E487" t="str">
        <f>"145-39392-01"</f>
        <v>145-39392-01</v>
      </c>
      <c r="F487" t="str">
        <f>"CUST#0888336/CEDAR CREEK FOOD"</f>
        <v>CUST#0888336/CEDAR CREEK FOOD</v>
      </c>
      <c r="G487" s="2">
        <v>330</v>
      </c>
      <c r="H487" t="str">
        <f>"CUST#0888336/CEDAR CREEK FOOD"</f>
        <v>CUST#0888336/CEDAR CREEK FOOD</v>
      </c>
    </row>
    <row r="488" spans="1:8" x14ac:dyDescent="0.25">
      <c r="A488" t="s">
        <v>112</v>
      </c>
      <c r="B488">
        <v>132372</v>
      </c>
      <c r="C488" s="2">
        <v>75776.800000000003</v>
      </c>
      <c r="D488" s="1">
        <v>44025</v>
      </c>
      <c r="E488" t="str">
        <f>"9402271164"</f>
        <v>9402271164</v>
      </c>
      <c r="F488" t="str">
        <f>"ACCT#912922/BOL#26796/PCT#1"</f>
        <v>ACCT#912922/BOL#26796/PCT#1</v>
      </c>
      <c r="G488" s="2">
        <v>4070</v>
      </c>
      <c r="H488" t="str">
        <f>"ACCT#912922/BOL#26796/PCT#1"</f>
        <v>ACCT#912922/BOL#26796/PCT#1</v>
      </c>
    </row>
    <row r="489" spans="1:8" x14ac:dyDescent="0.25">
      <c r="E489" t="str">
        <f>"9402271165"</f>
        <v>9402271165</v>
      </c>
      <c r="F489" t="str">
        <f>"ACCT#912923/BOL#26788/PCT#4"</f>
        <v>ACCT#912923/BOL#26788/PCT#4</v>
      </c>
      <c r="G489" s="2">
        <v>12970.86</v>
      </c>
      <c r="H489" t="str">
        <f>"ACCT#912923/BOL#26788/PCT#4"</f>
        <v>ACCT#912923/BOL#26788/PCT#4</v>
      </c>
    </row>
    <row r="490" spans="1:8" x14ac:dyDescent="0.25">
      <c r="E490" t="str">
        <f>"9402272319"</f>
        <v>9402272319</v>
      </c>
      <c r="F490" t="str">
        <f>"ACCT#912922/BOL#26800/PCT#1"</f>
        <v>ACCT#912922/BOL#26800/PCT#1</v>
      </c>
      <c r="G490" s="2">
        <v>12880.08</v>
      </c>
      <c r="H490" t="str">
        <f>"ACCT#912922/BOL#26800/PCT#1"</f>
        <v>ACCT#912922/BOL#26800/PCT#1</v>
      </c>
    </row>
    <row r="491" spans="1:8" x14ac:dyDescent="0.25">
      <c r="E491" t="str">
        <f>"9402274482"</f>
        <v>9402274482</v>
      </c>
      <c r="F491" t="str">
        <f>"ACCT#912922/BOL#26825/PCT#1"</f>
        <v>ACCT#912922/BOL#26825/PCT#1</v>
      </c>
      <c r="G491" s="2">
        <v>1935</v>
      </c>
      <c r="H491" t="str">
        <f>"ACCT#912922/BOL#26825/PCT#1"</f>
        <v>ACCT#912922/BOL#26825/PCT#1</v>
      </c>
    </row>
    <row r="492" spans="1:8" x14ac:dyDescent="0.25">
      <c r="E492" t="str">
        <f>"9402277752"</f>
        <v>9402277752</v>
      </c>
      <c r="F492" t="str">
        <f>"ACCT#912923/BOL#26847/PCT#4"</f>
        <v>ACCT#912923/BOL#26847/PCT#4</v>
      </c>
      <c r="G492" s="2">
        <v>6065.6</v>
      </c>
      <c r="H492" t="str">
        <f>"ACCT#912923/BOL#26847/PCT#4"</f>
        <v>ACCT#912923/BOL#26847/PCT#4</v>
      </c>
    </row>
    <row r="493" spans="1:8" x14ac:dyDescent="0.25">
      <c r="E493" t="str">
        <f>"9402278849"</f>
        <v>9402278849</v>
      </c>
      <c r="F493" t="str">
        <f>"ACCT#912922/BOL#26855/PCT#1"</f>
        <v>ACCT#912922/BOL#26855/PCT#1</v>
      </c>
      <c r="G493" s="2">
        <v>12976.2</v>
      </c>
      <c r="H493" t="str">
        <f>"ACCT#912922/BOL#26855/PCT#1"</f>
        <v>ACCT#912922/BOL#26855/PCT#1</v>
      </c>
    </row>
    <row r="494" spans="1:8" x14ac:dyDescent="0.25">
      <c r="E494" t="str">
        <f>"9402280038"</f>
        <v>9402280038</v>
      </c>
      <c r="F494" t="str">
        <f>"ACCT#912923/BOL#26862/PCT#4"</f>
        <v>ACCT#912923/BOL#26862/PCT#4</v>
      </c>
      <c r="G494" s="2">
        <v>12944.16</v>
      </c>
      <c r="H494" t="str">
        <f>"ACCT#912923/BOL#26862/PCT#4"</f>
        <v>ACCT#912923/BOL#26862/PCT#4</v>
      </c>
    </row>
    <row r="495" spans="1:8" x14ac:dyDescent="0.25">
      <c r="E495" t="str">
        <f>"9402280920"</f>
        <v>9402280920</v>
      </c>
      <c r="F495" t="str">
        <f>"ACCT#912922/BOL#26864/PCT#1"</f>
        <v>ACCT#912922/BOL#26864/PCT#1</v>
      </c>
      <c r="G495" s="2">
        <v>11934.9</v>
      </c>
      <c r="H495" t="str">
        <f>"ACCT#912922/BOL#26864/PCT#1"</f>
        <v>ACCT#912922/BOL#26864/PCT#1</v>
      </c>
    </row>
    <row r="496" spans="1:8" x14ac:dyDescent="0.25">
      <c r="A496" t="s">
        <v>112</v>
      </c>
      <c r="B496">
        <v>132511</v>
      </c>
      <c r="C496" s="2">
        <v>41881.620000000003</v>
      </c>
      <c r="D496" s="1">
        <v>44039</v>
      </c>
      <c r="E496" t="str">
        <f>"9402288152"</f>
        <v>9402288152</v>
      </c>
      <c r="F496" t="str">
        <f>"ACCT#912897/BOL#26938/PCT#3"</f>
        <v>ACCT#912897/BOL#26938/PCT#3</v>
      </c>
      <c r="G496" s="2">
        <v>14492.16</v>
      </c>
      <c r="H496" t="str">
        <f>"ACCT#912897/BOL#26938/PCT#3"</f>
        <v>ACCT#912897/BOL#26938/PCT#3</v>
      </c>
    </row>
    <row r="497" spans="1:8" x14ac:dyDescent="0.25">
      <c r="E497" t="str">
        <f>"9402290494"</f>
        <v>9402290494</v>
      </c>
      <c r="F497" t="str">
        <f>"ACCT#912923/BOL#26968/PCT#4"</f>
        <v>ACCT#912923/BOL#26968/PCT#4</v>
      </c>
      <c r="G497" s="2">
        <v>13627.68</v>
      </c>
      <c r="H497" t="str">
        <f>"ACCT#912923/BOL#26968/PCT#4"</f>
        <v>ACCT#912923/BOL#26968/PCT#4</v>
      </c>
    </row>
    <row r="498" spans="1:8" x14ac:dyDescent="0.25">
      <c r="E498" t="str">
        <f>"9402291624"</f>
        <v>9402291624</v>
      </c>
      <c r="F498" t="str">
        <f>"ACCT#912923/BOL#26974/PCT#4"</f>
        <v>ACCT#912923/BOL#26974/PCT#4</v>
      </c>
      <c r="G498" s="2">
        <v>11571.78</v>
      </c>
      <c r="H498" t="str">
        <f>"ACCT#912923/BOL#26974/PCT#4"</f>
        <v>ACCT#912923/BOL#26974/PCT#4</v>
      </c>
    </row>
    <row r="499" spans="1:8" x14ac:dyDescent="0.25">
      <c r="E499" t="str">
        <f>"9402294707"</f>
        <v>9402294707</v>
      </c>
      <c r="F499" t="str">
        <f>"ACCT#912922/BOL#26886/PCT#1"</f>
        <v>ACCT#912922/BOL#26886/PCT#1</v>
      </c>
      <c r="G499" s="2">
        <v>2190</v>
      </c>
      <c r="H499" t="str">
        <f>"ACCT#912922/BOL#26886/PCT#1"</f>
        <v>ACCT#912922/BOL#26886/PCT#1</v>
      </c>
    </row>
    <row r="500" spans="1:8" x14ac:dyDescent="0.25">
      <c r="A500" t="s">
        <v>113</v>
      </c>
      <c r="B500">
        <v>132373</v>
      </c>
      <c r="C500" s="2">
        <v>31.05</v>
      </c>
      <c r="D500" s="1">
        <v>44025</v>
      </c>
      <c r="E500" t="str">
        <f>"202007077669"</f>
        <v>202007077669</v>
      </c>
      <c r="F500" t="str">
        <f>"MILEAGE REIMBURSEMENT"</f>
        <v>MILEAGE REIMBURSEMENT</v>
      </c>
      <c r="G500" s="2">
        <v>31.05</v>
      </c>
      <c r="H500" t="str">
        <f>"MILEAGE REIMBURSEMENT"</f>
        <v>MILEAGE REIMBURSEMENT</v>
      </c>
    </row>
    <row r="501" spans="1:8" x14ac:dyDescent="0.25">
      <c r="A501" t="s">
        <v>114</v>
      </c>
      <c r="B501">
        <v>2916</v>
      </c>
      <c r="C501" s="2">
        <v>111.42</v>
      </c>
      <c r="D501" s="1">
        <v>44040</v>
      </c>
      <c r="E501" t="str">
        <f>"3428256"</f>
        <v>3428256</v>
      </c>
      <c r="F501" t="str">
        <f>"ACCT#00405/PART/FREIGHT/PCT#3"</f>
        <v>ACCT#00405/PART/FREIGHT/PCT#3</v>
      </c>
      <c r="G501" s="2">
        <v>111.42</v>
      </c>
      <c r="H501" t="str">
        <f>"ACCT#00405/PART/FREIGHT/PCT#3"</f>
        <v>ACCT#00405/PART/FREIGHT/PCT#3</v>
      </c>
    </row>
    <row r="502" spans="1:8" x14ac:dyDescent="0.25">
      <c r="A502" t="s">
        <v>115</v>
      </c>
      <c r="B502">
        <v>2896</v>
      </c>
      <c r="C502" s="2">
        <v>8599.57</v>
      </c>
      <c r="D502" s="1">
        <v>44040</v>
      </c>
      <c r="E502" t="str">
        <f>"202007217958"</f>
        <v>202007217958</v>
      </c>
      <c r="F502" t="str">
        <f>"APRIL 1ST-JULY 20TH/PID WORK"</f>
        <v>APRIL 1ST-JULY 20TH/PID WORK</v>
      </c>
      <c r="G502" s="2">
        <v>8599.57</v>
      </c>
      <c r="H502" t="str">
        <f>"APRIL 1ST-JULY 20TH/PID WORK"</f>
        <v>APRIL 1ST-JULY 20TH/PID WORK</v>
      </c>
    </row>
    <row r="503" spans="1:8" x14ac:dyDescent="0.25">
      <c r="A503" t="s">
        <v>116</v>
      </c>
      <c r="B503">
        <v>2830</v>
      </c>
      <c r="C503" s="2">
        <v>17073.46</v>
      </c>
      <c r="D503" s="1">
        <v>44026</v>
      </c>
      <c r="E503" t="str">
        <f>"202006237375"</f>
        <v>202006237375</v>
      </c>
      <c r="F503" t="str">
        <f>"GRANT REIMBURSEMENT"</f>
        <v>GRANT REIMBURSEMENT</v>
      </c>
      <c r="G503" s="2">
        <v>9072.5</v>
      </c>
      <c r="H503" t="str">
        <f>"GRANT REIMBURSEMENT"</f>
        <v>GRANT REIMBURSEMENT</v>
      </c>
    </row>
    <row r="504" spans="1:8" x14ac:dyDescent="0.25">
      <c r="E504" t="str">
        <f>"202006237376"</f>
        <v>202006237376</v>
      </c>
      <c r="F504" t="str">
        <f>"GRANT REIMBURSEMENT"</f>
        <v>GRANT REIMBURSEMENT</v>
      </c>
      <c r="G504" s="2">
        <v>8000.96</v>
      </c>
      <c r="H504" t="str">
        <f>"GRANT REIMBURSEMENT"</f>
        <v>GRANT REIMBURSEMENT</v>
      </c>
    </row>
    <row r="505" spans="1:8" x14ac:dyDescent="0.25">
      <c r="A505" t="s">
        <v>116</v>
      </c>
      <c r="B505">
        <v>2902</v>
      </c>
      <c r="C505" s="2">
        <v>12345.79</v>
      </c>
      <c r="D505" s="1">
        <v>44040</v>
      </c>
      <c r="E505" t="str">
        <f>"202007228014"</f>
        <v>202007228014</v>
      </c>
      <c r="F505" t="str">
        <f>"GRANT REIMBURSEMENT - JUNE"</f>
        <v>GRANT REIMBURSEMENT - JUNE</v>
      </c>
      <c r="G505" s="2">
        <v>12345.79</v>
      </c>
      <c r="H505" t="str">
        <f>"GRANT REIMBURSEMENT - JUNE"</f>
        <v>GRANT REIMBURSEMENT - JUNE</v>
      </c>
    </row>
    <row r="506" spans="1:8" x14ac:dyDescent="0.25">
      <c r="A506" t="s">
        <v>117</v>
      </c>
      <c r="B506">
        <v>2831</v>
      </c>
      <c r="C506" s="2">
        <v>250</v>
      </c>
      <c r="D506" s="1">
        <v>44026</v>
      </c>
      <c r="E506" t="str">
        <f>"202006307441"</f>
        <v>202006307441</v>
      </c>
      <c r="F506" t="str">
        <f>"57265"</f>
        <v>57265</v>
      </c>
      <c r="G506" s="2">
        <v>250</v>
      </c>
      <c r="H506" t="str">
        <f>"57265"</f>
        <v>57265</v>
      </c>
    </row>
    <row r="507" spans="1:8" x14ac:dyDescent="0.25">
      <c r="A507" t="s">
        <v>118</v>
      </c>
      <c r="B507">
        <v>2825</v>
      </c>
      <c r="C507" s="2">
        <v>572.07000000000005</v>
      </c>
      <c r="D507" s="1">
        <v>44026</v>
      </c>
      <c r="E507" t="str">
        <f>"43217AP"</f>
        <v>43217AP</v>
      </c>
      <c r="F507" t="str">
        <f>"ACCT#3325/PCT#2"</f>
        <v>ACCT#3325/PCT#2</v>
      </c>
      <c r="G507" s="2">
        <v>215.17</v>
      </c>
      <c r="H507" t="str">
        <f>"ACCT#3325/PCT#2"</f>
        <v>ACCT#3325/PCT#2</v>
      </c>
    </row>
    <row r="508" spans="1:8" x14ac:dyDescent="0.25">
      <c r="E508" t="str">
        <f>"43711AP"</f>
        <v>43711AP</v>
      </c>
      <c r="F508" t="str">
        <f>"ACCT#3324/SENSOR/PCT#3"</f>
        <v>ACCT#3324/SENSOR/PCT#3</v>
      </c>
      <c r="G508" s="2">
        <v>35.64</v>
      </c>
      <c r="H508" t="str">
        <f>"ACCT#3324/SENSOR/PCT#3"</f>
        <v>ACCT#3324/SENSOR/PCT#3</v>
      </c>
    </row>
    <row r="509" spans="1:8" x14ac:dyDescent="0.25">
      <c r="E509" t="str">
        <f>"44160AP"</f>
        <v>44160AP</v>
      </c>
      <c r="F509" t="str">
        <f>"ACCT#3325/PCT#2"</f>
        <v>ACCT#3325/PCT#2</v>
      </c>
      <c r="G509" s="2">
        <v>321.26</v>
      </c>
      <c r="H509" t="str">
        <f>"ACCT#3325/PCT#2"</f>
        <v>ACCT#3325/PCT#2</v>
      </c>
    </row>
    <row r="510" spans="1:8" x14ac:dyDescent="0.25">
      <c r="A510" t="s">
        <v>119</v>
      </c>
      <c r="B510">
        <v>2832</v>
      </c>
      <c r="C510" s="2">
        <v>335.83</v>
      </c>
      <c r="D510" s="1">
        <v>44026</v>
      </c>
      <c r="E510" t="str">
        <f>"111957"</f>
        <v>111957</v>
      </c>
      <c r="F510" t="str">
        <f>"INV GC 111957"</f>
        <v>INV GC 111957</v>
      </c>
      <c r="G510" s="2">
        <v>40.96</v>
      </c>
      <c r="H510" t="str">
        <f>"INV GC 111957"</f>
        <v>INV GC 111957</v>
      </c>
    </row>
    <row r="511" spans="1:8" x14ac:dyDescent="0.25">
      <c r="E511" t="str">
        <f>"112006"</f>
        <v>112006</v>
      </c>
      <c r="F511" t="str">
        <f>"WARNING NOTICE-ANIMAL CONTROL"</f>
        <v>WARNING NOTICE-ANIMAL CONTROL</v>
      </c>
      <c r="G511" s="2">
        <v>131.03</v>
      </c>
      <c r="H511" t="str">
        <f>"WARNING NOTICE-ANIMAL CONTROL"</f>
        <v>WARNING NOTICE-ANIMAL CONTROL</v>
      </c>
    </row>
    <row r="512" spans="1:8" x14ac:dyDescent="0.25">
      <c r="E512" t="str">
        <f>"GC 111958"</f>
        <v>GC 111958</v>
      </c>
      <c r="F512" t="str">
        <f>"INV GC 111958"</f>
        <v>INV GC 111958</v>
      </c>
      <c r="G512" s="2">
        <v>163.84</v>
      </c>
      <c r="H512" t="str">
        <f>"INV GC 111958"</f>
        <v>INV GC 111958</v>
      </c>
    </row>
    <row r="513" spans="1:8" x14ac:dyDescent="0.25">
      <c r="A513" t="s">
        <v>119</v>
      </c>
      <c r="B513">
        <v>2903</v>
      </c>
      <c r="C513" s="2">
        <v>379.42</v>
      </c>
      <c r="D513" s="1">
        <v>44040</v>
      </c>
      <c r="E513" t="str">
        <f>"112067"</f>
        <v>112067</v>
      </c>
      <c r="F513" t="str">
        <f>"COPY PAPER - EXTENSION OFFICE"</f>
        <v>COPY PAPER - EXTENSION OFFICE</v>
      </c>
      <c r="G513" s="2">
        <v>297.5</v>
      </c>
      <c r="H513" t="str">
        <f>"COPY PAPER - EXTENSION OFFICE"</f>
        <v>COPY PAPER - EXTENSION OFFICE</v>
      </c>
    </row>
    <row r="514" spans="1:8" x14ac:dyDescent="0.25">
      <c r="E514" t="str">
        <f>"112096  112115"</f>
        <v>112096  112115</v>
      </c>
      <c r="F514" t="str">
        <f>"INV GC 112096/ GC 112115"</f>
        <v>INV GC 112096/ GC 112115</v>
      </c>
      <c r="G514" s="2">
        <v>81.92</v>
      </c>
      <c r="H514" t="str">
        <f>"INV GC 112096"</f>
        <v>INV GC 112096</v>
      </c>
    </row>
    <row r="515" spans="1:8" x14ac:dyDescent="0.25">
      <c r="E515" t="str">
        <f>""</f>
        <v/>
      </c>
      <c r="F515" t="str">
        <f>""</f>
        <v/>
      </c>
      <c r="H515" t="str">
        <f>"INV GC 112115"</f>
        <v>INV GC 112115</v>
      </c>
    </row>
    <row r="516" spans="1:8" x14ac:dyDescent="0.25">
      <c r="A516" t="s">
        <v>120</v>
      </c>
      <c r="B516">
        <v>132512</v>
      </c>
      <c r="C516" s="2">
        <v>2938.98</v>
      </c>
      <c r="D516" s="1">
        <v>44039</v>
      </c>
      <c r="E516" t="str">
        <f>"014599032"</f>
        <v>014599032</v>
      </c>
      <c r="F516" t="str">
        <f>"INV 014599032"</f>
        <v>INV 014599032</v>
      </c>
      <c r="G516" s="2">
        <v>2105</v>
      </c>
      <c r="H516" t="str">
        <f>"INV 014599032"</f>
        <v>INV 014599032</v>
      </c>
    </row>
    <row r="517" spans="1:8" x14ac:dyDescent="0.25">
      <c r="E517" t="str">
        <f>""</f>
        <v/>
      </c>
      <c r="F517" t="str">
        <f>""</f>
        <v/>
      </c>
      <c r="H517" t="str">
        <f>"INV 014599032"</f>
        <v>INV 014599032</v>
      </c>
    </row>
    <row r="518" spans="1:8" x14ac:dyDescent="0.25">
      <c r="E518" t="str">
        <f>""</f>
        <v/>
      </c>
      <c r="F518" t="str">
        <f>""</f>
        <v/>
      </c>
      <c r="H518" t="str">
        <f>"INV 014599032"</f>
        <v>INV 014599032</v>
      </c>
    </row>
    <row r="519" spans="1:8" x14ac:dyDescent="0.25">
      <c r="E519" t="str">
        <f>"016032822/01604075"</f>
        <v>016032822/01604075</v>
      </c>
      <c r="F519" t="str">
        <f>"INV 016032822/016040753"</f>
        <v>INV 016032822/016040753</v>
      </c>
      <c r="G519" s="2">
        <v>13.98</v>
      </c>
      <c r="H519" t="str">
        <f>"INV 016032822/016040753"</f>
        <v>INV 016032822/016040753</v>
      </c>
    </row>
    <row r="520" spans="1:8" x14ac:dyDescent="0.25">
      <c r="E520" t="str">
        <f>""</f>
        <v/>
      </c>
      <c r="F520" t="str">
        <f>""</f>
        <v/>
      </c>
      <c r="H520" t="str">
        <f>"INV 016032822/016040753"</f>
        <v>INV 016032822/016040753</v>
      </c>
    </row>
    <row r="521" spans="1:8" x14ac:dyDescent="0.25">
      <c r="E521" t="str">
        <f>"016040238"</f>
        <v>016040238</v>
      </c>
      <c r="F521" t="str">
        <f>"INV 016040238"</f>
        <v>INV 016040238</v>
      </c>
      <c r="G521" s="2">
        <v>820</v>
      </c>
      <c r="H521" t="str">
        <f>"INV 016040238"</f>
        <v>INV 016040238</v>
      </c>
    </row>
    <row r="522" spans="1:8" x14ac:dyDescent="0.25">
      <c r="E522" t="str">
        <f>""</f>
        <v/>
      </c>
      <c r="F522" t="str">
        <f>""</f>
        <v/>
      </c>
      <c r="H522" t="str">
        <f>"INV 016040238"</f>
        <v>INV 016040238</v>
      </c>
    </row>
    <row r="523" spans="1:8" x14ac:dyDescent="0.25">
      <c r="A523" t="s">
        <v>121</v>
      </c>
      <c r="B523">
        <v>132374</v>
      </c>
      <c r="C523" s="2">
        <v>1275</v>
      </c>
      <c r="D523" s="1">
        <v>44025</v>
      </c>
      <c r="E523" t="str">
        <f>"1105"</f>
        <v>1105</v>
      </c>
      <c r="F523" t="str">
        <f>"TRANSPORT - K.H. CRENSHAW"</f>
        <v>TRANSPORT - K.H. CRENSHAW</v>
      </c>
      <c r="G523" s="2">
        <v>425</v>
      </c>
      <c r="H523" t="str">
        <f>"TRANSPORT - K.H. CRENSHAW"</f>
        <v>TRANSPORT - K.H. CRENSHAW</v>
      </c>
    </row>
    <row r="524" spans="1:8" x14ac:dyDescent="0.25">
      <c r="E524" t="str">
        <f>"1107"</f>
        <v>1107</v>
      </c>
      <c r="F524" t="str">
        <f>"TRANSPORT - J.C. WELLS"</f>
        <v>TRANSPORT - J.C. WELLS</v>
      </c>
      <c r="G524" s="2">
        <v>425</v>
      </c>
      <c r="H524" t="str">
        <f>"TRANSPORT - J.C. WELLS"</f>
        <v>TRANSPORT - J.C. WELLS</v>
      </c>
    </row>
    <row r="525" spans="1:8" x14ac:dyDescent="0.25">
      <c r="E525" t="str">
        <f>"1108"</f>
        <v>1108</v>
      </c>
      <c r="F525" t="str">
        <f>"TRANSPORT - B.C. OWENS"</f>
        <v>TRANSPORT - B.C. OWENS</v>
      </c>
      <c r="G525" s="2">
        <v>425</v>
      </c>
      <c r="H525" t="str">
        <f>"TRANSPORT - B.C. OWENS"</f>
        <v>TRANSPORT - B.C. OWENS</v>
      </c>
    </row>
    <row r="526" spans="1:8" x14ac:dyDescent="0.25">
      <c r="A526" t="s">
        <v>121</v>
      </c>
      <c r="B526">
        <v>132513</v>
      </c>
      <c r="C526" s="2">
        <v>425</v>
      </c>
      <c r="D526" s="1">
        <v>44039</v>
      </c>
      <c r="E526" t="str">
        <f>"1109"</f>
        <v>1109</v>
      </c>
      <c r="F526" t="str">
        <f>"TRANSPORT - L.M. GLADWELL"</f>
        <v>TRANSPORT - L.M. GLADWELL</v>
      </c>
      <c r="G526" s="2">
        <v>425</v>
      </c>
      <c r="H526" t="str">
        <f>"TRANSPORT - L.M. GLADWELL"</f>
        <v>TRANSPORT - L.M. GLADWELL</v>
      </c>
    </row>
    <row r="527" spans="1:8" x14ac:dyDescent="0.25">
      <c r="A527" t="s">
        <v>122</v>
      </c>
      <c r="B527">
        <v>132375</v>
      </c>
      <c r="C527" s="2">
        <v>131.47999999999999</v>
      </c>
      <c r="D527" s="1">
        <v>44025</v>
      </c>
      <c r="E527" t="str">
        <f>"0322106"</f>
        <v>0322106</v>
      </c>
      <c r="F527" t="str">
        <f>"JOB#021592/RECORDING PAPER"</f>
        <v>JOB#021592/RECORDING PAPER</v>
      </c>
      <c r="G527" s="2">
        <v>131.47999999999999</v>
      </c>
      <c r="H527" t="str">
        <f>"JOB#021592/RECORDING PAPER"</f>
        <v>JOB#021592/RECORDING PAPER</v>
      </c>
    </row>
    <row r="528" spans="1:8" x14ac:dyDescent="0.25">
      <c r="A528" t="s">
        <v>123</v>
      </c>
      <c r="B528">
        <v>132376</v>
      </c>
      <c r="C528" s="2">
        <v>4793.6099999999997</v>
      </c>
      <c r="D528" s="1">
        <v>44025</v>
      </c>
      <c r="E528" t="str">
        <f>"37399"</f>
        <v>37399</v>
      </c>
      <c r="F528" t="str">
        <f>"ORD#212460/PCT#2"</f>
        <v>ORD#212460/PCT#2</v>
      </c>
      <c r="G528" s="2">
        <v>4793.6099999999997</v>
      </c>
      <c r="H528" t="str">
        <f>"ORD#212460/PCT#2"</f>
        <v>ORD#212460/PCT#2</v>
      </c>
    </row>
    <row r="529" spans="1:8" x14ac:dyDescent="0.25">
      <c r="A529" t="s">
        <v>124</v>
      </c>
      <c r="B529">
        <v>2833</v>
      </c>
      <c r="C529" s="2">
        <v>1473.03</v>
      </c>
      <c r="D529" s="1">
        <v>44026</v>
      </c>
      <c r="E529" t="str">
        <f>"INV0774107"</f>
        <v>INV0774107</v>
      </c>
      <c r="F529" t="str">
        <f>"INV0774107"</f>
        <v>INV0774107</v>
      </c>
      <c r="G529" s="2">
        <v>623.03</v>
      </c>
      <c r="H529" t="str">
        <f>"INV0774107"</f>
        <v>INV0774107</v>
      </c>
    </row>
    <row r="530" spans="1:8" x14ac:dyDescent="0.25">
      <c r="E530" t="str">
        <f>"INV0776992"</f>
        <v>INV0776992</v>
      </c>
      <c r="F530" t="str">
        <f>"INV0776992"</f>
        <v>INV0776992</v>
      </c>
      <c r="G530" s="2">
        <v>850</v>
      </c>
      <c r="H530" t="str">
        <f>"INV0776992"</f>
        <v>INV0776992</v>
      </c>
    </row>
    <row r="531" spans="1:8" x14ac:dyDescent="0.25">
      <c r="E531" t="str">
        <f>""</f>
        <v/>
      </c>
      <c r="F531" t="str">
        <f>""</f>
        <v/>
      </c>
      <c r="H531" t="str">
        <f>"INV0776992"</f>
        <v>INV0776992</v>
      </c>
    </row>
    <row r="532" spans="1:8" x14ac:dyDescent="0.25">
      <c r="A532" t="s">
        <v>124</v>
      </c>
      <c r="B532">
        <v>2904</v>
      </c>
      <c r="C532" s="2">
        <v>6418</v>
      </c>
      <c r="D532" s="1">
        <v>44040</v>
      </c>
      <c r="E532" t="str">
        <f>"INV0777276"</f>
        <v>INV0777276</v>
      </c>
      <c r="F532" t="str">
        <f>"INV0777276"</f>
        <v>INV0777276</v>
      </c>
      <c r="G532" s="2">
        <v>22.4</v>
      </c>
      <c r="H532" t="str">
        <f>"INV0777276"</f>
        <v>INV0777276</v>
      </c>
    </row>
    <row r="533" spans="1:8" x14ac:dyDescent="0.25">
      <c r="E533" t="str">
        <f>"INV0777778"</f>
        <v>INV0777778</v>
      </c>
      <c r="F533" t="str">
        <f>"INV0777778"</f>
        <v>INV0777778</v>
      </c>
      <c r="G533" s="2">
        <v>171.92</v>
      </c>
      <c r="H533" t="str">
        <f>"INV0777778"</f>
        <v>INV0777778</v>
      </c>
    </row>
    <row r="534" spans="1:8" x14ac:dyDescent="0.25">
      <c r="E534" t="str">
        <f>"INV0778501"</f>
        <v>INV0778501</v>
      </c>
      <c r="F534" t="str">
        <f>"INV0778501"</f>
        <v>INV0778501</v>
      </c>
      <c r="G534" s="2">
        <v>2987.5</v>
      </c>
      <c r="H534" t="str">
        <f>"INV0778501"</f>
        <v>INV0778501</v>
      </c>
    </row>
    <row r="535" spans="1:8" x14ac:dyDescent="0.25">
      <c r="E535" t="str">
        <f>"INV0778681"</f>
        <v>INV0778681</v>
      </c>
      <c r="F535" t="str">
        <f>"INV0778681"</f>
        <v>INV0778681</v>
      </c>
      <c r="G535" s="2">
        <v>2643.68</v>
      </c>
      <c r="H535" t="str">
        <f>"INV0778681"</f>
        <v>INV0778681</v>
      </c>
    </row>
    <row r="536" spans="1:8" x14ac:dyDescent="0.25">
      <c r="E536" t="str">
        <f>"INV0779725"</f>
        <v>INV0779725</v>
      </c>
      <c r="F536" t="str">
        <f>"INV0779725"</f>
        <v>INV0779725</v>
      </c>
      <c r="G536" s="2">
        <v>592.5</v>
      </c>
      <c r="H536" t="str">
        <f>"INV0779725"</f>
        <v>INV0779725</v>
      </c>
    </row>
    <row r="537" spans="1:8" x14ac:dyDescent="0.25">
      <c r="A537" t="s">
        <v>125</v>
      </c>
      <c r="B537">
        <v>2847</v>
      </c>
      <c r="C537" s="2">
        <v>366.6</v>
      </c>
      <c r="D537" s="1">
        <v>44026</v>
      </c>
      <c r="E537" t="str">
        <f>"1881990"</f>
        <v>1881990</v>
      </c>
      <c r="F537" t="str">
        <f>"INV 1881990"</f>
        <v>INV 1881990</v>
      </c>
      <c r="G537" s="2">
        <v>366.6</v>
      </c>
      <c r="H537" t="str">
        <f>"INV 1881990"</f>
        <v>INV 1881990</v>
      </c>
    </row>
    <row r="538" spans="1:8" x14ac:dyDescent="0.25">
      <c r="A538" t="s">
        <v>125</v>
      </c>
      <c r="B538">
        <v>2917</v>
      </c>
      <c r="C538" s="2">
        <v>3521.1</v>
      </c>
      <c r="D538" s="1">
        <v>44040</v>
      </c>
      <c r="E538" t="str">
        <f>"1865288  1892112"</f>
        <v>1865288  1892112</v>
      </c>
      <c r="F538" t="str">
        <f>"Ord# Q4517"</f>
        <v>Ord# Q4517</v>
      </c>
      <c r="G538" s="2">
        <v>857.55</v>
      </c>
      <c r="H538" t="str">
        <f>"item# GP42334"</f>
        <v>item# GP42334</v>
      </c>
    </row>
    <row r="539" spans="1:8" x14ac:dyDescent="0.25">
      <c r="E539" t="str">
        <f>""</f>
        <v/>
      </c>
      <c r="F539" t="str">
        <f>""</f>
        <v/>
      </c>
      <c r="H539" t="str">
        <f>"Item# GP42338"</f>
        <v>Item# GP42338</v>
      </c>
    </row>
    <row r="540" spans="1:8" x14ac:dyDescent="0.25">
      <c r="E540" t="str">
        <f>"1892119"</f>
        <v>1892119</v>
      </c>
      <c r="F540" t="str">
        <f>"INV 1892119"</f>
        <v>INV 1892119</v>
      </c>
      <c r="G540" s="2">
        <v>1848.51</v>
      </c>
      <c r="H540" t="str">
        <f>"INV 1892119"</f>
        <v>INV 1892119</v>
      </c>
    </row>
    <row r="541" spans="1:8" x14ac:dyDescent="0.25">
      <c r="E541" t="str">
        <f>"1892231"</f>
        <v>1892231</v>
      </c>
      <c r="F541" t="str">
        <f>"INV 1892231"</f>
        <v>INV 1892231</v>
      </c>
      <c r="G541" s="2">
        <v>815.04</v>
      </c>
      <c r="H541" t="str">
        <f>"iNV 1892231"</f>
        <v>iNV 1892231</v>
      </c>
    </row>
    <row r="542" spans="1:8" x14ac:dyDescent="0.25">
      <c r="A542" t="s">
        <v>126</v>
      </c>
      <c r="B542">
        <v>2845</v>
      </c>
      <c r="C542" s="2">
        <v>412.5</v>
      </c>
      <c r="D542" s="1">
        <v>44026</v>
      </c>
      <c r="E542" t="str">
        <f>"1002918"</f>
        <v>1002918</v>
      </c>
      <c r="F542" t="str">
        <f>"ACCT#60128/ORD#868316/PCT#4"</f>
        <v>ACCT#60128/ORD#868316/PCT#4</v>
      </c>
      <c r="G542" s="2">
        <v>412.5</v>
      </c>
      <c r="H542" t="str">
        <f>"ACCT#60128/ORD#868316/PCT#4"</f>
        <v>ACCT#60128/ORD#868316/PCT#4</v>
      </c>
    </row>
    <row r="543" spans="1:8" x14ac:dyDescent="0.25">
      <c r="A543" t="s">
        <v>127</v>
      </c>
      <c r="B543">
        <v>2914</v>
      </c>
      <c r="C543" s="2">
        <v>10011.75</v>
      </c>
      <c r="D543" s="1">
        <v>44040</v>
      </c>
      <c r="E543" t="str">
        <f>"10039976"</f>
        <v>10039976</v>
      </c>
      <c r="F543" t="str">
        <f>"PROJ#035837.001/JUNE2020"</f>
        <v>PROJ#035837.001/JUNE2020</v>
      </c>
      <c r="G543" s="2">
        <v>10011.75</v>
      </c>
      <c r="H543" t="str">
        <f>"PROJ#035837.001/JUNE2020"</f>
        <v>PROJ#035837.001/JUNE2020</v>
      </c>
    </row>
    <row r="544" spans="1:8" x14ac:dyDescent="0.25">
      <c r="A544" t="s">
        <v>128</v>
      </c>
      <c r="B544">
        <v>132377</v>
      </c>
      <c r="C544" s="2">
        <v>1624.45</v>
      </c>
      <c r="D544" s="1">
        <v>44025</v>
      </c>
      <c r="E544" t="str">
        <f>"279994"</f>
        <v>279994</v>
      </c>
      <c r="F544" t="str">
        <f>"ACCT#BAS001/PCT#3"</f>
        <v>ACCT#BAS001/PCT#3</v>
      </c>
      <c r="G544" s="2">
        <v>1624.45</v>
      </c>
      <c r="H544" t="str">
        <f>"ACCT#BAS001/PCT#3"</f>
        <v>ACCT#BAS001/PCT#3</v>
      </c>
    </row>
    <row r="545" spans="1:8" x14ac:dyDescent="0.25">
      <c r="A545" t="s">
        <v>129</v>
      </c>
      <c r="B545">
        <v>132378</v>
      </c>
      <c r="C545" s="2">
        <v>150</v>
      </c>
      <c r="D545" s="1">
        <v>44025</v>
      </c>
      <c r="E545" t="str">
        <f>"13072"</f>
        <v>13072</v>
      </c>
      <c r="F545" t="str">
        <f>"SERVICE"</f>
        <v>SERVICE</v>
      </c>
      <c r="G545" s="2">
        <v>150</v>
      </c>
      <c r="H545" t="str">
        <f>"SERVICE"</f>
        <v>SERVICE</v>
      </c>
    </row>
    <row r="546" spans="1:8" x14ac:dyDescent="0.25">
      <c r="A546" t="s">
        <v>130</v>
      </c>
      <c r="B546">
        <v>132379</v>
      </c>
      <c r="C546" s="2">
        <v>75</v>
      </c>
      <c r="D546" s="1">
        <v>44025</v>
      </c>
      <c r="E546" t="str">
        <f>"13425"</f>
        <v>13425</v>
      </c>
      <c r="F546" t="str">
        <f>"SERVICE"</f>
        <v>SERVICE</v>
      </c>
      <c r="G546" s="2">
        <v>75</v>
      </c>
      <c r="H546" t="str">
        <f>"SERVICE"</f>
        <v>SERVICE</v>
      </c>
    </row>
    <row r="547" spans="1:8" x14ac:dyDescent="0.25">
      <c r="A547" t="s">
        <v>131</v>
      </c>
      <c r="B547">
        <v>132380</v>
      </c>
      <c r="C547" s="2">
        <v>336.5</v>
      </c>
      <c r="D547" s="1">
        <v>44025</v>
      </c>
      <c r="E547" t="str">
        <f>"10780692"</f>
        <v>10780692</v>
      </c>
      <c r="F547" t="str">
        <f>"ACCT#0083705/CUST#3324/PCT#4"</f>
        <v>ACCT#0083705/CUST#3324/PCT#4</v>
      </c>
      <c r="G547" s="2">
        <v>78.42</v>
      </c>
      <c r="H547" t="str">
        <f>"ACCT#0083705/CUST#3324/PCT#4"</f>
        <v>ACCT#0083705/CUST#3324/PCT#4</v>
      </c>
    </row>
    <row r="548" spans="1:8" x14ac:dyDescent="0.25">
      <c r="E548" t="str">
        <f>"10786469"</f>
        <v>10786469</v>
      </c>
      <c r="F548" t="str">
        <f>"CUST#3324/PCT#4"</f>
        <v>CUST#3324/PCT#4</v>
      </c>
      <c r="G548" s="2">
        <v>258.08</v>
      </c>
      <c r="H548" t="str">
        <f>"CUST#3324/PCT#4"</f>
        <v>CUST#3324/PCT#4</v>
      </c>
    </row>
    <row r="549" spans="1:8" x14ac:dyDescent="0.25">
      <c r="A549" t="s">
        <v>132</v>
      </c>
      <c r="B549">
        <v>2905</v>
      </c>
      <c r="C549" s="2">
        <v>650</v>
      </c>
      <c r="D549" s="1">
        <v>44040</v>
      </c>
      <c r="E549" t="str">
        <f>"202007217976"</f>
        <v>202007217976</v>
      </c>
      <c r="F549" t="str">
        <f>"BASCOM L HODGES JR"</f>
        <v>BASCOM L HODGES JR</v>
      </c>
      <c r="G549" s="2">
        <v>650</v>
      </c>
      <c r="H549" t="str">
        <f>""</f>
        <v/>
      </c>
    </row>
    <row r="550" spans="1:8" x14ac:dyDescent="0.25">
      <c r="A550" t="s">
        <v>133</v>
      </c>
      <c r="B550">
        <v>132381</v>
      </c>
      <c r="C550" s="2">
        <v>1312.5</v>
      </c>
      <c r="D550" s="1">
        <v>44025</v>
      </c>
      <c r="E550" t="str">
        <f>"202006307442"</f>
        <v>202006307442</v>
      </c>
      <c r="F550" t="str">
        <f>"20-20054"</f>
        <v>20-20054</v>
      </c>
      <c r="G550" s="2">
        <v>225</v>
      </c>
      <c r="H550" t="str">
        <f>"20-20054"</f>
        <v>20-20054</v>
      </c>
    </row>
    <row r="551" spans="1:8" x14ac:dyDescent="0.25">
      <c r="E551" t="str">
        <f>"202006307443"</f>
        <v>202006307443</v>
      </c>
      <c r="F551" t="str">
        <f>"56 728"</f>
        <v>56 728</v>
      </c>
      <c r="G551" s="2">
        <v>250</v>
      </c>
      <c r="H551" t="str">
        <f>"56 728"</f>
        <v>56 728</v>
      </c>
    </row>
    <row r="552" spans="1:8" x14ac:dyDescent="0.25">
      <c r="E552" t="str">
        <f>"202007037620"</f>
        <v>202007037620</v>
      </c>
      <c r="F552" t="str">
        <f>"19-19680"</f>
        <v>19-19680</v>
      </c>
      <c r="G552" s="2">
        <v>175</v>
      </c>
      <c r="H552" t="str">
        <f>"19-19680"</f>
        <v>19-19680</v>
      </c>
    </row>
    <row r="553" spans="1:8" x14ac:dyDescent="0.25">
      <c r="E553" t="str">
        <f>"202007037621"</f>
        <v>202007037621</v>
      </c>
      <c r="F553" t="str">
        <f>"20-20054"</f>
        <v>20-20054</v>
      </c>
      <c r="G553" s="2">
        <v>250</v>
      </c>
      <c r="H553" t="str">
        <f>"20-20054"</f>
        <v>20-20054</v>
      </c>
    </row>
    <row r="554" spans="1:8" x14ac:dyDescent="0.25">
      <c r="E554" t="str">
        <f>"202007037622"</f>
        <v>202007037622</v>
      </c>
      <c r="F554" t="str">
        <f>"20-20262"</f>
        <v>20-20262</v>
      </c>
      <c r="G554" s="2">
        <v>137.5</v>
      </c>
      <c r="H554" t="str">
        <f>"20-20262"</f>
        <v>20-20262</v>
      </c>
    </row>
    <row r="555" spans="1:8" x14ac:dyDescent="0.25">
      <c r="E555" t="str">
        <f>"202007037625"</f>
        <v>202007037625</v>
      </c>
      <c r="F555" t="str">
        <f>"18-19011"</f>
        <v>18-19011</v>
      </c>
      <c r="G555" s="2">
        <v>100</v>
      </c>
      <c r="H555" t="str">
        <f>"18-19011"</f>
        <v>18-19011</v>
      </c>
    </row>
    <row r="556" spans="1:8" x14ac:dyDescent="0.25">
      <c r="E556" t="str">
        <f>"202007037626"</f>
        <v>202007037626</v>
      </c>
      <c r="F556" t="str">
        <f>"20-20262"</f>
        <v>20-20262</v>
      </c>
      <c r="G556" s="2">
        <v>175</v>
      </c>
      <c r="H556" t="str">
        <f>"20-20262"</f>
        <v>20-20262</v>
      </c>
    </row>
    <row r="557" spans="1:8" x14ac:dyDescent="0.25">
      <c r="A557" t="s">
        <v>133</v>
      </c>
      <c r="B557">
        <v>132514</v>
      </c>
      <c r="C557" s="2">
        <v>350</v>
      </c>
      <c r="D557" s="1">
        <v>44039</v>
      </c>
      <c r="E557" t="str">
        <f>"202007157854"</f>
        <v>202007157854</v>
      </c>
      <c r="F557" t="str">
        <f>"423-4184"</f>
        <v>423-4184</v>
      </c>
      <c r="G557" s="2">
        <v>100</v>
      </c>
      <c r="H557" t="str">
        <f>"423-4184"</f>
        <v>423-4184</v>
      </c>
    </row>
    <row r="558" spans="1:8" x14ac:dyDescent="0.25">
      <c r="E558" t="str">
        <f>"202007177913"</f>
        <v>202007177913</v>
      </c>
      <c r="F558" t="str">
        <f>"J-3205"</f>
        <v>J-3205</v>
      </c>
      <c r="G558" s="2">
        <v>250</v>
      </c>
      <c r="H558" t="str">
        <f>"J-3205"</f>
        <v>J-3205</v>
      </c>
    </row>
    <row r="559" spans="1:8" x14ac:dyDescent="0.25">
      <c r="A559" t="s">
        <v>134</v>
      </c>
      <c r="B559">
        <v>2834</v>
      </c>
      <c r="C559" s="2">
        <v>792.33</v>
      </c>
      <c r="D559" s="1">
        <v>44026</v>
      </c>
      <c r="E559" t="str">
        <f>"PIM60028303"</f>
        <v>PIM60028303</v>
      </c>
      <c r="F559" t="str">
        <f>"CUST#0129050/PCT#1"</f>
        <v>CUST#0129050/PCT#1</v>
      </c>
      <c r="G559" s="2">
        <v>56.61</v>
      </c>
      <c r="H559" t="str">
        <f>"CUST#0129050/PCT#1"</f>
        <v>CUST#0129050/PCT#1</v>
      </c>
    </row>
    <row r="560" spans="1:8" x14ac:dyDescent="0.25">
      <c r="E560" t="str">
        <f>"PIM60028603"</f>
        <v>PIM60028603</v>
      </c>
      <c r="F560" t="str">
        <f>"CUST#0129200/PCT#4"</f>
        <v>CUST#0129200/PCT#4</v>
      </c>
      <c r="G560" s="2">
        <v>47.72</v>
      </c>
      <c r="H560" t="str">
        <f>"CUST#0129200/PCT#4"</f>
        <v>CUST#0129200/PCT#4</v>
      </c>
    </row>
    <row r="561" spans="1:8" x14ac:dyDescent="0.25">
      <c r="E561" t="str">
        <f>"WIMA0134114"</f>
        <v>WIMA0134114</v>
      </c>
      <c r="F561" t="str">
        <f>"CUST#0129150/PCT#3"</f>
        <v>CUST#0129150/PCT#3</v>
      </c>
      <c r="G561" s="2">
        <v>433</v>
      </c>
      <c r="H561" t="str">
        <f>"CUST#0129150/PCT#3"</f>
        <v>CUST#0129150/PCT#3</v>
      </c>
    </row>
    <row r="562" spans="1:8" x14ac:dyDescent="0.25">
      <c r="E562" t="str">
        <f>"WIMA0134485"</f>
        <v>WIMA0134485</v>
      </c>
      <c r="F562" t="str">
        <f>"CUST#0129150/PCT#3"</f>
        <v>CUST#0129150/PCT#3</v>
      </c>
      <c r="G562" s="2">
        <v>255</v>
      </c>
      <c r="H562" t="str">
        <f>"CUST#0129150/PCT#3"</f>
        <v>CUST#0129150/PCT#3</v>
      </c>
    </row>
    <row r="563" spans="1:8" x14ac:dyDescent="0.25">
      <c r="A563" t="s">
        <v>135</v>
      </c>
      <c r="B563">
        <v>132382</v>
      </c>
      <c r="C563" s="2">
        <v>2289.2199999999998</v>
      </c>
      <c r="D563" s="1">
        <v>44025</v>
      </c>
      <c r="E563" t="str">
        <f>"202007087778"</f>
        <v>202007087778</v>
      </c>
      <c r="F563" t="str">
        <f>"acct# 0130"</f>
        <v>acct# 0130</v>
      </c>
      <c r="G563" s="2">
        <v>2289.2199999999998</v>
      </c>
      <c r="H563" t="str">
        <f>"inv# 9541463"</f>
        <v>inv# 9541463</v>
      </c>
    </row>
    <row r="564" spans="1:8" x14ac:dyDescent="0.25">
      <c r="E564" t="str">
        <f>""</f>
        <v/>
      </c>
      <c r="F564" t="str">
        <f>""</f>
        <v/>
      </c>
      <c r="H564" t="str">
        <f>"inv# 3516533"</f>
        <v>inv# 3516533</v>
      </c>
    </row>
    <row r="565" spans="1:8" x14ac:dyDescent="0.25">
      <c r="E565" t="str">
        <f>""</f>
        <v/>
      </c>
      <c r="F565" t="str">
        <f>""</f>
        <v/>
      </c>
      <c r="H565" t="str">
        <f>"inv# 4140384"</f>
        <v>inv# 4140384</v>
      </c>
    </row>
    <row r="566" spans="1:8" x14ac:dyDescent="0.25">
      <c r="E566" t="str">
        <f>""</f>
        <v/>
      </c>
      <c r="F566" t="str">
        <f>""</f>
        <v/>
      </c>
      <c r="H566" t="str">
        <f>"inv# 140452"</f>
        <v>inv# 140452</v>
      </c>
    </row>
    <row r="567" spans="1:8" x14ac:dyDescent="0.25">
      <c r="E567" t="str">
        <f>""</f>
        <v/>
      </c>
      <c r="F567" t="str">
        <f>""</f>
        <v/>
      </c>
      <c r="H567" t="str">
        <f>"inv# 3516533"</f>
        <v>inv# 3516533</v>
      </c>
    </row>
    <row r="568" spans="1:8" x14ac:dyDescent="0.25">
      <c r="E568" t="str">
        <f>""</f>
        <v/>
      </c>
      <c r="F568" t="str">
        <f>""</f>
        <v/>
      </c>
      <c r="H568" t="str">
        <f>"inv# 1522874"</f>
        <v>inv# 1522874</v>
      </c>
    </row>
    <row r="569" spans="1:8" x14ac:dyDescent="0.25">
      <c r="E569" t="str">
        <f>""</f>
        <v/>
      </c>
      <c r="F569" t="str">
        <f>""</f>
        <v/>
      </c>
      <c r="H569" t="str">
        <f>"inv# 1101102"</f>
        <v>inv# 1101102</v>
      </c>
    </row>
    <row r="570" spans="1:8" x14ac:dyDescent="0.25">
      <c r="E570" t="str">
        <f>""</f>
        <v/>
      </c>
      <c r="F570" t="str">
        <f>""</f>
        <v/>
      </c>
      <c r="H570" t="str">
        <f>"inv# 3900453"</f>
        <v>inv# 3900453</v>
      </c>
    </row>
    <row r="571" spans="1:8" x14ac:dyDescent="0.25">
      <c r="E571" t="str">
        <f>""</f>
        <v/>
      </c>
      <c r="F571" t="str">
        <f>""</f>
        <v/>
      </c>
      <c r="H571" t="str">
        <f>"inv# 3973025"</f>
        <v>inv# 3973025</v>
      </c>
    </row>
    <row r="572" spans="1:8" x14ac:dyDescent="0.25">
      <c r="E572" t="str">
        <f>""</f>
        <v/>
      </c>
      <c r="F572" t="str">
        <f>""</f>
        <v/>
      </c>
      <c r="H572" t="str">
        <f>"inv# 1092377"</f>
        <v>inv# 1092377</v>
      </c>
    </row>
    <row r="573" spans="1:8" x14ac:dyDescent="0.25">
      <c r="E573" t="str">
        <f>""</f>
        <v/>
      </c>
      <c r="F573" t="str">
        <f>""</f>
        <v/>
      </c>
      <c r="H573" t="str">
        <f>"inv# 2091795"</f>
        <v>inv# 2091795</v>
      </c>
    </row>
    <row r="574" spans="1:8" x14ac:dyDescent="0.25">
      <c r="E574" t="str">
        <f>""</f>
        <v/>
      </c>
      <c r="F574" t="str">
        <f>""</f>
        <v/>
      </c>
      <c r="H574" t="str">
        <f>"inv# 4011934"</f>
        <v>inv# 4011934</v>
      </c>
    </row>
    <row r="575" spans="1:8" x14ac:dyDescent="0.25">
      <c r="E575" t="str">
        <f>""</f>
        <v/>
      </c>
      <c r="F575" t="str">
        <f>""</f>
        <v/>
      </c>
      <c r="H575" t="str">
        <f>"inv# 8024053"</f>
        <v>inv# 8024053</v>
      </c>
    </row>
    <row r="576" spans="1:8" x14ac:dyDescent="0.25">
      <c r="E576" t="str">
        <f>""</f>
        <v/>
      </c>
      <c r="F576" t="str">
        <f>""</f>
        <v/>
      </c>
      <c r="H576" t="str">
        <f>"inv# 8024069"</f>
        <v>inv# 8024069</v>
      </c>
    </row>
    <row r="577" spans="1:8" x14ac:dyDescent="0.25">
      <c r="E577" t="str">
        <f>""</f>
        <v/>
      </c>
      <c r="F577" t="str">
        <f>""</f>
        <v/>
      </c>
      <c r="H577" t="str">
        <f>"inv# 6024222"</f>
        <v>inv# 6024222</v>
      </c>
    </row>
    <row r="578" spans="1:8" x14ac:dyDescent="0.25">
      <c r="E578" t="str">
        <f>""</f>
        <v/>
      </c>
      <c r="F578" t="str">
        <f>""</f>
        <v/>
      </c>
      <c r="H578" t="str">
        <f>"inv# 5012716"</f>
        <v>inv# 5012716</v>
      </c>
    </row>
    <row r="579" spans="1:8" x14ac:dyDescent="0.25">
      <c r="E579" t="str">
        <f>""</f>
        <v/>
      </c>
      <c r="F579" t="str">
        <f>""</f>
        <v/>
      </c>
      <c r="H579" t="str">
        <f>"inv# 3020153"</f>
        <v>inv# 3020153</v>
      </c>
    </row>
    <row r="580" spans="1:8" x14ac:dyDescent="0.25">
      <c r="E580" t="str">
        <f>""</f>
        <v/>
      </c>
      <c r="F580" t="str">
        <f>""</f>
        <v/>
      </c>
      <c r="H580" t="str">
        <f>"inv# 3020180"</f>
        <v>inv# 3020180</v>
      </c>
    </row>
    <row r="581" spans="1:8" x14ac:dyDescent="0.25">
      <c r="A581" t="s">
        <v>136</v>
      </c>
      <c r="B581">
        <v>132383</v>
      </c>
      <c r="C581" s="2">
        <v>305</v>
      </c>
      <c r="D581" s="1">
        <v>44025</v>
      </c>
      <c r="E581" t="str">
        <f>"0551603473"</f>
        <v>0551603473</v>
      </c>
      <c r="F581" t="str">
        <f>"ORD#212645-0001"</f>
        <v>ORD#212645-0001</v>
      </c>
      <c r="G581" s="2">
        <v>90</v>
      </c>
      <c r="H581" t="str">
        <f>"ORD#212645-0001"</f>
        <v>ORD#212645-0001</v>
      </c>
    </row>
    <row r="582" spans="1:8" x14ac:dyDescent="0.25">
      <c r="E582" t="str">
        <f>"0551604921"</f>
        <v>0551604921</v>
      </c>
      <c r="F582" t="str">
        <f>"ORD#212645-002/375 RIVERSIDE L"</f>
        <v>ORD#212645-002/375 RIVERSIDE L</v>
      </c>
      <c r="G582" s="2">
        <v>215</v>
      </c>
      <c r="H582" t="str">
        <f>"ORD#212645-002/375 RIVERSIDE L"</f>
        <v>ORD#212645-002/375 RIVERSIDE L</v>
      </c>
    </row>
    <row r="583" spans="1:8" x14ac:dyDescent="0.25">
      <c r="A583" t="s">
        <v>137</v>
      </c>
      <c r="B583">
        <v>132384</v>
      </c>
      <c r="C583" s="2">
        <v>358.31</v>
      </c>
      <c r="D583" s="1">
        <v>44025</v>
      </c>
      <c r="E583" t="str">
        <f>"14221"</f>
        <v>14221</v>
      </c>
      <c r="F583" t="str">
        <f>"EMBROIDERY DESIGNS/PCT#1"</f>
        <v>EMBROIDERY DESIGNS/PCT#1</v>
      </c>
      <c r="G583" s="2">
        <v>358.31</v>
      </c>
      <c r="H583" t="str">
        <f>"EMBROIDERY DESIGNS/PCT#1"</f>
        <v>EMBROIDERY DESIGNS/PCT#1</v>
      </c>
    </row>
    <row r="584" spans="1:8" x14ac:dyDescent="0.25">
      <c r="A584" t="s">
        <v>138</v>
      </c>
      <c r="B584">
        <v>2854</v>
      </c>
      <c r="C584" s="2">
        <v>54.95</v>
      </c>
      <c r="D584" s="1">
        <v>44026</v>
      </c>
      <c r="E584" t="str">
        <f>"103964"</f>
        <v>103964</v>
      </c>
      <c r="F584" t="str">
        <f>"ACCT#BASTROP2/VEH WASH/PCT2"</f>
        <v>ACCT#BASTROP2/VEH WASH/PCT2</v>
      </c>
      <c r="G584" s="2">
        <v>54.95</v>
      </c>
      <c r="H584" t="str">
        <f>"ACCT#BASTROP2/VEH WASH/PCT2"</f>
        <v>ACCT#BASTROP2/VEH WASH/PCT2</v>
      </c>
    </row>
    <row r="585" spans="1:8" x14ac:dyDescent="0.25">
      <c r="A585" t="s">
        <v>138</v>
      </c>
      <c r="B585">
        <v>2922</v>
      </c>
      <c r="C585" s="2">
        <v>19.95</v>
      </c>
      <c r="D585" s="1">
        <v>44040</v>
      </c>
      <c r="E585" t="str">
        <f>"104639"</f>
        <v>104639</v>
      </c>
      <c r="F585" t="str">
        <f>"ACCT#BASTROP2/PUMP/PCT#2"</f>
        <v>ACCT#BASTROP2/PUMP/PCT#2</v>
      </c>
      <c r="G585" s="2">
        <v>19.95</v>
      </c>
      <c r="H585" t="str">
        <f>"ACCT#BASTROP2/PUMP/PCT#2"</f>
        <v>ACCT#BASTROP2/PUMP/PCT#2</v>
      </c>
    </row>
    <row r="586" spans="1:8" x14ac:dyDescent="0.25">
      <c r="A586" t="s">
        <v>139</v>
      </c>
      <c r="B586">
        <v>132385</v>
      </c>
      <c r="C586" s="2">
        <v>492.5</v>
      </c>
      <c r="D586" s="1">
        <v>44025</v>
      </c>
      <c r="E586" t="str">
        <f>"SL2020-06_00274"</f>
        <v>SL2020-06_00274</v>
      </c>
      <c r="F586" t="str">
        <f>"SHELTERLUV SOFTWARE"</f>
        <v>SHELTERLUV SOFTWARE</v>
      </c>
      <c r="G586" s="2">
        <v>492.5</v>
      </c>
      <c r="H586" t="str">
        <f>"SHELTERLUV SOFTWARE"</f>
        <v>SHELTERLUV SOFTWARE</v>
      </c>
    </row>
    <row r="587" spans="1:8" x14ac:dyDescent="0.25">
      <c r="A587" t="s">
        <v>140</v>
      </c>
      <c r="B587">
        <v>132386</v>
      </c>
      <c r="C587" s="2">
        <v>16989</v>
      </c>
      <c r="D587" s="1">
        <v>44025</v>
      </c>
      <c r="E587" t="str">
        <f>"WI-26811-Q9KS"</f>
        <v>WI-26811-Q9KS</v>
      </c>
      <c r="F587" t="str">
        <f>"Cooling Tower"</f>
        <v>Cooling Tower</v>
      </c>
      <c r="G587" s="2">
        <v>16989</v>
      </c>
      <c r="H587" t="str">
        <f>"Cooling Tower"</f>
        <v>Cooling Tower</v>
      </c>
    </row>
    <row r="588" spans="1:8" x14ac:dyDescent="0.25">
      <c r="A588" t="s">
        <v>141</v>
      </c>
      <c r="B588">
        <v>132387</v>
      </c>
      <c r="C588" s="2">
        <v>958.5</v>
      </c>
      <c r="D588" s="1">
        <v>44025</v>
      </c>
      <c r="E588" t="str">
        <f>"0265649-IN 0265376"</f>
        <v>0265649-IN 0265376</v>
      </c>
      <c r="F588" t="str">
        <f>"INV 0265649-IN"</f>
        <v>INV 0265649-IN</v>
      </c>
      <c r="G588" s="2">
        <v>408.42</v>
      </c>
      <c r="H588" t="str">
        <f>"INV 0265649-IN"</f>
        <v>INV 0265649-IN</v>
      </c>
    </row>
    <row r="589" spans="1:8" x14ac:dyDescent="0.25">
      <c r="E589" t="str">
        <f>""</f>
        <v/>
      </c>
      <c r="F589" t="str">
        <f>""</f>
        <v/>
      </c>
      <c r="H589" t="str">
        <f>"INV 0265376-IN"</f>
        <v>INV 0265376-IN</v>
      </c>
    </row>
    <row r="590" spans="1:8" x14ac:dyDescent="0.25">
      <c r="E590" t="str">
        <f>"0267158-IN"</f>
        <v>0267158-IN</v>
      </c>
      <c r="F590" t="str">
        <f>"INV 0267158-IN"</f>
        <v>INV 0267158-IN</v>
      </c>
      <c r="G590" s="2">
        <v>550.08000000000004</v>
      </c>
      <c r="H590" t="str">
        <f>"INV 0267158-IN"</f>
        <v>INV 0267158-IN</v>
      </c>
    </row>
    <row r="591" spans="1:8" x14ac:dyDescent="0.25">
      <c r="A591" t="s">
        <v>142</v>
      </c>
      <c r="B591">
        <v>2799</v>
      </c>
      <c r="C591" s="2">
        <v>213.08</v>
      </c>
      <c r="D591" s="1">
        <v>44026</v>
      </c>
      <c r="E591" t="str">
        <f>"203954"</f>
        <v>203954</v>
      </c>
      <c r="F591" t="str">
        <f>"WIRE BRAID HOSE/PCT#3"</f>
        <v>WIRE BRAID HOSE/PCT#3</v>
      </c>
      <c r="G591" s="2">
        <v>127.33</v>
      </c>
      <c r="H591" t="str">
        <f>"WIRE BRAID HOSE/PCT#3"</f>
        <v>WIRE BRAID HOSE/PCT#3</v>
      </c>
    </row>
    <row r="592" spans="1:8" x14ac:dyDescent="0.25">
      <c r="E592" t="str">
        <f>"204053"</f>
        <v>204053</v>
      </c>
      <c r="F592" t="str">
        <f>"BRAID HOSE/PCT#3"</f>
        <v>BRAID HOSE/PCT#3</v>
      </c>
      <c r="G592" s="2">
        <v>85.75</v>
      </c>
      <c r="H592" t="str">
        <f>"BRAID HOSE/PCT#3"</f>
        <v>BRAID HOSE/PCT#3</v>
      </c>
    </row>
    <row r="593" spans="1:8" x14ac:dyDescent="0.25">
      <c r="A593" t="s">
        <v>142</v>
      </c>
      <c r="B593">
        <v>2878</v>
      </c>
      <c r="C593" s="2">
        <v>37.75</v>
      </c>
      <c r="D593" s="1">
        <v>44040</v>
      </c>
      <c r="E593" t="str">
        <f>"204109"</f>
        <v>204109</v>
      </c>
      <c r="F593" t="str">
        <f>"HIGH PRESSURE HOSE/PCT#3"</f>
        <v>HIGH PRESSURE HOSE/PCT#3</v>
      </c>
      <c r="G593" s="2">
        <v>37.75</v>
      </c>
      <c r="H593" t="str">
        <f>"HIGH PRESSURE HOSE/PCT#3"</f>
        <v>HIGH PRESSURE HOSE/PCT#3</v>
      </c>
    </row>
    <row r="594" spans="1:8" x14ac:dyDescent="0.25">
      <c r="A594" t="s">
        <v>143</v>
      </c>
      <c r="B594">
        <v>2784</v>
      </c>
      <c r="C594" s="2">
        <v>410.79</v>
      </c>
      <c r="D594" s="1">
        <v>44026</v>
      </c>
      <c r="E594" t="str">
        <f>"W3787101 W3787100"</f>
        <v>W3787101 W3787100</v>
      </c>
      <c r="F594" t="str">
        <f>"INV W3787101"</f>
        <v>INV W3787101</v>
      </c>
      <c r="G594" s="2">
        <v>410.79</v>
      </c>
      <c r="H594" t="str">
        <f>"INV W3787101"</f>
        <v>INV W3787101</v>
      </c>
    </row>
    <row r="595" spans="1:8" x14ac:dyDescent="0.25">
      <c r="E595" t="str">
        <f>""</f>
        <v/>
      </c>
      <c r="F595" t="str">
        <f>""</f>
        <v/>
      </c>
      <c r="H595" t="str">
        <f>"INV W3787100"</f>
        <v>INV W3787100</v>
      </c>
    </row>
    <row r="596" spans="1:8" x14ac:dyDescent="0.25">
      <c r="A596" t="s">
        <v>144</v>
      </c>
      <c r="B596">
        <v>132388</v>
      </c>
      <c r="C596" s="2">
        <v>335</v>
      </c>
      <c r="D596" s="1">
        <v>44025</v>
      </c>
      <c r="E596" t="str">
        <f>"3065755675"</f>
        <v>3065755675</v>
      </c>
      <c r="F596" t="str">
        <f>"ACCT#187947/ANIMAL CONTROL"</f>
        <v>ACCT#187947/ANIMAL CONTROL</v>
      </c>
      <c r="G596" s="2">
        <v>335</v>
      </c>
      <c r="H596" t="str">
        <f>"ACCT#187947/ANIMAL CONTROL"</f>
        <v>ACCT#187947/ANIMAL CONTROL</v>
      </c>
    </row>
    <row r="597" spans="1:8" x14ac:dyDescent="0.25">
      <c r="A597" t="s">
        <v>145</v>
      </c>
      <c r="B597">
        <v>2842</v>
      </c>
      <c r="C597" s="2">
        <v>2430</v>
      </c>
      <c r="D597" s="1">
        <v>44026</v>
      </c>
      <c r="E597" t="str">
        <f>"70059"</f>
        <v>70059</v>
      </c>
      <c r="F597" t="str">
        <f>"PROF SVCS-AUGUST 2020"</f>
        <v>PROF SVCS-AUGUST 2020</v>
      </c>
      <c r="G597" s="2">
        <v>2430</v>
      </c>
      <c r="H597" t="str">
        <f>"PROF SVCS-AUGUST 2020"</f>
        <v>PROF SVCS-AUGUST 2020</v>
      </c>
    </row>
    <row r="598" spans="1:8" x14ac:dyDescent="0.25">
      <c r="E598" t="str">
        <f>""</f>
        <v/>
      </c>
      <c r="F598" t="str">
        <f>""</f>
        <v/>
      </c>
      <c r="H598" t="str">
        <f>"PROF SVCS-AUGUST 2020"</f>
        <v>PROF SVCS-AUGUST 2020</v>
      </c>
    </row>
    <row r="599" spans="1:8" x14ac:dyDescent="0.25">
      <c r="A599" t="s">
        <v>146</v>
      </c>
      <c r="B599">
        <v>132389</v>
      </c>
      <c r="C599" s="2">
        <v>79.03</v>
      </c>
      <c r="D599" s="1">
        <v>44025</v>
      </c>
      <c r="E599" t="str">
        <f>"CSZC073"</f>
        <v>CSZC073</v>
      </c>
      <c r="F599" t="str">
        <f>"CUST ID:AX773/COUNTY CLERK"</f>
        <v>CUST ID:AX773/COUNTY CLERK</v>
      </c>
      <c r="G599" s="2">
        <v>79.03</v>
      </c>
      <c r="H599" t="str">
        <f>"CUST ID:AX773/COUNTY CLERK"</f>
        <v>CUST ID:AX773/COUNTY CLERK</v>
      </c>
    </row>
    <row r="600" spans="1:8" x14ac:dyDescent="0.25">
      <c r="A600" t="s">
        <v>147</v>
      </c>
      <c r="B600">
        <v>132515</v>
      </c>
      <c r="C600" s="2">
        <v>70</v>
      </c>
      <c r="D600" s="1">
        <v>44039</v>
      </c>
      <c r="E600" t="str">
        <f>"202007217970"</f>
        <v>202007217970</v>
      </c>
      <c r="F600" t="str">
        <f>"PER DIEM"</f>
        <v>PER DIEM</v>
      </c>
      <c r="G600" s="2">
        <v>70</v>
      </c>
    </row>
    <row r="601" spans="1:8" x14ac:dyDescent="0.25">
      <c r="A601" t="s">
        <v>148</v>
      </c>
      <c r="B601">
        <v>132516</v>
      </c>
      <c r="C601" s="2">
        <v>1500</v>
      </c>
      <c r="D601" s="1">
        <v>44039</v>
      </c>
      <c r="E601" t="str">
        <f>"202007177942"</f>
        <v>202007177942</v>
      </c>
      <c r="F601" t="str">
        <f>"56 380"</f>
        <v>56 380</v>
      </c>
      <c r="G601" s="2">
        <v>250</v>
      </c>
      <c r="H601" t="str">
        <f>"56 380"</f>
        <v>56 380</v>
      </c>
    </row>
    <row r="602" spans="1:8" x14ac:dyDescent="0.25">
      <c r="E602" t="str">
        <f>"202007177943"</f>
        <v>202007177943</v>
      </c>
      <c r="F602" t="str">
        <f>"57 349"</f>
        <v>57 349</v>
      </c>
      <c r="G602" s="2">
        <v>250</v>
      </c>
      <c r="H602" t="str">
        <f>"57 349"</f>
        <v>57 349</v>
      </c>
    </row>
    <row r="603" spans="1:8" x14ac:dyDescent="0.25">
      <c r="E603" t="str">
        <f>"202007177944"</f>
        <v>202007177944</v>
      </c>
      <c r="F603" t="str">
        <f>"57 N1"</f>
        <v>57 N1</v>
      </c>
      <c r="G603" s="2">
        <v>250</v>
      </c>
      <c r="H603" t="str">
        <f>"57 N1"</f>
        <v>57 N1</v>
      </c>
    </row>
    <row r="604" spans="1:8" x14ac:dyDescent="0.25">
      <c r="E604" t="str">
        <f>"202007177945"</f>
        <v>202007177945</v>
      </c>
      <c r="F604" t="str">
        <f>"405029.4"</f>
        <v>405029.4</v>
      </c>
      <c r="G604" s="2">
        <v>250</v>
      </c>
      <c r="H604" t="str">
        <f>"405029.4"</f>
        <v>405029.4</v>
      </c>
    </row>
    <row r="605" spans="1:8" x14ac:dyDescent="0.25">
      <c r="E605" t="str">
        <f>"202007177946"</f>
        <v>202007177946</v>
      </c>
      <c r="F605" t="str">
        <f>"020214.2"</f>
        <v>020214.2</v>
      </c>
      <c r="G605" s="2">
        <v>250</v>
      </c>
      <c r="H605" t="str">
        <f>"020214.2"</f>
        <v>020214.2</v>
      </c>
    </row>
    <row r="606" spans="1:8" x14ac:dyDescent="0.25">
      <c r="E606" t="str">
        <f>"202007177947"</f>
        <v>202007177947</v>
      </c>
      <c r="F606" t="str">
        <f>"CC20190914-A"</f>
        <v>CC20190914-A</v>
      </c>
      <c r="G606" s="2">
        <v>250</v>
      </c>
      <c r="H606" t="str">
        <f>"CC20190914-A"</f>
        <v>CC20190914-A</v>
      </c>
    </row>
    <row r="607" spans="1:8" x14ac:dyDescent="0.25">
      <c r="A607" t="s">
        <v>149</v>
      </c>
      <c r="B607">
        <v>132390</v>
      </c>
      <c r="C607" s="2">
        <v>480.5</v>
      </c>
      <c r="D607" s="1">
        <v>44025</v>
      </c>
      <c r="E607" t="str">
        <f>"202006237378"</f>
        <v>202006237378</v>
      </c>
      <c r="F607" t="str">
        <f>"REIMBURSE STATE BAR DUES"</f>
        <v>REIMBURSE STATE BAR DUES</v>
      </c>
      <c r="G607" s="2">
        <v>73</v>
      </c>
      <c r="H607" t="str">
        <f>"REIMBURSE STATE BAR DUES"</f>
        <v>REIMBURSE STATE BAR DUES</v>
      </c>
    </row>
    <row r="608" spans="1:8" x14ac:dyDescent="0.25">
      <c r="E608" t="str">
        <f>"202007027522"</f>
        <v>202007027522</v>
      </c>
      <c r="F608" t="str">
        <f>"REIMBURSEMENT CLE"</f>
        <v>REIMBURSEMENT CLE</v>
      </c>
      <c r="G608" s="2">
        <v>407.5</v>
      </c>
      <c r="H608" t="str">
        <f>"REIMBURSEMENT CLE"</f>
        <v>REIMBURSEMENT CLE</v>
      </c>
    </row>
    <row r="609" spans="1:8" x14ac:dyDescent="0.25">
      <c r="A609" t="s">
        <v>150</v>
      </c>
      <c r="B609">
        <v>132517</v>
      </c>
      <c r="C609" s="2">
        <v>25</v>
      </c>
      <c r="D609" s="1">
        <v>44039</v>
      </c>
      <c r="E609" t="str">
        <f>"202007207956"</f>
        <v>202007207956</v>
      </c>
      <c r="F609" t="str">
        <f>"REFUND DRIVEWAY PERMIT FEE"</f>
        <v>REFUND DRIVEWAY PERMIT FEE</v>
      </c>
      <c r="G609" s="2">
        <v>25</v>
      </c>
      <c r="H609" t="str">
        <f>"REFUND DRIVEWAY PERMIT FEE"</f>
        <v>REFUND DRIVEWAY PERMIT FEE</v>
      </c>
    </row>
    <row r="610" spans="1:8" x14ac:dyDescent="0.25">
      <c r="A610" t="s">
        <v>151</v>
      </c>
      <c r="B610">
        <v>2853</v>
      </c>
      <c r="C610" s="2">
        <v>1350</v>
      </c>
      <c r="D610" s="1">
        <v>44026</v>
      </c>
      <c r="E610" t="str">
        <f>"202006307480"</f>
        <v>202006307480</v>
      </c>
      <c r="F610" t="str">
        <f>"BC20191018"</f>
        <v>BC20191018</v>
      </c>
      <c r="G610" s="2">
        <v>250</v>
      </c>
      <c r="H610" t="str">
        <f>"BC20191018"</f>
        <v>BC20191018</v>
      </c>
    </row>
    <row r="611" spans="1:8" x14ac:dyDescent="0.25">
      <c r="E611" t="str">
        <f>"202006307481"</f>
        <v>202006307481</v>
      </c>
      <c r="F611" t="str">
        <f>"BC20181215C"</f>
        <v>BC20181215C</v>
      </c>
      <c r="G611" s="2">
        <v>250</v>
      </c>
      <c r="H611" t="str">
        <f>"BC20181215C"</f>
        <v>BC20181215C</v>
      </c>
    </row>
    <row r="612" spans="1:8" x14ac:dyDescent="0.25">
      <c r="E612" t="str">
        <f>"202006307482"</f>
        <v>202006307482</v>
      </c>
      <c r="F612" t="str">
        <f>"JP110042019J"</f>
        <v>JP110042019J</v>
      </c>
      <c r="G612" s="2">
        <v>250</v>
      </c>
      <c r="H612" t="str">
        <f>"JP110042019J"</f>
        <v>JP110042019J</v>
      </c>
    </row>
    <row r="613" spans="1:8" x14ac:dyDescent="0.25">
      <c r="E613" t="str">
        <f>"202006307483"</f>
        <v>202006307483</v>
      </c>
      <c r="F613" t="str">
        <f>"JP102082026"</f>
        <v>JP102082026</v>
      </c>
      <c r="G613" s="2">
        <v>250</v>
      </c>
      <c r="H613" t="str">
        <f>"JP102082026"</f>
        <v>JP102082026</v>
      </c>
    </row>
    <row r="614" spans="1:8" x14ac:dyDescent="0.25">
      <c r="E614" t="str">
        <f>"202007037623"</f>
        <v>202007037623</v>
      </c>
      <c r="F614" t="str">
        <f>"J-3215"</f>
        <v>J-3215</v>
      </c>
      <c r="G614" s="2">
        <v>250</v>
      </c>
      <c r="H614" t="str">
        <f>"J-3215"</f>
        <v>J-3215</v>
      </c>
    </row>
    <row r="615" spans="1:8" x14ac:dyDescent="0.25">
      <c r="E615" t="str">
        <f>"202007037624"</f>
        <v>202007037624</v>
      </c>
      <c r="F615" t="str">
        <f>"20-20262"</f>
        <v>20-20262</v>
      </c>
      <c r="G615" s="2">
        <v>100</v>
      </c>
      <c r="H615" t="str">
        <f>"20-20262"</f>
        <v>20-20262</v>
      </c>
    </row>
    <row r="616" spans="1:8" x14ac:dyDescent="0.25">
      <c r="A616" t="s">
        <v>151</v>
      </c>
      <c r="B616">
        <v>2921</v>
      </c>
      <c r="C616" s="2">
        <v>500</v>
      </c>
      <c r="D616" s="1">
        <v>44040</v>
      </c>
      <c r="E616" t="str">
        <f>"202007177910"</f>
        <v>202007177910</v>
      </c>
      <c r="F616" t="str">
        <f>"57 180  307182019D  307182019E"</f>
        <v>57 180  307182019D  307182019E</v>
      </c>
      <c r="G616" s="2">
        <v>500</v>
      </c>
      <c r="H616" t="str">
        <f>"57 180  307182019D  307182019E"</f>
        <v>57 180  307182019D  307182019E</v>
      </c>
    </row>
    <row r="617" spans="1:8" x14ac:dyDescent="0.25">
      <c r="A617" t="s">
        <v>152</v>
      </c>
      <c r="B617">
        <v>132391</v>
      </c>
      <c r="C617" s="2">
        <v>452</v>
      </c>
      <c r="D617" s="1">
        <v>44025</v>
      </c>
      <c r="E617" t="str">
        <f>"1263"</f>
        <v>1263</v>
      </c>
      <c r="F617" t="str">
        <f>"INV 1263"</f>
        <v>INV 1263</v>
      </c>
      <c r="G617" s="2">
        <v>325</v>
      </c>
      <c r="H617" t="str">
        <f>"INV 1263"</f>
        <v>INV 1263</v>
      </c>
    </row>
    <row r="618" spans="1:8" x14ac:dyDescent="0.25">
      <c r="E618" t="str">
        <f>"1270"</f>
        <v>1270</v>
      </c>
      <c r="F618" t="str">
        <f>"INV 1270"</f>
        <v>INV 1270</v>
      </c>
      <c r="G618" s="2">
        <v>127</v>
      </c>
      <c r="H618" t="str">
        <f>"INV 1270"</f>
        <v>INV 1270</v>
      </c>
    </row>
    <row r="619" spans="1:8" x14ac:dyDescent="0.25">
      <c r="A619" t="s">
        <v>153</v>
      </c>
      <c r="B619">
        <v>132392</v>
      </c>
      <c r="C619" s="2">
        <v>200</v>
      </c>
      <c r="D619" s="1">
        <v>44025</v>
      </c>
      <c r="E619" t="str">
        <f>"202006267394"</f>
        <v>202006267394</v>
      </c>
      <c r="F619" t="str">
        <f>"REFUND RV PERMIT FEE"</f>
        <v>REFUND RV PERMIT FEE</v>
      </c>
      <c r="G619" s="2">
        <v>200</v>
      </c>
      <c r="H619" t="str">
        <f>"REFUND RV PERMIT FEE"</f>
        <v>REFUND RV PERMIT FEE</v>
      </c>
    </row>
    <row r="620" spans="1:8" x14ac:dyDescent="0.25">
      <c r="A620" t="s">
        <v>154</v>
      </c>
      <c r="B620">
        <v>132394</v>
      </c>
      <c r="C620" s="2">
        <v>97</v>
      </c>
      <c r="D620" s="1">
        <v>44025</v>
      </c>
      <c r="E620" t="str">
        <f>"202007067650"</f>
        <v>202007067650</v>
      </c>
      <c r="F620" t="str">
        <f>"REIMBURSE - DRIVER'S LICENSE"</f>
        <v>REIMBURSE - DRIVER'S LICENSE</v>
      </c>
      <c r="G620" s="2">
        <v>97</v>
      </c>
      <c r="H620" t="str">
        <f>"REIMBURSE - DRIVER'S LICENSE"</f>
        <v>REIMBURSE - DRIVER'S LICENSE</v>
      </c>
    </row>
    <row r="621" spans="1:8" x14ac:dyDescent="0.25">
      <c r="A621" t="s">
        <v>155</v>
      </c>
      <c r="B621">
        <v>132395</v>
      </c>
      <c r="C621" s="2">
        <v>2975</v>
      </c>
      <c r="D621" s="1">
        <v>44025</v>
      </c>
      <c r="E621" t="str">
        <f>"202006307444"</f>
        <v>202006307444</v>
      </c>
      <c r="F621" t="str">
        <f>"19-19632"</f>
        <v>19-19632</v>
      </c>
      <c r="G621" s="2">
        <v>300</v>
      </c>
      <c r="H621" t="str">
        <f>"19-19632"</f>
        <v>19-19632</v>
      </c>
    </row>
    <row r="622" spans="1:8" x14ac:dyDescent="0.25">
      <c r="E622" t="str">
        <f>"202006307445"</f>
        <v>202006307445</v>
      </c>
      <c r="F622" t="str">
        <f>"19-19537"</f>
        <v>19-19537</v>
      </c>
      <c r="G622" s="2">
        <v>450</v>
      </c>
      <c r="H622" t="str">
        <f>"19-19537"</f>
        <v>19-19537</v>
      </c>
    </row>
    <row r="623" spans="1:8" x14ac:dyDescent="0.25">
      <c r="E623" t="str">
        <f>"202006307446"</f>
        <v>202006307446</v>
      </c>
      <c r="F623" t="str">
        <f>"19-2022"</f>
        <v>19-2022</v>
      </c>
      <c r="G623" s="2">
        <v>400</v>
      </c>
      <c r="H623" t="str">
        <f>"19-2022"</f>
        <v>19-2022</v>
      </c>
    </row>
    <row r="624" spans="1:8" x14ac:dyDescent="0.25">
      <c r="E624" t="str">
        <f>"202006307447"</f>
        <v>202006307447</v>
      </c>
      <c r="F624" t="str">
        <f>"20-20110"</f>
        <v>20-20110</v>
      </c>
      <c r="G624" s="2">
        <v>450</v>
      </c>
      <c r="H624" t="str">
        <f>"20-20110"</f>
        <v>20-20110</v>
      </c>
    </row>
    <row r="625" spans="1:8" x14ac:dyDescent="0.25">
      <c r="E625" t="str">
        <f>"202006307448"</f>
        <v>202006307448</v>
      </c>
      <c r="F625" t="str">
        <f>"19-19963"</f>
        <v>19-19963</v>
      </c>
      <c r="G625" s="2">
        <v>300</v>
      </c>
      <c r="H625" t="str">
        <f>"19-19963"</f>
        <v>19-19963</v>
      </c>
    </row>
    <row r="626" spans="1:8" x14ac:dyDescent="0.25">
      <c r="E626" t="str">
        <f>"202006307449"</f>
        <v>202006307449</v>
      </c>
      <c r="F626" t="str">
        <f>"19-19864"</f>
        <v>19-19864</v>
      </c>
      <c r="G626" s="2">
        <v>400</v>
      </c>
      <c r="H626" t="str">
        <f>"19-19864"</f>
        <v>19-19864</v>
      </c>
    </row>
    <row r="627" spans="1:8" x14ac:dyDescent="0.25">
      <c r="E627" t="str">
        <f>"202006307450"</f>
        <v>202006307450</v>
      </c>
      <c r="F627" t="str">
        <f>"19-19623"</f>
        <v>19-19623</v>
      </c>
      <c r="G627" s="2">
        <v>375</v>
      </c>
      <c r="H627" t="str">
        <f>"19-19623"</f>
        <v>19-19623</v>
      </c>
    </row>
    <row r="628" spans="1:8" x14ac:dyDescent="0.25">
      <c r="E628" t="str">
        <f>"202006307451"</f>
        <v>202006307451</v>
      </c>
      <c r="F628" t="str">
        <f>"19-20022"</f>
        <v>19-20022</v>
      </c>
      <c r="G628" s="2">
        <v>300</v>
      </c>
      <c r="H628" t="str">
        <f>"19-20022"</f>
        <v>19-20022</v>
      </c>
    </row>
    <row r="629" spans="1:8" x14ac:dyDescent="0.25">
      <c r="A629" t="s">
        <v>155</v>
      </c>
      <c r="B629">
        <v>132518</v>
      </c>
      <c r="C629" s="2">
        <v>375</v>
      </c>
      <c r="D629" s="1">
        <v>44039</v>
      </c>
      <c r="E629" t="str">
        <f>"202007177909"</f>
        <v>202007177909</v>
      </c>
      <c r="F629" t="str">
        <f>"19-20022"</f>
        <v>19-20022</v>
      </c>
      <c r="G629" s="2">
        <v>375</v>
      </c>
      <c r="H629" t="str">
        <f>"19-20022"</f>
        <v>19-20022</v>
      </c>
    </row>
    <row r="630" spans="1:8" x14ac:dyDescent="0.25">
      <c r="A630" t="s">
        <v>156</v>
      </c>
      <c r="B630">
        <v>2846</v>
      </c>
      <c r="C630" s="2">
        <v>800</v>
      </c>
      <c r="D630" s="1">
        <v>44026</v>
      </c>
      <c r="E630" t="str">
        <f>"202007027519"</f>
        <v>202007027519</v>
      </c>
      <c r="F630" t="str">
        <f>"16976  402252014  C20-0021"</f>
        <v>16976  402252014  C20-0021</v>
      </c>
      <c r="G630" s="2">
        <v>800</v>
      </c>
      <c r="H630" t="str">
        <f>"16976  402252014  C20-0021"</f>
        <v>16976  402252014  C20-0021</v>
      </c>
    </row>
    <row r="631" spans="1:8" x14ac:dyDescent="0.25">
      <c r="A631" t="s">
        <v>156</v>
      </c>
      <c r="B631">
        <v>2915</v>
      </c>
      <c r="C631" s="2">
        <v>950</v>
      </c>
      <c r="D631" s="1">
        <v>44040</v>
      </c>
      <c r="E631" t="str">
        <f>"202007177911"</f>
        <v>202007177911</v>
      </c>
      <c r="F631" t="str">
        <f>"020923.1"</f>
        <v>020923.1</v>
      </c>
      <c r="G631" s="2">
        <v>250</v>
      </c>
      <c r="H631" t="str">
        <f>"020923.1"</f>
        <v>020923.1</v>
      </c>
    </row>
    <row r="632" spans="1:8" x14ac:dyDescent="0.25">
      <c r="E632" t="str">
        <f>"202007217963"</f>
        <v>202007217963</v>
      </c>
      <c r="F632" t="str">
        <f>"16607"</f>
        <v>16607</v>
      </c>
      <c r="G632" s="2">
        <v>400</v>
      </c>
      <c r="H632" t="str">
        <f>"16607"</f>
        <v>16607</v>
      </c>
    </row>
    <row r="633" spans="1:8" x14ac:dyDescent="0.25">
      <c r="E633" t="str">
        <f>"202007217964"</f>
        <v>202007217964</v>
      </c>
      <c r="F633" t="str">
        <f>"423-7082"</f>
        <v>423-7082</v>
      </c>
      <c r="G633" s="2">
        <v>100</v>
      </c>
      <c r="H633" t="str">
        <f>"423-7082"</f>
        <v>423-7082</v>
      </c>
    </row>
    <row r="634" spans="1:8" x14ac:dyDescent="0.25">
      <c r="E634" t="str">
        <f>"202007217965"</f>
        <v>202007217965</v>
      </c>
      <c r="F634" t="str">
        <f>"423-7341  1565-21"</f>
        <v>423-7341  1565-21</v>
      </c>
      <c r="G634" s="2">
        <v>200</v>
      </c>
      <c r="H634" t="str">
        <f>"423-7341  1565-21"</f>
        <v>423-7341  1565-21</v>
      </c>
    </row>
    <row r="635" spans="1:8" x14ac:dyDescent="0.25">
      <c r="A635" t="s">
        <v>157</v>
      </c>
      <c r="B635">
        <v>132396</v>
      </c>
      <c r="C635" s="2">
        <v>1620.75</v>
      </c>
      <c r="D635" s="1">
        <v>44025</v>
      </c>
      <c r="E635" t="str">
        <f>"202006307410"</f>
        <v>202006307410</v>
      </c>
      <c r="F635" t="str">
        <f>"423-2327"</f>
        <v>423-2327</v>
      </c>
      <c r="G635" s="2">
        <v>285</v>
      </c>
      <c r="H635" t="str">
        <f>"423-2327"</f>
        <v>423-2327</v>
      </c>
    </row>
    <row r="636" spans="1:8" x14ac:dyDescent="0.25">
      <c r="E636" t="str">
        <f>"202006307411"</f>
        <v>202006307411</v>
      </c>
      <c r="F636" t="str">
        <f>"423-7276"</f>
        <v>423-7276</v>
      </c>
      <c r="G636" s="2">
        <v>300</v>
      </c>
      <c r="H636" t="str">
        <f>"423-7276"</f>
        <v>423-7276</v>
      </c>
    </row>
    <row r="637" spans="1:8" x14ac:dyDescent="0.25">
      <c r="E637" t="str">
        <f>"202007037599"</f>
        <v>202007037599</v>
      </c>
      <c r="F637" t="str">
        <f>"20-S-00578"</f>
        <v>20-S-00578</v>
      </c>
      <c r="G637" s="2">
        <v>125</v>
      </c>
      <c r="H637" t="str">
        <f>"KAYCI SCHULTZ WATSON"</f>
        <v>KAYCI SCHULTZ WATSON</v>
      </c>
    </row>
    <row r="638" spans="1:8" x14ac:dyDescent="0.25">
      <c r="E638" t="str">
        <f>"202007037632"</f>
        <v>202007037632</v>
      </c>
      <c r="F638" t="str">
        <f>"20-20060"</f>
        <v>20-20060</v>
      </c>
      <c r="G638" s="2">
        <v>207</v>
      </c>
      <c r="H638" t="str">
        <f>"20-20060"</f>
        <v>20-20060</v>
      </c>
    </row>
    <row r="639" spans="1:8" x14ac:dyDescent="0.25">
      <c r="E639" t="str">
        <f>"202007037633"</f>
        <v>202007037633</v>
      </c>
      <c r="F639" t="str">
        <f>"20-20227"</f>
        <v>20-20227</v>
      </c>
      <c r="G639" s="2">
        <v>377.5</v>
      </c>
      <c r="H639" t="str">
        <f>"20-20227"</f>
        <v>20-20227</v>
      </c>
    </row>
    <row r="640" spans="1:8" x14ac:dyDescent="0.25">
      <c r="E640" t="str">
        <f>"202007037634"</f>
        <v>202007037634</v>
      </c>
      <c r="F640" t="str">
        <f>"19-20022"</f>
        <v>19-20022</v>
      </c>
      <c r="G640" s="2">
        <v>326.25</v>
      </c>
      <c r="H640" t="str">
        <f>"19-20022"</f>
        <v>19-20022</v>
      </c>
    </row>
    <row r="641" spans="1:8" x14ac:dyDescent="0.25">
      <c r="A641" t="s">
        <v>158</v>
      </c>
      <c r="B641">
        <v>132519</v>
      </c>
      <c r="C641" s="2">
        <v>444.51</v>
      </c>
      <c r="D641" s="1">
        <v>44039</v>
      </c>
      <c r="E641" t="str">
        <f>"1520-00000167507"</f>
        <v>1520-00000167507</v>
      </c>
      <c r="F641" t="str">
        <f>"INV 1520-00000167507"</f>
        <v>INV 1520-00000167507</v>
      </c>
      <c r="G641" s="2">
        <v>281.73</v>
      </c>
      <c r="H641" t="str">
        <f>"INV 1520-00000167507"</f>
        <v>INV 1520-00000167507</v>
      </c>
    </row>
    <row r="642" spans="1:8" x14ac:dyDescent="0.25">
      <c r="E642" t="str">
        <f>"1520-00000167661"</f>
        <v>1520-00000167661</v>
      </c>
      <c r="F642" t="str">
        <f>"INV 1520-00000167661"</f>
        <v>INV 1520-00000167661</v>
      </c>
      <c r="G642" s="2">
        <v>162.78</v>
      </c>
      <c r="H642" t="str">
        <f>"INV 1520-00000167661"</f>
        <v>INV 1520-00000167661</v>
      </c>
    </row>
    <row r="643" spans="1:8" x14ac:dyDescent="0.25">
      <c r="A643" t="s">
        <v>159</v>
      </c>
      <c r="B643">
        <v>2835</v>
      </c>
      <c r="C643" s="2">
        <v>2717</v>
      </c>
      <c r="D643" s="1">
        <v>44026</v>
      </c>
      <c r="E643" t="str">
        <f>"332"</f>
        <v>332</v>
      </c>
      <c r="F643" t="str">
        <f>"TOWER RENT - JULY"</f>
        <v>TOWER RENT - JULY</v>
      </c>
      <c r="G643" s="2">
        <v>2717</v>
      </c>
      <c r="H643" t="str">
        <f>"TOWER RENT - JULY"</f>
        <v>TOWER RENT - JULY</v>
      </c>
    </row>
    <row r="644" spans="1:8" x14ac:dyDescent="0.25">
      <c r="A644" t="s">
        <v>160</v>
      </c>
      <c r="B644">
        <v>132520</v>
      </c>
      <c r="C644" s="2">
        <v>70</v>
      </c>
      <c r="D644" s="1">
        <v>44039</v>
      </c>
      <c r="E644" t="str">
        <f>"202007217971"</f>
        <v>202007217971</v>
      </c>
      <c r="F644" t="str">
        <f>"PER DIEM"</f>
        <v>PER DIEM</v>
      </c>
      <c r="G644" s="2">
        <v>70</v>
      </c>
      <c r="H644" t="str">
        <f>"PER DIEM"</f>
        <v>PER DIEM</v>
      </c>
    </row>
    <row r="645" spans="1:8" x14ac:dyDescent="0.25">
      <c r="A645" t="s">
        <v>161</v>
      </c>
      <c r="B645">
        <v>132521</v>
      </c>
      <c r="C645" s="2">
        <v>1485.9</v>
      </c>
      <c r="D645" s="1">
        <v>44039</v>
      </c>
      <c r="E645" t="str">
        <f>"202007157862"</f>
        <v>202007157862</v>
      </c>
      <c r="F645" t="str">
        <f>"1342-21"</f>
        <v>1342-21</v>
      </c>
      <c r="G645" s="2">
        <v>1485.9</v>
      </c>
      <c r="H645" t="str">
        <f>"1342-21"</f>
        <v>1342-21</v>
      </c>
    </row>
    <row r="646" spans="1:8" x14ac:dyDescent="0.25">
      <c r="A646" t="s">
        <v>162</v>
      </c>
      <c r="B646">
        <v>132522</v>
      </c>
      <c r="C646" s="2">
        <v>375</v>
      </c>
      <c r="D646" s="1">
        <v>44039</v>
      </c>
      <c r="E646" t="str">
        <f>"1"</f>
        <v>1</v>
      </c>
      <c r="F646" t="str">
        <f>"CONSULTING-VETERINARY TECH"</f>
        <v>CONSULTING-VETERINARY TECH</v>
      </c>
      <c r="G646" s="2">
        <v>125</v>
      </c>
      <c r="H646" t="str">
        <f>"CONSULTING-VETERINARY TECH"</f>
        <v>CONSULTING-VETERINARY TECH</v>
      </c>
    </row>
    <row r="647" spans="1:8" x14ac:dyDescent="0.25">
      <c r="E647" t="str">
        <f>"2"</f>
        <v>2</v>
      </c>
      <c r="F647" t="str">
        <f>"CONSULTING-JULY 14"</f>
        <v>CONSULTING-JULY 14</v>
      </c>
      <c r="G647" s="2">
        <v>125</v>
      </c>
      <c r="H647" t="str">
        <f>"CONSULTING-JULY 14"</f>
        <v>CONSULTING-JULY 14</v>
      </c>
    </row>
    <row r="648" spans="1:8" x14ac:dyDescent="0.25">
      <c r="E648" t="str">
        <f>"3"</f>
        <v>3</v>
      </c>
      <c r="F648" t="str">
        <f>"CONSULTING - JULY 20"</f>
        <v>CONSULTING - JULY 20</v>
      </c>
      <c r="G648" s="2">
        <v>125</v>
      </c>
      <c r="H648" t="str">
        <f>"CONSULTING - JULY 20"</f>
        <v>CONSULTING - JULY 20</v>
      </c>
    </row>
    <row r="649" spans="1:8" x14ac:dyDescent="0.25">
      <c r="A649" t="s">
        <v>163</v>
      </c>
      <c r="B649">
        <v>132397</v>
      </c>
      <c r="C649" s="2">
        <v>256.92</v>
      </c>
      <c r="D649" s="1">
        <v>44025</v>
      </c>
      <c r="E649" t="str">
        <f>"266329"</f>
        <v>266329</v>
      </c>
      <c r="F649" t="str">
        <f>"ACCT#BASCO1/PCT#1"</f>
        <v>ACCT#BASCO1/PCT#1</v>
      </c>
      <c r="G649" s="2">
        <v>256.92</v>
      </c>
      <c r="H649" t="str">
        <f>"ACCT#BASCO1/PCT#1"</f>
        <v>ACCT#BASCO1/PCT#1</v>
      </c>
    </row>
    <row r="650" spans="1:8" x14ac:dyDescent="0.25">
      <c r="A650" t="s">
        <v>163</v>
      </c>
      <c r="B650">
        <v>132523</v>
      </c>
      <c r="C650" s="2">
        <v>164.34</v>
      </c>
      <c r="D650" s="1">
        <v>44039</v>
      </c>
      <c r="E650" t="str">
        <f>"266333"</f>
        <v>266333</v>
      </c>
      <c r="F650" t="str">
        <f>"ACCT#BASCO1/PCT#1"</f>
        <v>ACCT#BASCO1/PCT#1</v>
      </c>
      <c r="G650" s="2">
        <v>164.34</v>
      </c>
      <c r="H650" t="str">
        <f>"ACCT#BASCO1/PCT#1"</f>
        <v>ACCT#BASCO1/PCT#1</v>
      </c>
    </row>
    <row r="651" spans="1:8" x14ac:dyDescent="0.25">
      <c r="A651" t="s">
        <v>164</v>
      </c>
      <c r="B651">
        <v>2803</v>
      </c>
      <c r="C651" s="2">
        <v>99</v>
      </c>
      <c r="D651" s="1">
        <v>44026</v>
      </c>
      <c r="E651" t="str">
        <f>"276238"</f>
        <v>276238</v>
      </c>
      <c r="F651" t="str">
        <f>"ORD#1269-9884/211 JACKSON ST"</f>
        <v>ORD#1269-9884/211 JACKSON ST</v>
      </c>
      <c r="G651" s="2">
        <v>99</v>
      </c>
      <c r="H651" t="str">
        <f>"ORD#1269-9884/211 JACKSON ST"</f>
        <v>ORD#1269-9884/211 JACKSON ST</v>
      </c>
    </row>
    <row r="652" spans="1:8" x14ac:dyDescent="0.25">
      <c r="A652" t="s">
        <v>164</v>
      </c>
      <c r="B652">
        <v>2881</v>
      </c>
      <c r="C652" s="2">
        <v>210</v>
      </c>
      <c r="D652" s="1">
        <v>44040</v>
      </c>
      <c r="E652" t="str">
        <f>"276488"</f>
        <v>276488</v>
      </c>
      <c r="F652" t="str">
        <f>"ORD#19204347/SMOKE DETECTOR"</f>
        <v>ORD#19204347/SMOKE DETECTOR</v>
      </c>
      <c r="G652" s="2">
        <v>210</v>
      </c>
      <c r="H652" t="str">
        <f>"ORD#19204347/SMOKE DETECTOR"</f>
        <v>ORD#19204347/SMOKE DETECTOR</v>
      </c>
    </row>
    <row r="653" spans="1:8" x14ac:dyDescent="0.25">
      <c r="A653" t="s">
        <v>165</v>
      </c>
      <c r="B653">
        <v>132398</v>
      </c>
      <c r="C653" s="2">
        <v>1514.8</v>
      </c>
      <c r="D653" s="1">
        <v>44025</v>
      </c>
      <c r="E653" t="str">
        <f>"202007067643"</f>
        <v>202007067643</v>
      </c>
      <c r="F653" t="str">
        <f>"ACCT#1645/WILDIRE MITIGATION"</f>
        <v>ACCT#1645/WILDIRE MITIGATION</v>
      </c>
      <c r="G653" s="2">
        <v>201.1</v>
      </c>
      <c r="H653" t="str">
        <f>"ACCT#1645/WILDIRE MITIGATION"</f>
        <v>ACCT#1645/WILDIRE MITIGATION</v>
      </c>
    </row>
    <row r="654" spans="1:8" x14ac:dyDescent="0.25">
      <c r="E654" t="str">
        <f>"202007067645"</f>
        <v>202007067645</v>
      </c>
      <c r="F654" t="str">
        <f>"ACCT#1700/PCT#2"</f>
        <v>ACCT#1700/PCT#2</v>
      </c>
      <c r="G654" s="2">
        <v>220.86</v>
      </c>
      <c r="H654" t="str">
        <f>"ACCT#1700/PCT#2"</f>
        <v>ACCT#1700/PCT#2</v>
      </c>
    </row>
    <row r="655" spans="1:8" x14ac:dyDescent="0.25">
      <c r="E655" t="str">
        <f>"202007067646"</f>
        <v>202007067646</v>
      </c>
      <c r="F655" t="str">
        <f>"ACCT#1750/PCT#3"</f>
        <v>ACCT#1750/PCT#3</v>
      </c>
      <c r="G655" s="2">
        <v>163.35</v>
      </c>
      <c r="H655" t="str">
        <f>"ACCT#1750/PCT#3"</f>
        <v>ACCT#1750/PCT#3</v>
      </c>
    </row>
    <row r="656" spans="1:8" x14ac:dyDescent="0.25">
      <c r="E656" t="str">
        <f>"202007067647"</f>
        <v>202007067647</v>
      </c>
      <c r="F656" t="str">
        <f>"ACCT#1800/PCT#4"</f>
        <v>ACCT#1800/PCT#4</v>
      </c>
      <c r="G656" s="2">
        <v>476.53</v>
      </c>
      <c r="H656" t="str">
        <f>"ACCT#1800/PCT#4"</f>
        <v>ACCT#1800/PCT#4</v>
      </c>
    </row>
    <row r="657" spans="1:8" x14ac:dyDescent="0.25">
      <c r="E657" t="str">
        <f>"202007077655"</f>
        <v>202007077655</v>
      </c>
      <c r="F657" t="str">
        <f>"ACCT#1162"</f>
        <v>ACCT#1162</v>
      </c>
      <c r="G657" s="2">
        <v>99.98</v>
      </c>
      <c r="H657" t="str">
        <f>"ACCT#1162"</f>
        <v>ACCT#1162</v>
      </c>
    </row>
    <row r="658" spans="1:8" x14ac:dyDescent="0.25">
      <c r="E658" t="str">
        <f>"202007087801"</f>
        <v>202007087801</v>
      </c>
      <c r="F658" t="str">
        <f>"ACCT#1650/PCT#1"</f>
        <v>ACCT#1650/PCT#1</v>
      </c>
      <c r="G658" s="2">
        <v>352.98</v>
      </c>
      <c r="H658" t="str">
        <f>"ACCT#1650/PCT#1"</f>
        <v>ACCT#1650/PCT#1</v>
      </c>
    </row>
    <row r="659" spans="1:8" x14ac:dyDescent="0.25">
      <c r="A659" t="s">
        <v>166</v>
      </c>
      <c r="B659">
        <v>2789</v>
      </c>
      <c r="C659" s="2">
        <v>2928.21</v>
      </c>
      <c r="D659" s="1">
        <v>44026</v>
      </c>
      <c r="E659" t="str">
        <f>"06177530 06249536"</f>
        <v>06177530 06249536</v>
      </c>
      <c r="F659" t="str">
        <f>"INV 06177530"</f>
        <v>INV 06177530</v>
      </c>
      <c r="G659" s="2">
        <v>2928.21</v>
      </c>
      <c r="H659" t="str">
        <f>"INV 06177530"</f>
        <v>INV 06177530</v>
      </c>
    </row>
    <row r="660" spans="1:8" x14ac:dyDescent="0.25">
      <c r="E660" t="str">
        <f>""</f>
        <v/>
      </c>
      <c r="F660" t="str">
        <f>""</f>
        <v/>
      </c>
      <c r="H660" t="str">
        <f>"INV 06249536"</f>
        <v>INV 06249536</v>
      </c>
    </row>
    <row r="661" spans="1:8" x14ac:dyDescent="0.25">
      <c r="E661" t="str">
        <f>""</f>
        <v/>
      </c>
      <c r="F661" t="str">
        <f>""</f>
        <v/>
      </c>
      <c r="H661" t="str">
        <f>"INV 07011969"</f>
        <v>INV 07011969</v>
      </c>
    </row>
    <row r="662" spans="1:8" x14ac:dyDescent="0.25">
      <c r="A662" t="s">
        <v>166</v>
      </c>
      <c r="B662">
        <v>2874</v>
      </c>
      <c r="C662" s="2">
        <v>2647.45</v>
      </c>
      <c r="D662" s="1">
        <v>44040</v>
      </c>
      <c r="E662" t="str">
        <f>"07080593 07151339"</f>
        <v>07080593 07151339</v>
      </c>
      <c r="F662" t="str">
        <f>"INV 07080593"</f>
        <v>INV 07080593</v>
      </c>
      <c r="G662" s="2">
        <v>2647.45</v>
      </c>
      <c r="H662" t="str">
        <f>"INV 07080593"</f>
        <v>INV 07080593</v>
      </c>
    </row>
    <row r="663" spans="1:8" x14ac:dyDescent="0.25">
      <c r="E663" t="str">
        <f>""</f>
        <v/>
      </c>
      <c r="F663" t="str">
        <f>""</f>
        <v/>
      </c>
      <c r="H663" t="str">
        <f>"INV 07151339"</f>
        <v>INV 07151339</v>
      </c>
    </row>
    <row r="664" spans="1:8" x14ac:dyDescent="0.25">
      <c r="A664" t="s">
        <v>167</v>
      </c>
      <c r="B664">
        <v>2822</v>
      </c>
      <c r="C664" s="2">
        <v>150</v>
      </c>
      <c r="D664" s="1">
        <v>44026</v>
      </c>
      <c r="E664" t="str">
        <f>"202007067649"</f>
        <v>202007067649</v>
      </c>
      <c r="F664" t="str">
        <f>"CLEANING SERVICE-JULY 5/PCT#2"</f>
        <v>CLEANING SERVICE-JULY 5/PCT#2</v>
      </c>
      <c r="G664" s="2">
        <v>150</v>
      </c>
      <c r="H664" t="str">
        <f>"CLEANING SERVICE-JULY 5/PCT#2"</f>
        <v>CLEANING SERVICE-JULY 5/PCT#2</v>
      </c>
    </row>
    <row r="665" spans="1:8" x14ac:dyDescent="0.25">
      <c r="A665" t="s">
        <v>168</v>
      </c>
      <c r="B665">
        <v>132524</v>
      </c>
      <c r="C665" s="2">
        <v>590</v>
      </c>
      <c r="D665" s="1">
        <v>44039</v>
      </c>
      <c r="E665" t="str">
        <f>"202007217973"</f>
        <v>202007217973</v>
      </c>
      <c r="F665" t="str">
        <f>"TRAINING"</f>
        <v>TRAINING</v>
      </c>
      <c r="G665" s="2">
        <v>590</v>
      </c>
      <c r="H665" t="str">
        <f>"TRAINING J. MILLER"</f>
        <v>TRAINING J. MILLER</v>
      </c>
    </row>
    <row r="666" spans="1:8" x14ac:dyDescent="0.25">
      <c r="E666" t="str">
        <f>""</f>
        <v/>
      </c>
      <c r="F666" t="str">
        <f>""</f>
        <v/>
      </c>
      <c r="H666" t="str">
        <f>"TRAINING K. LITTLE"</f>
        <v>TRAINING K. LITTLE</v>
      </c>
    </row>
    <row r="667" spans="1:8" x14ac:dyDescent="0.25">
      <c r="A667" t="s">
        <v>169</v>
      </c>
      <c r="B667">
        <v>132399</v>
      </c>
      <c r="C667" s="2">
        <v>118.12</v>
      </c>
      <c r="D667" s="1">
        <v>44025</v>
      </c>
      <c r="E667" t="str">
        <f>"741327"</f>
        <v>741327</v>
      </c>
      <c r="F667" t="str">
        <f>"ACCT#1325/KIT-CLUTCH/PCT#4"</f>
        <v>ACCT#1325/KIT-CLUTCH/PCT#4</v>
      </c>
      <c r="G667" s="2">
        <v>118.12</v>
      </c>
      <c r="H667" t="str">
        <f>"ACCT#1325/KIT-CLUTCH/PCT#4"</f>
        <v>ACCT#1325/KIT-CLUTCH/PCT#4</v>
      </c>
    </row>
    <row r="668" spans="1:8" x14ac:dyDescent="0.25">
      <c r="A668" t="s">
        <v>170</v>
      </c>
      <c r="B668">
        <v>132400</v>
      </c>
      <c r="C668" s="2">
        <v>915.9</v>
      </c>
      <c r="D668" s="1">
        <v>44025</v>
      </c>
      <c r="E668" t="str">
        <f>"1211621-20200630"</f>
        <v>1211621-20200630</v>
      </c>
      <c r="F668" t="str">
        <f>"BILL ID:1211621/HEALTH SVCS"</f>
        <v>BILL ID:1211621/HEALTH SVCS</v>
      </c>
      <c r="G668" s="2">
        <v>347.9</v>
      </c>
      <c r="H668" t="str">
        <f>"BILL ID:1211621/HEALTH SVCS"</f>
        <v>BILL ID:1211621/HEALTH SVCS</v>
      </c>
    </row>
    <row r="669" spans="1:8" x14ac:dyDescent="0.25">
      <c r="E669" t="str">
        <f>"1361725-20200630"</f>
        <v>1361725-20200630</v>
      </c>
      <c r="F669" t="str">
        <f>"BILL ID:1361725/INDIGENT HEALT"</f>
        <v>BILL ID:1361725/INDIGENT HEALT</v>
      </c>
      <c r="G669" s="2">
        <v>150</v>
      </c>
      <c r="H669" t="str">
        <f>"BILL ID:1361725/INDIGENT HEALT"</f>
        <v>BILL ID:1361725/INDIGENT HEALT</v>
      </c>
    </row>
    <row r="670" spans="1:8" x14ac:dyDescent="0.25">
      <c r="E670" t="str">
        <f>"1394645-20200630"</f>
        <v>1394645-20200630</v>
      </c>
      <c r="F670" t="str">
        <f>"BILL IS:1394645/COUNTY CLERK"</f>
        <v>BILL IS:1394645/COUNTY CLERK</v>
      </c>
      <c r="G670" s="2">
        <v>50</v>
      </c>
      <c r="H670" t="str">
        <f>"BILL IS:1394645/COUNTY CLERK"</f>
        <v>BILL IS:1394645/COUNTY CLERK</v>
      </c>
    </row>
    <row r="671" spans="1:8" x14ac:dyDescent="0.25">
      <c r="E671" t="str">
        <f>"1420944-20200630"</f>
        <v>1420944-20200630</v>
      </c>
      <c r="F671" t="str">
        <f>"BILL ID:1420944/SHERIFF'S OFF"</f>
        <v>BILL ID:1420944/SHERIFF'S OFF</v>
      </c>
      <c r="G671" s="2">
        <v>318</v>
      </c>
      <c r="H671" t="str">
        <f>"BILL ID:1420944/SHERIFF'S OFF"</f>
        <v>BILL ID:1420944/SHERIFF'S OFF</v>
      </c>
    </row>
    <row r="672" spans="1:8" x14ac:dyDescent="0.25">
      <c r="E672" t="str">
        <f>"1489870-20200630"</f>
        <v>1489870-20200630</v>
      </c>
      <c r="F672" t="str">
        <f>"BILL ID:1489870/DISTRICT CLERK"</f>
        <v>BILL ID:1489870/DISTRICT CLERK</v>
      </c>
      <c r="G672" s="2">
        <v>50</v>
      </c>
      <c r="H672" t="str">
        <f>"BILL ID:1489870/DISTRICT CLERK"</f>
        <v>BILL ID:1489870/DISTRICT CLERK</v>
      </c>
    </row>
    <row r="673" spans="1:8" x14ac:dyDescent="0.25">
      <c r="A673" t="s">
        <v>171</v>
      </c>
      <c r="B673">
        <v>132401</v>
      </c>
      <c r="C673" s="2">
        <v>1350.78</v>
      </c>
      <c r="D673" s="1">
        <v>44025</v>
      </c>
      <c r="E673" t="str">
        <f>"1842288"</f>
        <v>1842288</v>
      </c>
      <c r="F673" t="str">
        <f>"ACCT#15717/CAR TIRE"</f>
        <v>ACCT#15717/CAR TIRE</v>
      </c>
      <c r="G673" s="2">
        <v>1218.06</v>
      </c>
      <c r="H673" t="str">
        <f>"ACCT#15717/CAR TIRE"</f>
        <v>ACCT#15717/CAR TIRE</v>
      </c>
    </row>
    <row r="674" spans="1:8" x14ac:dyDescent="0.25">
      <c r="E674" t="str">
        <f>"1844951"</f>
        <v>1844951</v>
      </c>
      <c r="F674" t="str">
        <f>"ACCT#15717/708 BULL RUN"</f>
        <v>ACCT#15717/708 BULL RUN</v>
      </c>
      <c r="G674" s="2">
        <v>132.72</v>
      </c>
      <c r="H674" t="str">
        <f>"ACCT#15717/708 BULL RUN"</f>
        <v>ACCT#15717/708 BULL RUN</v>
      </c>
    </row>
    <row r="675" spans="1:8" x14ac:dyDescent="0.25">
      <c r="A675" t="s">
        <v>172</v>
      </c>
      <c r="B675">
        <v>2838</v>
      </c>
      <c r="C675" s="2">
        <v>284.27999999999997</v>
      </c>
      <c r="D675" s="1">
        <v>44026</v>
      </c>
      <c r="E675" t="str">
        <f>"202007077668"</f>
        <v>202007077668</v>
      </c>
      <c r="F675" t="str">
        <f>"FNB CHARGE FOR CHECKS"</f>
        <v>FNB CHARGE FOR CHECKS</v>
      </c>
      <c r="G675" s="2">
        <v>284.27999999999997</v>
      </c>
      <c r="H675" t="str">
        <f>"FNB CHARGE FOR CHECKS"</f>
        <v>FNB CHARGE FOR CHECKS</v>
      </c>
    </row>
    <row r="676" spans="1:8" x14ac:dyDescent="0.25">
      <c r="A676" t="s">
        <v>173</v>
      </c>
      <c r="B676">
        <v>2839</v>
      </c>
      <c r="C676" s="2">
        <v>82.5</v>
      </c>
      <c r="D676" s="1">
        <v>44026</v>
      </c>
      <c r="E676" t="str">
        <f>"202007067648"</f>
        <v>202007067648</v>
      </c>
      <c r="F676" t="str">
        <f>"VEHICLE REGISTRATIONS/PCT#1"</f>
        <v>VEHICLE REGISTRATIONS/PCT#1</v>
      </c>
      <c r="G676" s="2">
        <v>15</v>
      </c>
      <c r="H676" t="str">
        <f>"VEHICLE REGISTRATIONS/PCT#1"</f>
        <v>VEHICLE REGISTRATIONS/PCT#1</v>
      </c>
    </row>
    <row r="677" spans="1:8" x14ac:dyDescent="0.25">
      <c r="E677" t="str">
        <f>"202007077665"</f>
        <v>202007077665</v>
      </c>
      <c r="F677" t="str">
        <f>"VEHICLE REGISTRATIONS/SHERIFF"</f>
        <v>VEHICLE REGISTRATIONS/SHERIFF</v>
      </c>
      <c r="G677" s="2">
        <v>67.5</v>
      </c>
      <c r="H677" t="str">
        <f>"VEHICLE REGISTRATIONS/SHERIFF"</f>
        <v>VEHICLE REGISTRATIONS/SHERIFF</v>
      </c>
    </row>
    <row r="678" spans="1:8" x14ac:dyDescent="0.25">
      <c r="A678" t="s">
        <v>173</v>
      </c>
      <c r="B678">
        <v>2908</v>
      </c>
      <c r="C678" s="2">
        <v>15</v>
      </c>
      <c r="D678" s="1">
        <v>44040</v>
      </c>
      <c r="E678" t="str">
        <f>"202007157876"</f>
        <v>202007157876</v>
      </c>
      <c r="F678" t="str">
        <f>"2017 FB TRAILER/PCT#1"</f>
        <v>2017 FB TRAILER/PCT#1</v>
      </c>
      <c r="G678" s="2">
        <v>7.5</v>
      </c>
      <c r="H678" t="str">
        <f>"2017 FB TRAILER/PCT#1"</f>
        <v>2017 FB TRAILER/PCT#1</v>
      </c>
    </row>
    <row r="679" spans="1:8" x14ac:dyDescent="0.25">
      <c r="E679" t="str">
        <f>"202007217969"</f>
        <v>202007217969</v>
      </c>
      <c r="F679" t="str">
        <f>"VEHICLE REGISTRATION/SHERIFF"</f>
        <v>VEHICLE REGISTRATION/SHERIFF</v>
      </c>
      <c r="G679" s="2">
        <v>7.5</v>
      </c>
      <c r="H679" t="str">
        <f>"VEHICLE REGISTRATION/SHERIFF"</f>
        <v>VEHICLE REGISTRATION/SHERIFF</v>
      </c>
    </row>
    <row r="680" spans="1:8" x14ac:dyDescent="0.25">
      <c r="A680" t="s">
        <v>174</v>
      </c>
      <c r="B680">
        <v>2810</v>
      </c>
      <c r="C680" s="2">
        <v>285</v>
      </c>
      <c r="D680" s="1">
        <v>44026</v>
      </c>
      <c r="E680" t="str">
        <f>"202006307414"</f>
        <v>202006307414</v>
      </c>
      <c r="F680" t="str">
        <f>"REIMBURSE STATE BAR DUES"</f>
        <v>REIMBURSE STATE BAR DUES</v>
      </c>
      <c r="G680" s="2">
        <v>285</v>
      </c>
      <c r="H680" t="str">
        <f>"REIMBURSE STATE BAR DUES"</f>
        <v>REIMBURSE STATE BAR DUES</v>
      </c>
    </row>
    <row r="681" spans="1:8" x14ac:dyDescent="0.25">
      <c r="A681" t="s">
        <v>175</v>
      </c>
      <c r="B681">
        <v>2813</v>
      </c>
      <c r="C681" s="2">
        <v>11873.23</v>
      </c>
      <c r="D681" s="1">
        <v>44026</v>
      </c>
      <c r="E681" t="str">
        <f>"202006237379"</f>
        <v>202006237379</v>
      </c>
      <c r="F681" t="str">
        <f>"GRANT REIMBURSEMENT"</f>
        <v>GRANT REIMBURSEMENT</v>
      </c>
      <c r="G681" s="2">
        <v>11873.23</v>
      </c>
      <c r="H681" t="str">
        <f>"GRANT REIMBURSEMENT"</f>
        <v>GRANT REIMBURSEMENT</v>
      </c>
    </row>
    <row r="682" spans="1:8" x14ac:dyDescent="0.25">
      <c r="A682" t="s">
        <v>175</v>
      </c>
      <c r="B682">
        <v>2887</v>
      </c>
      <c r="C682" s="2">
        <v>189.35</v>
      </c>
      <c r="D682" s="1">
        <v>44040</v>
      </c>
      <c r="E682" t="str">
        <f>"202007217985"</f>
        <v>202007217985</v>
      </c>
      <c r="F682" t="str">
        <f>"INDIGENT HEALTH"</f>
        <v>INDIGENT HEALTH</v>
      </c>
      <c r="G682" s="2">
        <v>189.35</v>
      </c>
      <c r="H682" t="str">
        <f>"INDIGENT HEALTH"</f>
        <v>INDIGENT HEALTH</v>
      </c>
    </row>
    <row r="683" spans="1:8" x14ac:dyDescent="0.25">
      <c r="E683" t="str">
        <f>""</f>
        <v/>
      </c>
      <c r="F683" t="str">
        <f>""</f>
        <v/>
      </c>
      <c r="H683" t="str">
        <f>"INDIGENT HEALTH"</f>
        <v>INDIGENT HEALTH</v>
      </c>
    </row>
    <row r="684" spans="1:8" x14ac:dyDescent="0.25">
      <c r="A684" t="s">
        <v>176</v>
      </c>
      <c r="B684">
        <v>2809</v>
      </c>
      <c r="C684" s="2">
        <v>735</v>
      </c>
      <c r="D684" s="1">
        <v>44026</v>
      </c>
      <c r="E684" t="str">
        <f>"GS-2014EXPLORER-ED"</f>
        <v>GS-2014EXPLORER-ED</v>
      </c>
      <c r="F684" t="str">
        <f>"INV GS-2014EXPLORER-ED"</f>
        <v>INV GS-2014EXPLORER-ED</v>
      </c>
      <c r="G684" s="2">
        <v>370</v>
      </c>
      <c r="H684" t="str">
        <f>"INV GS-2014EXPLORER-ED"</f>
        <v>INV GS-2014EXPLORER-ED</v>
      </c>
    </row>
    <row r="685" spans="1:8" x14ac:dyDescent="0.25">
      <c r="E685" t="str">
        <f>"LS-2020TAHOE-CW"</f>
        <v>LS-2020TAHOE-CW</v>
      </c>
      <c r="F685" t="str">
        <f>"INV LS-2020TAHOE-CW"</f>
        <v>INV LS-2020TAHOE-CW</v>
      </c>
      <c r="G685" s="2">
        <v>365</v>
      </c>
      <c r="H685" t="str">
        <f>"INV LS-2020TAHOE-CW"</f>
        <v>INV LS-2020TAHOE-CW</v>
      </c>
    </row>
    <row r="686" spans="1:8" x14ac:dyDescent="0.25">
      <c r="A686" t="s">
        <v>177</v>
      </c>
      <c r="B686">
        <v>2818</v>
      </c>
      <c r="C686" s="2">
        <v>721.5</v>
      </c>
      <c r="D686" s="1">
        <v>44026</v>
      </c>
      <c r="E686" t="str">
        <f>"202007087804"</f>
        <v>202007087804</v>
      </c>
      <c r="F686" t="str">
        <f>"TRASH REMOVAL JUNE 22-30/PCT#4"</f>
        <v>TRASH REMOVAL JUNE 22-30/PCT#4</v>
      </c>
      <c r="G686" s="2">
        <v>299</v>
      </c>
      <c r="H686" t="str">
        <f>"TRASH REMOVAL JUNE 22-30/PCT#4"</f>
        <v>TRASH REMOVAL JUNE 22-30/PCT#4</v>
      </c>
    </row>
    <row r="687" spans="1:8" x14ac:dyDescent="0.25">
      <c r="E687" t="str">
        <f>"202007087805"</f>
        <v>202007087805</v>
      </c>
      <c r="F687" t="str">
        <f>"TRASH REMOVAL JULY 1-9/PCT#4"</f>
        <v>TRASH REMOVAL JULY 1-9/PCT#4</v>
      </c>
      <c r="G687" s="2">
        <v>422.5</v>
      </c>
      <c r="H687" t="str">
        <f>"TRASH REMOVAL JULY 1-9/PCT#4"</f>
        <v>TRASH REMOVAL JULY 1-9/PCT#4</v>
      </c>
    </row>
    <row r="688" spans="1:8" x14ac:dyDescent="0.25">
      <c r="A688" t="s">
        <v>177</v>
      </c>
      <c r="B688">
        <v>2892</v>
      </c>
      <c r="C688" s="2">
        <v>806</v>
      </c>
      <c r="D688" s="1">
        <v>44040</v>
      </c>
      <c r="E688" t="str">
        <f>"202007228009"</f>
        <v>202007228009</v>
      </c>
      <c r="F688" t="str">
        <f>"TRASH REMOVAL 07/13-07/24/P4"</f>
        <v>TRASH REMOVAL 07/13-07/24/P4</v>
      </c>
      <c r="G688" s="2">
        <v>806</v>
      </c>
      <c r="H688" t="str">
        <f>"TRASH REMOVAL 07/13-07/24"</f>
        <v>TRASH REMOVAL 07/13-07/24</v>
      </c>
    </row>
    <row r="689" spans="1:8" x14ac:dyDescent="0.25">
      <c r="A689" t="s">
        <v>178</v>
      </c>
      <c r="B689">
        <v>2843</v>
      </c>
      <c r="C689" s="2">
        <v>160</v>
      </c>
      <c r="D689" s="1">
        <v>44026</v>
      </c>
      <c r="E689" t="str">
        <f>"202007077675"</f>
        <v>202007077675</v>
      </c>
      <c r="F689" t="str">
        <f>"CAR WASHES PATROL UNITS"</f>
        <v>CAR WASHES PATROL UNITS</v>
      </c>
      <c r="G689" s="2">
        <v>160</v>
      </c>
      <c r="H689" t="str">
        <f>"CAR WASHES PATROL UNITS"</f>
        <v>CAR WASHES PATROL UNITS</v>
      </c>
    </row>
    <row r="690" spans="1:8" x14ac:dyDescent="0.25">
      <c r="A690" t="s">
        <v>179</v>
      </c>
      <c r="B690">
        <v>132402</v>
      </c>
      <c r="C690" s="2">
        <v>2434.98</v>
      </c>
      <c r="D690" s="1">
        <v>44025</v>
      </c>
      <c r="E690" t="str">
        <f>"BC-4DM48657-4"</f>
        <v>BC-4DM48657-4</v>
      </c>
      <c r="F690" t="str">
        <f>"2003 FRHT/PCT#3"</f>
        <v>2003 FRHT/PCT#3</v>
      </c>
      <c r="G690" s="2">
        <v>2434.98</v>
      </c>
      <c r="H690" t="str">
        <f>"2003 FRHT/PCT#3"</f>
        <v>2003 FRHT/PCT#3</v>
      </c>
    </row>
    <row r="691" spans="1:8" x14ac:dyDescent="0.25">
      <c r="A691" t="s">
        <v>180</v>
      </c>
      <c r="B691">
        <v>132403</v>
      </c>
      <c r="C691" s="2">
        <v>436.22</v>
      </c>
      <c r="D691" s="1">
        <v>44025</v>
      </c>
      <c r="E691" t="str">
        <f>"961879 912440 9105"</f>
        <v>961879 912440 9105</v>
      </c>
      <c r="F691" t="str">
        <f>"acct# 8692"</f>
        <v>acct# 8692</v>
      </c>
      <c r="G691" s="2">
        <v>436.22</v>
      </c>
      <c r="H691" t="str">
        <f>"inv# 912440"</f>
        <v>inv# 912440</v>
      </c>
    </row>
    <row r="692" spans="1:8" x14ac:dyDescent="0.25">
      <c r="E692" t="str">
        <f>""</f>
        <v/>
      </c>
      <c r="F692" t="str">
        <f>""</f>
        <v/>
      </c>
      <c r="H692" t="str">
        <f>"inv# 910592"</f>
        <v>inv# 910592</v>
      </c>
    </row>
    <row r="693" spans="1:8" x14ac:dyDescent="0.25">
      <c r="E693" t="str">
        <f>""</f>
        <v/>
      </c>
      <c r="F693" t="str">
        <f>""</f>
        <v/>
      </c>
      <c r="H693" t="str">
        <f>"inv# 961879"</f>
        <v>inv# 961879</v>
      </c>
    </row>
    <row r="694" spans="1:8" x14ac:dyDescent="0.25">
      <c r="A694" t="s">
        <v>181</v>
      </c>
      <c r="B694">
        <v>2805</v>
      </c>
      <c r="C694" s="2">
        <v>1044.69</v>
      </c>
      <c r="D694" s="1">
        <v>44026</v>
      </c>
      <c r="E694" t="str">
        <f>"202006237372"</f>
        <v>202006237372</v>
      </c>
      <c r="F694" t="str">
        <f>"423RD DIST CT 061620"</f>
        <v>423RD DIST CT 061620</v>
      </c>
      <c r="G694" s="2">
        <v>125</v>
      </c>
      <c r="H694" t="str">
        <f>"423RD DIST CT 061620"</f>
        <v>423RD DIST CT 061620</v>
      </c>
    </row>
    <row r="695" spans="1:8" x14ac:dyDescent="0.25">
      <c r="E695" t="str">
        <f>"202006297404"</f>
        <v>202006297404</v>
      </c>
      <c r="F695" t="str">
        <f>"423-6569"</f>
        <v>423-6569</v>
      </c>
      <c r="G695" s="2">
        <v>794.69</v>
      </c>
      <c r="H695" t="str">
        <f>"423-6569"</f>
        <v>423-6569</v>
      </c>
    </row>
    <row r="696" spans="1:8" x14ac:dyDescent="0.25">
      <c r="E696" t="str">
        <f>"202006307465"</f>
        <v>202006307465</v>
      </c>
      <c r="F696" t="str">
        <f>"COUNTY CLERK 061620"</f>
        <v>COUNTY CLERK 061620</v>
      </c>
      <c r="G696" s="2">
        <v>125</v>
      </c>
      <c r="H696" t="str">
        <f>"COUNTY CLERK 061620"</f>
        <v>COUNTY CLERK 061620</v>
      </c>
    </row>
    <row r="697" spans="1:8" x14ac:dyDescent="0.25">
      <c r="A697" t="s">
        <v>181</v>
      </c>
      <c r="B697">
        <v>2883</v>
      </c>
      <c r="C697" s="2">
        <v>100</v>
      </c>
      <c r="D697" s="1">
        <v>44040</v>
      </c>
      <c r="E697" t="str">
        <f>"202007157855"</f>
        <v>202007157855</v>
      </c>
      <c r="F697" t="str">
        <f>"423RD DISTRICT COURT"</f>
        <v>423RD DISTRICT COURT</v>
      </c>
      <c r="G697" s="2">
        <v>100</v>
      </c>
      <c r="H697" t="str">
        <f>"423RD DISTRICT COURT"</f>
        <v>423RD DISTRICT COURT</v>
      </c>
    </row>
    <row r="698" spans="1:8" x14ac:dyDescent="0.25">
      <c r="A698" t="s">
        <v>182</v>
      </c>
      <c r="B698">
        <v>132404</v>
      </c>
      <c r="C698" s="2">
        <v>260</v>
      </c>
      <c r="D698" s="1">
        <v>44025</v>
      </c>
      <c r="E698" t="str">
        <f>"202006237377"</f>
        <v>202006237377</v>
      </c>
      <c r="F698" t="str">
        <f>"REIMBURSE STATE BAR DUES"</f>
        <v>REIMBURSE STATE BAR DUES</v>
      </c>
      <c r="G698" s="2">
        <v>260</v>
      </c>
      <c r="H698" t="str">
        <f>"REIMBURSE STATE BAR DUES"</f>
        <v>REIMBURSE STATE BAR DUES</v>
      </c>
    </row>
    <row r="699" spans="1:8" x14ac:dyDescent="0.25">
      <c r="A699" t="s">
        <v>183</v>
      </c>
      <c r="B699">
        <v>132525</v>
      </c>
      <c r="C699" s="2">
        <v>76.260000000000005</v>
      </c>
      <c r="D699" s="1">
        <v>44039</v>
      </c>
      <c r="E699" t="str">
        <f>"202007217986"</f>
        <v>202007217986</v>
      </c>
      <c r="F699" t="str">
        <f>"INDIGENT HEALTH"</f>
        <v>INDIGENT HEALTH</v>
      </c>
      <c r="G699" s="2">
        <v>76.260000000000005</v>
      </c>
      <c r="H699" t="str">
        <f>"INDIGENT HEALTH"</f>
        <v>INDIGENT HEALTH</v>
      </c>
    </row>
    <row r="700" spans="1:8" x14ac:dyDescent="0.25">
      <c r="E700" t="str">
        <f>""</f>
        <v/>
      </c>
      <c r="F700" t="str">
        <f>""</f>
        <v/>
      </c>
      <c r="H700" t="str">
        <f>"INDIGENT HEALTH"</f>
        <v>INDIGENT HEALTH</v>
      </c>
    </row>
    <row r="701" spans="1:8" x14ac:dyDescent="0.25">
      <c r="A701" t="s">
        <v>184</v>
      </c>
      <c r="B701">
        <v>2807</v>
      </c>
      <c r="C701" s="2">
        <v>1768.75</v>
      </c>
      <c r="D701" s="1">
        <v>44026</v>
      </c>
      <c r="E701" t="str">
        <f>"202007087785"</f>
        <v>202007087785</v>
      </c>
      <c r="F701" t="str">
        <f>"JP1070719K"</f>
        <v>JP1070719K</v>
      </c>
      <c r="G701" s="2">
        <v>125</v>
      </c>
      <c r="H701" t="str">
        <f>"JP1070719K"</f>
        <v>JP1070719K</v>
      </c>
    </row>
    <row r="702" spans="1:8" x14ac:dyDescent="0.25">
      <c r="E702" t="str">
        <f>"202007087786"</f>
        <v>202007087786</v>
      </c>
      <c r="F702" t="str">
        <f>"D2-02165 925356-5063-A001 20-S"</f>
        <v>D2-02165 925356-5063-A001 20-S</v>
      </c>
      <c r="G702" s="2">
        <v>125</v>
      </c>
      <c r="H702" t="str">
        <f>"D2-02165 925356-5063-A001 20-S"</f>
        <v>D2-02165 925356-5063-A001 20-S</v>
      </c>
    </row>
    <row r="703" spans="1:8" x14ac:dyDescent="0.25">
      <c r="E703" t="str">
        <f>"202007087787"</f>
        <v>202007087787</v>
      </c>
      <c r="F703" t="str">
        <f>"DETENTION HEARING-MARIO LOPEZ"</f>
        <v>DETENTION HEARING-MARIO LOPEZ</v>
      </c>
      <c r="G703" s="2">
        <v>100</v>
      </c>
      <c r="H703" t="str">
        <f>"DETENTION HEARING-MARIO LOPEZ"</f>
        <v>DETENTION HEARING-MARIO LOPEZ</v>
      </c>
    </row>
    <row r="704" spans="1:8" x14ac:dyDescent="0.25">
      <c r="E704" t="str">
        <f>"202007087788"</f>
        <v>202007087788</v>
      </c>
      <c r="F704" t="str">
        <f>"19-19954"</f>
        <v>19-19954</v>
      </c>
      <c r="G704" s="2">
        <v>543.75</v>
      </c>
      <c r="H704" t="str">
        <f>"19-19954"</f>
        <v>19-19954</v>
      </c>
    </row>
    <row r="705" spans="1:8" x14ac:dyDescent="0.25">
      <c r="E705" t="str">
        <f>"202007087789"</f>
        <v>202007087789</v>
      </c>
      <c r="F705" t="str">
        <f>"19-19704"</f>
        <v>19-19704</v>
      </c>
      <c r="G705" s="2">
        <v>356.25</v>
      </c>
      <c r="H705" t="str">
        <f>"19-19704"</f>
        <v>19-19704</v>
      </c>
    </row>
    <row r="706" spans="1:8" x14ac:dyDescent="0.25">
      <c r="E706" t="str">
        <f>"202007087790"</f>
        <v>202007087790</v>
      </c>
      <c r="F706" t="str">
        <f>"19-19704"</f>
        <v>19-19704</v>
      </c>
      <c r="G706" s="2">
        <v>518.75</v>
      </c>
      <c r="H706" t="str">
        <f>"19-19704"</f>
        <v>19-19704</v>
      </c>
    </row>
    <row r="707" spans="1:8" x14ac:dyDescent="0.25">
      <c r="A707" t="s">
        <v>185</v>
      </c>
      <c r="B707">
        <v>132405</v>
      </c>
      <c r="C707" s="2">
        <v>118.77</v>
      </c>
      <c r="D707" s="1">
        <v>44025</v>
      </c>
      <c r="E707" t="str">
        <f>"21868453"</f>
        <v>21868453</v>
      </c>
      <c r="F707" t="str">
        <f>"ACCT#S9549/PCT#1"</f>
        <v>ACCT#S9549/PCT#1</v>
      </c>
      <c r="G707" s="2">
        <v>118.77</v>
      </c>
      <c r="H707" t="str">
        <f>"ACCT#S9549/PCT#1"</f>
        <v>ACCT#S9549/PCT#1</v>
      </c>
    </row>
    <row r="708" spans="1:8" x14ac:dyDescent="0.25">
      <c r="A708" t="s">
        <v>185</v>
      </c>
      <c r="B708">
        <v>132526</v>
      </c>
      <c r="C708" s="2">
        <v>304.60000000000002</v>
      </c>
      <c r="D708" s="1">
        <v>44039</v>
      </c>
      <c r="E708" t="str">
        <f>"21915408"</f>
        <v>21915408</v>
      </c>
      <c r="F708" t="str">
        <f>"ACCT#41472/PCT#1"</f>
        <v>ACCT#41472/PCT#1</v>
      </c>
      <c r="G708" s="2">
        <v>28.23</v>
      </c>
      <c r="H708" t="str">
        <f>"ACCT#41472/PCT#1"</f>
        <v>ACCT#41472/PCT#1</v>
      </c>
    </row>
    <row r="709" spans="1:8" x14ac:dyDescent="0.25">
      <c r="E709" t="str">
        <f>"21915485"</f>
        <v>21915485</v>
      </c>
      <c r="F709" t="str">
        <f>"ACCT#45057/PCT#4"</f>
        <v>ACCT#45057/PCT#4</v>
      </c>
      <c r="G709" s="2">
        <v>51.73</v>
      </c>
      <c r="H709" t="str">
        <f>"ACCT#45057/PCT#4"</f>
        <v>ACCT#45057/PCT#4</v>
      </c>
    </row>
    <row r="710" spans="1:8" x14ac:dyDescent="0.25">
      <c r="E710" t="str">
        <f>"21915538"</f>
        <v>21915538</v>
      </c>
      <c r="F710" t="str">
        <f>"INV 21915538"</f>
        <v>INV 21915538</v>
      </c>
      <c r="G710" s="2">
        <v>59.64</v>
      </c>
      <c r="H710" t="str">
        <f>"INV 21915538"</f>
        <v>INV 21915538</v>
      </c>
    </row>
    <row r="711" spans="1:8" x14ac:dyDescent="0.25">
      <c r="E711" t="str">
        <f>"21922925"</f>
        <v>21922925</v>
      </c>
      <c r="F711" t="str">
        <f>"ACCT#S9549/PCT#1"</f>
        <v>ACCT#S9549/PCT#1</v>
      </c>
      <c r="G711" s="2">
        <v>165</v>
      </c>
      <c r="H711" t="str">
        <f>"ACCT#S9549/PCT#1"</f>
        <v>ACCT#S9549/PCT#1</v>
      </c>
    </row>
    <row r="712" spans="1:8" x14ac:dyDescent="0.25">
      <c r="A712" t="s">
        <v>186</v>
      </c>
      <c r="B712">
        <v>132406</v>
      </c>
      <c r="C712" s="2">
        <v>13467.02</v>
      </c>
      <c r="D712" s="1">
        <v>44025</v>
      </c>
      <c r="E712" t="str">
        <f>"12555"</f>
        <v>12555</v>
      </c>
      <c r="F712" t="str">
        <f t="shared" ref="F712:F719" si="8">"ABST FEE"</f>
        <v>ABST FEE</v>
      </c>
      <c r="G712" s="2">
        <v>175</v>
      </c>
      <c r="H712" t="str">
        <f t="shared" ref="H712:H719" si="9">"ABST FEE"</f>
        <v>ABST FEE</v>
      </c>
    </row>
    <row r="713" spans="1:8" x14ac:dyDescent="0.25">
      <c r="E713" t="str">
        <f>"12911"</f>
        <v>12911</v>
      </c>
      <c r="F713" t="str">
        <f t="shared" si="8"/>
        <v>ABST FEE</v>
      </c>
      <c r="G713" s="2">
        <v>225</v>
      </c>
      <c r="H713" t="str">
        <f t="shared" si="9"/>
        <v>ABST FEE</v>
      </c>
    </row>
    <row r="714" spans="1:8" x14ac:dyDescent="0.25">
      <c r="E714" t="str">
        <f>"13168"</f>
        <v>13168</v>
      </c>
      <c r="F714" t="str">
        <f t="shared" si="8"/>
        <v>ABST FEE</v>
      </c>
      <c r="G714" s="2">
        <v>225</v>
      </c>
      <c r="H714" t="str">
        <f t="shared" si="9"/>
        <v>ABST FEE</v>
      </c>
    </row>
    <row r="715" spans="1:8" x14ac:dyDescent="0.25">
      <c r="E715" t="str">
        <f>"13358"</f>
        <v>13358</v>
      </c>
      <c r="F715" t="str">
        <f t="shared" si="8"/>
        <v>ABST FEE</v>
      </c>
      <c r="G715" s="2">
        <v>225</v>
      </c>
      <c r="H715" t="str">
        <f t="shared" si="9"/>
        <v>ABST FEE</v>
      </c>
    </row>
    <row r="716" spans="1:8" x14ac:dyDescent="0.25">
      <c r="E716" t="str">
        <f>"13397"</f>
        <v>13397</v>
      </c>
      <c r="F716" t="str">
        <f t="shared" si="8"/>
        <v>ABST FEE</v>
      </c>
      <c r="G716" s="2">
        <v>225</v>
      </c>
      <c r="H716" t="str">
        <f t="shared" si="9"/>
        <v>ABST FEE</v>
      </c>
    </row>
    <row r="717" spans="1:8" x14ac:dyDescent="0.25">
      <c r="E717" t="str">
        <f>"13410"</f>
        <v>13410</v>
      </c>
      <c r="F717" t="str">
        <f t="shared" si="8"/>
        <v>ABST FEE</v>
      </c>
      <c r="G717" s="2">
        <v>225</v>
      </c>
      <c r="H717" t="str">
        <f t="shared" si="9"/>
        <v>ABST FEE</v>
      </c>
    </row>
    <row r="718" spans="1:8" x14ac:dyDescent="0.25">
      <c r="E718" t="str">
        <f>"13425"</f>
        <v>13425</v>
      </c>
      <c r="F718" t="str">
        <f t="shared" si="8"/>
        <v>ABST FEE</v>
      </c>
      <c r="G718" s="2">
        <v>225</v>
      </c>
      <c r="H718" t="str">
        <f t="shared" si="9"/>
        <v>ABST FEE</v>
      </c>
    </row>
    <row r="719" spans="1:8" x14ac:dyDescent="0.25">
      <c r="E719" t="str">
        <f>"13458"</f>
        <v>13458</v>
      </c>
      <c r="F719" t="str">
        <f t="shared" si="8"/>
        <v>ABST FEE</v>
      </c>
      <c r="G719" s="2">
        <v>225</v>
      </c>
      <c r="H719" t="str">
        <f t="shared" si="9"/>
        <v>ABST FEE</v>
      </c>
    </row>
    <row r="720" spans="1:8" x14ac:dyDescent="0.25">
      <c r="E720" t="str">
        <f>"202007027521"</f>
        <v>202007027521</v>
      </c>
      <c r="F720" t="str">
        <f>"ATTORNEY FEES - JUNE20"</f>
        <v>ATTORNEY FEES - JUNE20</v>
      </c>
      <c r="G720" s="2">
        <v>11717.02</v>
      </c>
      <c r="H720" t="str">
        <f>"ATTORNEY FEES - JUNE20"</f>
        <v>ATTORNEY FEES - JUNE20</v>
      </c>
    </row>
    <row r="721" spans="1:8" x14ac:dyDescent="0.25">
      <c r="A721" t="s">
        <v>187</v>
      </c>
      <c r="B721">
        <v>132407</v>
      </c>
      <c r="C721" s="2">
        <v>848.58</v>
      </c>
      <c r="D721" s="1">
        <v>44025</v>
      </c>
      <c r="E721" t="str">
        <f>"75970616 75998400"</f>
        <v>75970616 75998400</v>
      </c>
      <c r="F721" t="str">
        <f>"INV 75970616"</f>
        <v>INV 75970616</v>
      </c>
      <c r="G721" s="2">
        <v>848.58</v>
      </c>
      <c r="H721" t="str">
        <f>"INV 75970616"</f>
        <v>INV 75970616</v>
      </c>
    </row>
    <row r="722" spans="1:8" x14ac:dyDescent="0.25">
      <c r="E722" t="str">
        <f>""</f>
        <v/>
      </c>
      <c r="F722" t="str">
        <f>""</f>
        <v/>
      </c>
      <c r="H722" t="str">
        <f>"INV 75998400"</f>
        <v>INV 75998400</v>
      </c>
    </row>
    <row r="723" spans="1:8" x14ac:dyDescent="0.25">
      <c r="E723" t="str">
        <f>""</f>
        <v/>
      </c>
      <c r="F723" t="str">
        <f>""</f>
        <v/>
      </c>
      <c r="H723" t="str">
        <f>"INV 77457993"</f>
        <v>INV 77457993</v>
      </c>
    </row>
    <row r="724" spans="1:8" x14ac:dyDescent="0.25">
      <c r="E724" t="str">
        <f>""</f>
        <v/>
      </c>
      <c r="F724" t="str">
        <f>""</f>
        <v/>
      </c>
      <c r="H724" t="str">
        <f>"INV 07496129"</f>
        <v>INV 07496129</v>
      </c>
    </row>
    <row r="725" spans="1:8" x14ac:dyDescent="0.25">
      <c r="A725" t="s">
        <v>188</v>
      </c>
      <c r="B725">
        <v>132527</v>
      </c>
      <c r="C725" s="2">
        <v>2296.89</v>
      </c>
      <c r="D725" s="1">
        <v>44039</v>
      </c>
      <c r="E725" t="str">
        <f>"202007217978"</f>
        <v>202007217978</v>
      </c>
      <c r="F725" t="str">
        <f>"INDIGENT HEALTH"</f>
        <v>INDIGENT HEALTH</v>
      </c>
      <c r="G725" s="2">
        <v>2296.89</v>
      </c>
      <c r="H725" t="str">
        <f>"INDIGENT HEALTH"</f>
        <v>INDIGENT HEALTH</v>
      </c>
    </row>
    <row r="726" spans="1:8" x14ac:dyDescent="0.25">
      <c r="E726" t="str">
        <f>""</f>
        <v/>
      </c>
      <c r="F726" t="str">
        <f>""</f>
        <v/>
      </c>
      <c r="H726" t="str">
        <f>"INDIGENT HEALTH"</f>
        <v>INDIGENT HEALTH</v>
      </c>
    </row>
    <row r="727" spans="1:8" x14ac:dyDescent="0.25">
      <c r="A727" t="s">
        <v>189</v>
      </c>
      <c r="B727">
        <v>2792</v>
      </c>
      <c r="C727" s="2">
        <v>5463.75</v>
      </c>
      <c r="D727" s="1">
        <v>44026</v>
      </c>
      <c r="E727" t="str">
        <f>"22356"</f>
        <v>22356</v>
      </c>
      <c r="F727" t="str">
        <f>"FREIGHT SALES/PCT#2"</f>
        <v>FREIGHT SALES/PCT#2</v>
      </c>
      <c r="G727" s="2">
        <v>2442.65</v>
      </c>
      <c r="H727" t="str">
        <f>"FREIGHT SALES/PCT#2"</f>
        <v>FREIGHT SALES/PCT#2</v>
      </c>
    </row>
    <row r="728" spans="1:8" x14ac:dyDescent="0.25">
      <c r="E728" t="str">
        <f>"22413"</f>
        <v>22413</v>
      </c>
      <c r="F728" t="str">
        <f>"FREIGHT SALES/PCT#2"</f>
        <v>FREIGHT SALES/PCT#2</v>
      </c>
      <c r="G728" s="2">
        <v>3021.1</v>
      </c>
      <c r="H728" t="str">
        <f>"FREIGHT SALES/PCT#2"</f>
        <v>FREIGHT SALES/PCT#2</v>
      </c>
    </row>
    <row r="729" spans="1:8" x14ac:dyDescent="0.25">
      <c r="A729" t="s">
        <v>189</v>
      </c>
      <c r="B729">
        <v>2875</v>
      </c>
      <c r="C729" s="2">
        <v>3598.75</v>
      </c>
      <c r="D729" s="1">
        <v>44040</v>
      </c>
      <c r="E729" t="str">
        <f>"22469"</f>
        <v>22469</v>
      </c>
      <c r="F729" t="str">
        <f>"FREIGHT SALES/PCT#2"</f>
        <v>FREIGHT SALES/PCT#2</v>
      </c>
      <c r="G729" s="2">
        <v>2337.5</v>
      </c>
      <c r="H729" t="str">
        <f>"FREIGHT SALES/PCT#2"</f>
        <v>FREIGHT SALES/PCT#2</v>
      </c>
    </row>
    <row r="730" spans="1:8" x14ac:dyDescent="0.25">
      <c r="E730" t="str">
        <f>"22515"</f>
        <v>22515</v>
      </c>
      <c r="F730" t="str">
        <f>"FREIGHT SALES/PCT#2"</f>
        <v>FREIGHT SALES/PCT#2</v>
      </c>
      <c r="G730" s="2">
        <v>1261.25</v>
      </c>
      <c r="H730" t="str">
        <f>"FREIGHT SALES/PCT#2"</f>
        <v>FREIGHT SALES/PCT#2</v>
      </c>
    </row>
    <row r="731" spans="1:8" x14ac:dyDescent="0.25">
      <c r="A731" t="s">
        <v>190</v>
      </c>
      <c r="B731">
        <v>132304</v>
      </c>
      <c r="C731" s="2">
        <v>40</v>
      </c>
      <c r="D731" s="1">
        <v>44020</v>
      </c>
      <c r="E731" t="str">
        <f>"202007087765"</f>
        <v>202007087765</v>
      </c>
      <c r="F731" t="str">
        <f>"Mi"</f>
        <v>Mi</v>
      </c>
      <c r="G731" s="2">
        <v>40</v>
      </c>
      <c r="H731" t="str">
        <f>"TUCKER WITHINGTON BRISCOE"</f>
        <v>TUCKER WITHINGTON BRISCOE</v>
      </c>
    </row>
    <row r="732" spans="1:8" x14ac:dyDescent="0.25">
      <c r="A732" t="s">
        <v>191</v>
      </c>
      <c r="B732">
        <v>132305</v>
      </c>
      <c r="C732" s="2">
        <v>40</v>
      </c>
      <c r="D732" s="1">
        <v>44020</v>
      </c>
      <c r="E732" t="str">
        <f>"202007087766"</f>
        <v>202007087766</v>
      </c>
      <c r="F732" t="str">
        <f>"Miscel"</f>
        <v>Miscel</v>
      </c>
      <c r="G732" s="2">
        <v>40</v>
      </c>
      <c r="H732" t="str">
        <f>"VIRGINIA ROSS BERDOLL"</f>
        <v>VIRGINIA ROSS BERDOLL</v>
      </c>
    </row>
    <row r="733" spans="1:8" x14ac:dyDescent="0.25">
      <c r="A733" t="s">
        <v>192</v>
      </c>
      <c r="B733">
        <v>132306</v>
      </c>
      <c r="C733" s="2">
        <v>40</v>
      </c>
      <c r="D733" s="1">
        <v>44020</v>
      </c>
      <c r="E733" t="str">
        <f>"202007087767"</f>
        <v>202007087767</v>
      </c>
      <c r="F733" t="str">
        <f>"Miscellan"</f>
        <v>Miscellan</v>
      </c>
      <c r="G733" s="2">
        <v>40</v>
      </c>
      <c r="H733" t="str">
        <f>"SANDRA JEAN GOERTZ"</f>
        <v>SANDRA JEAN GOERTZ</v>
      </c>
    </row>
    <row r="734" spans="1:8" x14ac:dyDescent="0.25">
      <c r="A734" t="s">
        <v>193</v>
      </c>
      <c r="B734">
        <v>132307</v>
      </c>
      <c r="C734" s="2">
        <v>40</v>
      </c>
      <c r="D734" s="1">
        <v>44020</v>
      </c>
      <c r="E734" t="str">
        <f>"202007087768"</f>
        <v>202007087768</v>
      </c>
      <c r="F734" t="str">
        <f>"Misce"</f>
        <v>Misce</v>
      </c>
      <c r="G734" s="2">
        <v>40</v>
      </c>
      <c r="H734" t="str">
        <f>"BLAKE ROBERT CLAMPFFER"</f>
        <v>BLAKE ROBERT CLAMPFFER</v>
      </c>
    </row>
    <row r="735" spans="1:8" x14ac:dyDescent="0.25">
      <c r="A735" t="s">
        <v>194</v>
      </c>
      <c r="B735">
        <v>132308</v>
      </c>
      <c r="C735" s="2">
        <v>40</v>
      </c>
      <c r="D735" s="1">
        <v>44020</v>
      </c>
      <c r="E735" t="str">
        <f>"202007087769"</f>
        <v>202007087769</v>
      </c>
      <c r="F735" t="str">
        <f>"Miscellaneo"</f>
        <v>Miscellaneo</v>
      </c>
      <c r="G735" s="2">
        <v>40</v>
      </c>
      <c r="H735" t="str">
        <f>"JACKIE VAN EVANS"</f>
        <v>JACKIE VAN EVANS</v>
      </c>
    </row>
    <row r="736" spans="1:8" x14ac:dyDescent="0.25">
      <c r="A736" t="s">
        <v>195</v>
      </c>
      <c r="B736">
        <v>132309</v>
      </c>
      <c r="C736" s="2">
        <v>40</v>
      </c>
      <c r="D736" s="1">
        <v>44020</v>
      </c>
      <c r="E736" t="str">
        <f>"202007087770"</f>
        <v>202007087770</v>
      </c>
      <c r="F736" t="str">
        <f>"Miscell"</f>
        <v>Miscell</v>
      </c>
      <c r="G736" s="2">
        <v>40</v>
      </c>
      <c r="H736" t="str">
        <f>"MARISA JANIRA GARCIA"</f>
        <v>MARISA JANIRA GARCIA</v>
      </c>
    </row>
    <row r="737" spans="1:8" x14ac:dyDescent="0.25">
      <c r="A737" t="s">
        <v>196</v>
      </c>
      <c r="B737">
        <v>132310</v>
      </c>
      <c r="C737" s="2">
        <v>40</v>
      </c>
      <c r="D737" s="1">
        <v>44020</v>
      </c>
      <c r="E737" t="str">
        <f>"202007087771"</f>
        <v>202007087771</v>
      </c>
      <c r="F737" t="str">
        <f>"Miscel"</f>
        <v>Miscel</v>
      </c>
      <c r="G737" s="2">
        <v>40</v>
      </c>
      <c r="H737" t="str">
        <f>"CRAIG EDWARD COSGROVE"</f>
        <v>CRAIG EDWARD COSGROVE</v>
      </c>
    </row>
    <row r="738" spans="1:8" x14ac:dyDescent="0.25">
      <c r="A738" t="s">
        <v>197</v>
      </c>
      <c r="B738">
        <v>132311</v>
      </c>
      <c r="C738" s="2">
        <v>40</v>
      </c>
      <c r="D738" s="1">
        <v>44020</v>
      </c>
      <c r="E738" t="str">
        <f>"202007087772"</f>
        <v>202007087772</v>
      </c>
      <c r="F738" t="str">
        <f>"Misce"</f>
        <v>Misce</v>
      </c>
      <c r="G738" s="2">
        <v>40</v>
      </c>
      <c r="H738" t="str">
        <f>"VICTORIA MAXWELL ALLEN"</f>
        <v>VICTORIA MAXWELL ALLEN</v>
      </c>
    </row>
    <row r="739" spans="1:8" x14ac:dyDescent="0.25">
      <c r="A739" t="s">
        <v>198</v>
      </c>
      <c r="B739">
        <v>132312</v>
      </c>
      <c r="C739" s="2">
        <v>40</v>
      </c>
      <c r="D739" s="1">
        <v>44020</v>
      </c>
      <c r="E739" t="str">
        <f>"202007087773"</f>
        <v>202007087773</v>
      </c>
      <c r="F739" t="str">
        <f>"Miscel"</f>
        <v>Miscel</v>
      </c>
      <c r="G739" s="2">
        <v>40</v>
      </c>
      <c r="H739" t="str">
        <f>"MIGUEL ANGEL DELACRUZ"</f>
        <v>MIGUEL ANGEL DELACRUZ</v>
      </c>
    </row>
    <row r="740" spans="1:8" x14ac:dyDescent="0.25">
      <c r="A740" t="s">
        <v>199</v>
      </c>
      <c r="B740">
        <v>132313</v>
      </c>
      <c r="C740" s="2">
        <v>40</v>
      </c>
      <c r="D740" s="1">
        <v>44020</v>
      </c>
      <c r="E740" t="str">
        <f>"202007087774"</f>
        <v>202007087774</v>
      </c>
      <c r="F740" t="str">
        <f>"Miscellaneous"</f>
        <v>Miscellaneous</v>
      </c>
      <c r="G740" s="2">
        <v>40</v>
      </c>
      <c r="H740" t="str">
        <f>"JO LYNN COHEN"</f>
        <v>JO LYNN COHEN</v>
      </c>
    </row>
    <row r="741" spans="1:8" x14ac:dyDescent="0.25">
      <c r="A741" t="s">
        <v>200</v>
      </c>
      <c r="B741">
        <v>132314</v>
      </c>
      <c r="C741" s="2">
        <v>40</v>
      </c>
      <c r="D741" s="1">
        <v>44020</v>
      </c>
      <c r="E741" t="str">
        <f>"202007087775"</f>
        <v>202007087775</v>
      </c>
      <c r="F741" t="str">
        <f>"Misce"</f>
        <v>Misce</v>
      </c>
      <c r="G741" s="2">
        <v>40</v>
      </c>
      <c r="H741" t="str">
        <f>"SALLIE SKELLEY BLALOCK"</f>
        <v>SALLIE SKELLEY BLALOCK</v>
      </c>
    </row>
    <row r="742" spans="1:8" x14ac:dyDescent="0.25">
      <c r="A742" t="s">
        <v>201</v>
      </c>
      <c r="B742">
        <v>132315</v>
      </c>
      <c r="C742" s="2">
        <v>40</v>
      </c>
      <c r="D742" s="1">
        <v>44020</v>
      </c>
      <c r="E742" t="str">
        <f>"202007087776"</f>
        <v>202007087776</v>
      </c>
      <c r="F742" t="str">
        <f>"Miscella"</f>
        <v>Miscella</v>
      </c>
      <c r="G742" s="2">
        <v>40</v>
      </c>
      <c r="H742" t="str">
        <f>"DONALD C BELCHER JR"</f>
        <v>DONALD C BELCHER JR</v>
      </c>
    </row>
    <row r="743" spans="1:8" x14ac:dyDescent="0.25">
      <c r="A743" t="s">
        <v>202</v>
      </c>
      <c r="B743">
        <v>132408</v>
      </c>
      <c r="C743" s="2">
        <v>520</v>
      </c>
      <c r="D743" s="1">
        <v>44025</v>
      </c>
      <c r="E743" t="str">
        <f>"2595544"</f>
        <v>2595544</v>
      </c>
      <c r="F743" t="str">
        <f>"CUST#219229/ORD#2713837"</f>
        <v>CUST#219229/ORD#2713837</v>
      </c>
      <c r="G743" s="2">
        <v>520</v>
      </c>
      <c r="H743" t="str">
        <f>"CUST#219229/ORD#2713837"</f>
        <v>CUST#219229/ORD#2713837</v>
      </c>
    </row>
    <row r="744" spans="1:8" x14ac:dyDescent="0.25">
      <c r="A744" t="s">
        <v>203</v>
      </c>
      <c r="B744">
        <v>132528</v>
      </c>
      <c r="C744" s="2">
        <v>20769.310000000001</v>
      </c>
      <c r="D744" s="1">
        <v>44039</v>
      </c>
      <c r="E744" t="str">
        <f>"8230277093"</f>
        <v>8230277093</v>
      </c>
      <c r="F744" t="str">
        <f>"ACCT#1036215277/TRANS#82302770"</f>
        <v>ACCT#1036215277/TRANS#82302770</v>
      </c>
      <c r="G744" s="2">
        <v>20769.310000000001</v>
      </c>
      <c r="H744" t="str">
        <f>"ACCT#1036215277/TRANS#82302770"</f>
        <v>ACCT#1036215277/TRANS#82302770</v>
      </c>
    </row>
    <row r="745" spans="1:8" x14ac:dyDescent="0.25">
      <c r="A745" t="s">
        <v>204</v>
      </c>
      <c r="B745">
        <v>132529</v>
      </c>
      <c r="C745" s="2">
        <v>126.43</v>
      </c>
      <c r="D745" s="1">
        <v>44039</v>
      </c>
      <c r="E745" t="str">
        <f>"202007217987"</f>
        <v>202007217987</v>
      </c>
      <c r="F745" t="str">
        <f>"INDIGENT HEALTH"</f>
        <v>INDIGENT HEALTH</v>
      </c>
      <c r="G745" s="2">
        <v>126.43</v>
      </c>
      <c r="H745" t="str">
        <f>"INDIGENT HEALTH"</f>
        <v>INDIGENT HEALTH</v>
      </c>
    </row>
    <row r="746" spans="1:8" x14ac:dyDescent="0.25">
      <c r="A746" t="s">
        <v>205</v>
      </c>
      <c r="B746">
        <v>132530</v>
      </c>
      <c r="C746" s="2">
        <v>902.95</v>
      </c>
      <c r="D746" s="1">
        <v>44039</v>
      </c>
      <c r="E746" t="str">
        <f>"86882207"</f>
        <v>86882207</v>
      </c>
      <c r="F746" t="str">
        <f>"ACCT#150344157/GENERAL SVCS"</f>
        <v>ACCT#150344157/GENERAL SVCS</v>
      </c>
      <c r="G746" s="2">
        <v>902.95</v>
      </c>
      <c r="H746" t="str">
        <f>"ACCT#150344157/GENERAL SVCS"</f>
        <v>ACCT#150344157/GENERAL SVCS</v>
      </c>
    </row>
    <row r="747" spans="1:8" x14ac:dyDescent="0.25">
      <c r="A747" t="s">
        <v>206</v>
      </c>
      <c r="B747">
        <v>132409</v>
      </c>
      <c r="C747" s="2">
        <v>1657.5</v>
      </c>
      <c r="D747" s="1">
        <v>44025</v>
      </c>
      <c r="E747" t="str">
        <f>"202007077671"</f>
        <v>202007077671</v>
      </c>
      <c r="F747" t="str">
        <f>"JOB 6-24-20-01"</f>
        <v>JOB 6-24-20-01</v>
      </c>
      <c r="G747" s="2">
        <v>977.5</v>
      </c>
      <c r="H747" t="str">
        <f>"JOB 6-24-20-01"</f>
        <v>JOB 6-24-20-01</v>
      </c>
    </row>
    <row r="748" spans="1:8" x14ac:dyDescent="0.25">
      <c r="E748" t="str">
        <f>"202007077672"</f>
        <v>202007077672</v>
      </c>
      <c r="F748" t="str">
        <f>"JOB 6-16-20-01"</f>
        <v>JOB 6-16-20-01</v>
      </c>
      <c r="G748" s="2">
        <v>680</v>
      </c>
      <c r="H748" t="str">
        <f>"JOB 6-16-20-01"</f>
        <v>JOB 6-16-20-01</v>
      </c>
    </row>
    <row r="749" spans="1:8" x14ac:dyDescent="0.25">
      <c r="A749" t="s">
        <v>207</v>
      </c>
      <c r="B749">
        <v>2786</v>
      </c>
      <c r="C749" s="2">
        <v>11623.7</v>
      </c>
      <c r="D749" s="1">
        <v>44026</v>
      </c>
      <c r="E749" t="str">
        <f>"IN0842662"</f>
        <v>IN0842662</v>
      </c>
      <c r="F749" t="str">
        <f>"INV IN0842662"</f>
        <v>INV IN0842662</v>
      </c>
      <c r="G749" s="2">
        <v>3279.6</v>
      </c>
      <c r="H749" t="str">
        <f>"INV IN0842662"</f>
        <v>INV IN0842662</v>
      </c>
    </row>
    <row r="750" spans="1:8" x14ac:dyDescent="0.25">
      <c r="E750" t="str">
        <f>"IN0842744"</f>
        <v>IN0842744</v>
      </c>
      <c r="F750" t="str">
        <f>"INV IN0842744"</f>
        <v>INV IN0842744</v>
      </c>
      <c r="G750" s="2">
        <v>4484.3999999999996</v>
      </c>
      <c r="H750" t="str">
        <f>"INV IN0842744"</f>
        <v>INV IN0842744</v>
      </c>
    </row>
    <row r="751" spans="1:8" x14ac:dyDescent="0.25">
      <c r="E751" t="str">
        <f>"IN0843055"</f>
        <v>IN0843055</v>
      </c>
      <c r="F751" t="str">
        <f>"INV IN0843055"</f>
        <v>INV IN0843055</v>
      </c>
      <c r="G751" s="2">
        <v>3859.7</v>
      </c>
      <c r="H751" t="str">
        <f>"INV IN0843055"</f>
        <v>INV IN0843055</v>
      </c>
    </row>
    <row r="752" spans="1:8" x14ac:dyDescent="0.25">
      <c r="A752" t="s">
        <v>207</v>
      </c>
      <c r="B752">
        <v>2869</v>
      </c>
      <c r="C752" s="2">
        <v>4721.32</v>
      </c>
      <c r="D752" s="1">
        <v>44040</v>
      </c>
      <c r="E752" t="str">
        <f>"IN0843742"</f>
        <v>IN0843742</v>
      </c>
      <c r="F752" t="str">
        <f>"IN0843742"</f>
        <v>IN0843742</v>
      </c>
      <c r="G752" s="2">
        <v>4721.32</v>
      </c>
      <c r="H752" t="str">
        <f>"IN0843742"</f>
        <v>IN0843742</v>
      </c>
    </row>
    <row r="753" spans="1:8" x14ac:dyDescent="0.25">
      <c r="A753" t="s">
        <v>208</v>
      </c>
      <c r="B753">
        <v>132531</v>
      </c>
      <c r="C753" s="2">
        <v>900</v>
      </c>
      <c r="D753" s="1">
        <v>44039</v>
      </c>
      <c r="E753" t="str">
        <f>"202007217974"</f>
        <v>202007217974</v>
      </c>
      <c r="F753" t="str">
        <f>"INV  JUNE 23  2020"</f>
        <v>INV  JUNE 23  2020</v>
      </c>
      <c r="G753" s="2">
        <v>900</v>
      </c>
      <c r="H753" t="str">
        <f>"INV  JUNE 23  2020"</f>
        <v>INV  JUNE 23  2020</v>
      </c>
    </row>
    <row r="754" spans="1:8" x14ac:dyDescent="0.25">
      <c r="A754" t="s">
        <v>209</v>
      </c>
      <c r="B754">
        <v>2851</v>
      </c>
      <c r="C754" s="2">
        <v>30.52</v>
      </c>
      <c r="D754" s="1">
        <v>44026</v>
      </c>
      <c r="E754" t="str">
        <f>"202007067653"</f>
        <v>202007067653</v>
      </c>
      <c r="F754" t="str">
        <f>"CUST#99088/PCT#4"</f>
        <v>CUST#99088/PCT#4</v>
      </c>
      <c r="G754" s="2">
        <v>30.52</v>
      </c>
      <c r="H754" t="str">
        <f>"CUST#99088/PCT#4"</f>
        <v>CUST#99088/PCT#4</v>
      </c>
    </row>
    <row r="755" spans="1:8" x14ac:dyDescent="0.25">
      <c r="A755" t="s">
        <v>209</v>
      </c>
      <c r="B755">
        <v>2919</v>
      </c>
      <c r="C755" s="2">
        <v>12.99</v>
      </c>
      <c r="D755" s="1">
        <v>44040</v>
      </c>
      <c r="E755" t="str">
        <f>"INV0581-189108"</f>
        <v>INV0581-189108</v>
      </c>
      <c r="F755" t="str">
        <f>"INV0581-189108"</f>
        <v>INV0581-189108</v>
      </c>
      <c r="G755" s="2">
        <v>12.99</v>
      </c>
      <c r="H755" t="str">
        <f>"INV0581-189108"</f>
        <v>INV0581-189108</v>
      </c>
    </row>
    <row r="756" spans="1:8" x14ac:dyDescent="0.25">
      <c r="A756" t="s">
        <v>210</v>
      </c>
      <c r="B756">
        <v>132410</v>
      </c>
      <c r="C756" s="2">
        <v>1830.45</v>
      </c>
      <c r="D756" s="1">
        <v>44025</v>
      </c>
      <c r="E756" t="str">
        <f>"1512821"</f>
        <v>1512821</v>
      </c>
      <c r="F756" t="str">
        <f>"Bill #1528281"</f>
        <v>Bill #1528281</v>
      </c>
      <c r="G756" s="2">
        <v>962.59</v>
      </c>
      <c r="H756" t="str">
        <f>"509857611001"</f>
        <v>509857611001</v>
      </c>
    </row>
    <row r="757" spans="1:8" x14ac:dyDescent="0.25">
      <c r="E757" t="str">
        <f>""</f>
        <v/>
      </c>
      <c r="F757" t="str">
        <f>""</f>
        <v/>
      </c>
      <c r="H757" t="str">
        <f>"509869540001"</f>
        <v>509869540001</v>
      </c>
    </row>
    <row r="758" spans="1:8" x14ac:dyDescent="0.25">
      <c r="E758" t="str">
        <f>""</f>
        <v/>
      </c>
      <c r="F758" t="str">
        <f>""</f>
        <v/>
      </c>
      <c r="H758" t="str">
        <f>"505407418001"</f>
        <v>505407418001</v>
      </c>
    </row>
    <row r="759" spans="1:8" x14ac:dyDescent="0.25">
      <c r="E759" t="str">
        <f>""</f>
        <v/>
      </c>
      <c r="F759" t="str">
        <f>""</f>
        <v/>
      </c>
      <c r="H759" t="str">
        <f>"505407418001"</f>
        <v>505407418001</v>
      </c>
    </row>
    <row r="760" spans="1:8" x14ac:dyDescent="0.25">
      <c r="E760" t="str">
        <f>""</f>
        <v/>
      </c>
      <c r="F760" t="str">
        <f>""</f>
        <v/>
      </c>
      <c r="H760" t="str">
        <f>"507730114001"</f>
        <v>507730114001</v>
      </c>
    </row>
    <row r="761" spans="1:8" x14ac:dyDescent="0.25">
      <c r="E761" t="str">
        <f>""</f>
        <v/>
      </c>
      <c r="F761" t="str">
        <f>""</f>
        <v/>
      </c>
      <c r="H761" t="str">
        <f>"504762564001"</f>
        <v>504762564001</v>
      </c>
    </row>
    <row r="762" spans="1:8" x14ac:dyDescent="0.25">
      <c r="E762" t="str">
        <f>""</f>
        <v/>
      </c>
      <c r="F762" t="str">
        <f>""</f>
        <v/>
      </c>
      <c r="H762" t="str">
        <f>"513087512001"</f>
        <v>513087512001</v>
      </c>
    </row>
    <row r="763" spans="1:8" x14ac:dyDescent="0.25">
      <c r="E763" t="str">
        <f>""</f>
        <v/>
      </c>
      <c r="F763" t="str">
        <f>""</f>
        <v/>
      </c>
      <c r="H763" t="str">
        <f>"512677381001"</f>
        <v>512677381001</v>
      </c>
    </row>
    <row r="764" spans="1:8" x14ac:dyDescent="0.25">
      <c r="E764" t="str">
        <f>""</f>
        <v/>
      </c>
      <c r="F764" t="str">
        <f>""</f>
        <v/>
      </c>
      <c r="H764" t="str">
        <f>"504621340001"</f>
        <v>504621340001</v>
      </c>
    </row>
    <row r="765" spans="1:8" x14ac:dyDescent="0.25">
      <c r="E765" t="str">
        <f>""</f>
        <v/>
      </c>
      <c r="F765" t="str">
        <f>""</f>
        <v/>
      </c>
      <c r="H765" t="str">
        <f>"511464953001"</f>
        <v>511464953001</v>
      </c>
    </row>
    <row r="766" spans="1:8" x14ac:dyDescent="0.25">
      <c r="E766" t="str">
        <f>""</f>
        <v/>
      </c>
      <c r="F766" t="str">
        <f>""</f>
        <v/>
      </c>
      <c r="H766" t="str">
        <f>"511467858001"</f>
        <v>511467858001</v>
      </c>
    </row>
    <row r="767" spans="1:8" x14ac:dyDescent="0.25">
      <c r="E767" t="str">
        <f>""</f>
        <v/>
      </c>
      <c r="F767" t="str">
        <f>""</f>
        <v/>
      </c>
      <c r="H767" t="str">
        <f>"513619910001"</f>
        <v>513619910001</v>
      </c>
    </row>
    <row r="768" spans="1:8" x14ac:dyDescent="0.25">
      <c r="E768" t="str">
        <f>""</f>
        <v/>
      </c>
      <c r="F768" t="str">
        <f>""</f>
        <v/>
      </c>
      <c r="H768" t="str">
        <f>"513620534001"</f>
        <v>513620534001</v>
      </c>
    </row>
    <row r="769" spans="1:8" x14ac:dyDescent="0.25">
      <c r="E769" t="str">
        <f>"15296480"</f>
        <v>15296480</v>
      </c>
      <c r="F769" t="str">
        <f>"Bill #15296480"</f>
        <v>Bill #15296480</v>
      </c>
      <c r="G769" s="2">
        <v>867.86</v>
      </c>
      <c r="H769" t="str">
        <f>"100304653001"</f>
        <v>100304653001</v>
      </c>
    </row>
    <row r="770" spans="1:8" x14ac:dyDescent="0.25">
      <c r="E770" t="str">
        <f>""</f>
        <v/>
      </c>
      <c r="F770" t="str">
        <f>""</f>
        <v/>
      </c>
      <c r="H770" t="str">
        <f>"102365250001"</f>
        <v>102365250001</v>
      </c>
    </row>
    <row r="771" spans="1:8" x14ac:dyDescent="0.25">
      <c r="E771" t="str">
        <f>""</f>
        <v/>
      </c>
      <c r="F771" t="str">
        <f>""</f>
        <v/>
      </c>
      <c r="H771" t="str">
        <f>"513092350001"</f>
        <v>513092350001</v>
      </c>
    </row>
    <row r="772" spans="1:8" x14ac:dyDescent="0.25">
      <c r="E772" t="str">
        <f>""</f>
        <v/>
      </c>
      <c r="F772" t="str">
        <f>""</f>
        <v/>
      </c>
      <c r="H772" t="str">
        <f>"102806088001"</f>
        <v>102806088001</v>
      </c>
    </row>
    <row r="773" spans="1:8" x14ac:dyDescent="0.25">
      <c r="E773" t="str">
        <f>""</f>
        <v/>
      </c>
      <c r="F773" t="str">
        <f>""</f>
        <v/>
      </c>
      <c r="H773" t="str">
        <f>"100803120001"</f>
        <v>100803120001</v>
      </c>
    </row>
    <row r="774" spans="1:8" x14ac:dyDescent="0.25">
      <c r="E774" t="str">
        <f>""</f>
        <v/>
      </c>
      <c r="F774" t="str">
        <f>""</f>
        <v/>
      </c>
      <c r="H774" t="str">
        <f>"100808869001"</f>
        <v>100808869001</v>
      </c>
    </row>
    <row r="775" spans="1:8" x14ac:dyDescent="0.25">
      <c r="E775" t="str">
        <f>""</f>
        <v/>
      </c>
      <c r="F775" t="str">
        <f>""</f>
        <v/>
      </c>
      <c r="H775" t="str">
        <f>"102537707001"</f>
        <v>102537707001</v>
      </c>
    </row>
    <row r="776" spans="1:8" x14ac:dyDescent="0.25">
      <c r="E776" t="str">
        <f>""</f>
        <v/>
      </c>
      <c r="F776" t="str">
        <f>""</f>
        <v/>
      </c>
      <c r="H776" t="str">
        <f>"102539216001"</f>
        <v>102539216001</v>
      </c>
    </row>
    <row r="777" spans="1:8" x14ac:dyDescent="0.25">
      <c r="E777" t="str">
        <f>""</f>
        <v/>
      </c>
      <c r="F777" t="str">
        <f>""</f>
        <v/>
      </c>
      <c r="H777" t="str">
        <f>"102045802001"</f>
        <v>102045802001</v>
      </c>
    </row>
    <row r="778" spans="1:8" x14ac:dyDescent="0.25">
      <c r="E778" t="str">
        <f>""</f>
        <v/>
      </c>
      <c r="F778" t="str">
        <f>""</f>
        <v/>
      </c>
      <c r="H778" t="str">
        <f>"102959223001"</f>
        <v>102959223001</v>
      </c>
    </row>
    <row r="779" spans="1:8" x14ac:dyDescent="0.25">
      <c r="E779" t="str">
        <f>""</f>
        <v/>
      </c>
      <c r="F779" t="str">
        <f>""</f>
        <v/>
      </c>
      <c r="H779" t="str">
        <f>"102972603001"</f>
        <v>102972603001</v>
      </c>
    </row>
    <row r="780" spans="1:8" x14ac:dyDescent="0.25">
      <c r="E780" t="str">
        <f>""</f>
        <v/>
      </c>
      <c r="F780" t="str">
        <f>""</f>
        <v/>
      </c>
      <c r="H780" t="str">
        <f>"102972604001"</f>
        <v>102972604001</v>
      </c>
    </row>
    <row r="781" spans="1:8" x14ac:dyDescent="0.25">
      <c r="E781" t="str">
        <f>""</f>
        <v/>
      </c>
      <c r="F781" t="str">
        <f>""</f>
        <v/>
      </c>
      <c r="H781" t="str">
        <f>"100401972001"</f>
        <v>100401972001</v>
      </c>
    </row>
    <row r="782" spans="1:8" x14ac:dyDescent="0.25">
      <c r="A782" t="s">
        <v>210</v>
      </c>
      <c r="B782">
        <v>132532</v>
      </c>
      <c r="C782" s="2">
        <v>1426.89</v>
      </c>
      <c r="D782" s="1">
        <v>44039</v>
      </c>
      <c r="E782" t="str">
        <f>"15418822"</f>
        <v>15418822</v>
      </c>
      <c r="F782" t="str">
        <f>"Bill"</f>
        <v>Bill</v>
      </c>
      <c r="G782" s="2">
        <v>1426.89</v>
      </c>
      <c r="H782" t="str">
        <f>"100209844001"</f>
        <v>100209844001</v>
      </c>
    </row>
    <row r="783" spans="1:8" x14ac:dyDescent="0.25">
      <c r="E783" t="str">
        <f>""</f>
        <v/>
      </c>
      <c r="F783" t="str">
        <f>""</f>
        <v/>
      </c>
      <c r="H783" t="str">
        <f>"106642747001"</f>
        <v>106642747001</v>
      </c>
    </row>
    <row r="784" spans="1:8" x14ac:dyDescent="0.25">
      <c r="E784" t="str">
        <f>""</f>
        <v/>
      </c>
      <c r="F784" t="str">
        <f>""</f>
        <v/>
      </c>
      <c r="H784" t="str">
        <f>"103728907001"</f>
        <v>103728907001</v>
      </c>
    </row>
    <row r="785" spans="1:8" x14ac:dyDescent="0.25">
      <c r="E785" t="str">
        <f>""</f>
        <v/>
      </c>
      <c r="F785" t="str">
        <f>""</f>
        <v/>
      </c>
      <c r="H785" t="str">
        <f>"106883803001"</f>
        <v>106883803001</v>
      </c>
    </row>
    <row r="786" spans="1:8" x14ac:dyDescent="0.25">
      <c r="A786" t="s">
        <v>211</v>
      </c>
      <c r="B786">
        <v>132533</v>
      </c>
      <c r="C786" s="2">
        <v>3036</v>
      </c>
      <c r="D786" s="1">
        <v>44039</v>
      </c>
      <c r="E786" t="str">
        <f>"220-001011"</f>
        <v>220-001011</v>
      </c>
      <c r="F786" t="str">
        <f>"2ND QTR ACTIVITY 2020 - PCT1"</f>
        <v>2ND QTR ACTIVITY 2020 - PCT1</v>
      </c>
      <c r="G786" s="2">
        <v>1380</v>
      </c>
      <c r="H786" t="str">
        <f>"2ND QTR ACTIVITY 2020 - PCT1"</f>
        <v>2ND QTR ACTIVITY 2020 - PCT1</v>
      </c>
    </row>
    <row r="787" spans="1:8" x14ac:dyDescent="0.25">
      <c r="E787" t="str">
        <f>"220-002011"</f>
        <v>220-002011</v>
      </c>
      <c r="F787" t="str">
        <f>"2ND QTR ACTIVITY 2020 - PCT2"</f>
        <v>2ND QTR ACTIVITY 2020 - PCT2</v>
      </c>
      <c r="G787" s="2">
        <v>876</v>
      </c>
      <c r="H787" t="str">
        <f>"2ND QTR ACTIVITY 2020 - PCT2"</f>
        <v>2ND QTR ACTIVITY 2020 - PCT2</v>
      </c>
    </row>
    <row r="788" spans="1:8" x14ac:dyDescent="0.25">
      <c r="E788" t="str">
        <f>"220-003011"</f>
        <v>220-003011</v>
      </c>
      <c r="F788" t="str">
        <f>"2ND QTR ACTIVITY 2020 - PCT3"</f>
        <v>2ND QTR ACTIVITY 2020 - PCT3</v>
      </c>
      <c r="G788" s="2">
        <v>426</v>
      </c>
      <c r="H788" t="str">
        <f>"2ND QTR ACTIVITY 2020 - PCT3"</f>
        <v>2ND QTR ACTIVITY 2020 - PCT3</v>
      </c>
    </row>
    <row r="789" spans="1:8" x14ac:dyDescent="0.25">
      <c r="E789" t="str">
        <f>"220-004011"</f>
        <v>220-004011</v>
      </c>
      <c r="F789" t="str">
        <f>"2ND QTR ACTIVITY 2020 - PCT4"</f>
        <v>2ND QTR ACTIVITY 2020 - PCT4</v>
      </c>
      <c r="G789" s="2">
        <v>354</v>
      </c>
      <c r="H789" t="str">
        <f>"2ND QTR ACTIVITY 2020 - PCT4"</f>
        <v>2ND QTR ACTIVITY 2020 - PCT4</v>
      </c>
    </row>
    <row r="790" spans="1:8" x14ac:dyDescent="0.25">
      <c r="A790" t="s">
        <v>212</v>
      </c>
      <c r="B790">
        <v>132411</v>
      </c>
      <c r="C790" s="2">
        <v>605</v>
      </c>
      <c r="D790" s="1">
        <v>44025</v>
      </c>
      <c r="E790" t="str">
        <f>"287380"</f>
        <v>287380</v>
      </c>
      <c r="F790" t="str">
        <f>"CUST ID:BASCOU/DRUG SCREENING"</f>
        <v>CUST ID:BASCOU/DRUG SCREENING</v>
      </c>
      <c r="G790" s="2">
        <v>35</v>
      </c>
      <c r="H790" t="str">
        <f>"CUST ID:BASCOU/DRUG SCREENING"</f>
        <v>CUST ID:BASCOU/DRUG SCREENING</v>
      </c>
    </row>
    <row r="791" spans="1:8" x14ac:dyDescent="0.25">
      <c r="E791" t="str">
        <f>"287380-P"</f>
        <v>287380-P</v>
      </c>
      <c r="F791" t="str">
        <f>"CUST ID:BASCOU/DRUG SCREEN"</f>
        <v>CUST ID:BASCOU/DRUG SCREEN</v>
      </c>
      <c r="G791" s="2">
        <v>510</v>
      </c>
      <c r="H791" t="str">
        <f t="shared" ref="H791:H796" si="10">"CUST ID:BASCOU/DRUG SCREEN"</f>
        <v>CUST ID:BASCOU/DRUG SCREEN</v>
      </c>
    </row>
    <row r="792" spans="1:8" x14ac:dyDescent="0.25">
      <c r="E792" t="str">
        <f>""</f>
        <v/>
      </c>
      <c r="F792" t="str">
        <f>""</f>
        <v/>
      </c>
      <c r="H792" t="str">
        <f t="shared" si="10"/>
        <v>CUST ID:BASCOU/DRUG SCREEN</v>
      </c>
    </row>
    <row r="793" spans="1:8" x14ac:dyDescent="0.25">
      <c r="E793" t="str">
        <f>""</f>
        <v/>
      </c>
      <c r="F793" t="str">
        <f>""</f>
        <v/>
      </c>
      <c r="H793" t="str">
        <f t="shared" si="10"/>
        <v>CUST ID:BASCOU/DRUG SCREEN</v>
      </c>
    </row>
    <row r="794" spans="1:8" x14ac:dyDescent="0.25">
      <c r="E794" t="str">
        <f>""</f>
        <v/>
      </c>
      <c r="F794" t="str">
        <f>""</f>
        <v/>
      </c>
      <c r="H794" t="str">
        <f t="shared" si="10"/>
        <v>CUST ID:BASCOU/DRUG SCREEN</v>
      </c>
    </row>
    <row r="795" spans="1:8" x14ac:dyDescent="0.25">
      <c r="E795" t="str">
        <f>"287520"</f>
        <v>287520</v>
      </c>
      <c r="F795" t="str">
        <f>"CUST ID:BASCOU/DRUG SCREEN"</f>
        <v>CUST ID:BASCOU/DRUG SCREEN</v>
      </c>
      <c r="G795" s="2">
        <v>60</v>
      </c>
      <c r="H795" t="str">
        <f t="shared" si="10"/>
        <v>CUST ID:BASCOU/DRUG SCREEN</v>
      </c>
    </row>
    <row r="796" spans="1:8" x14ac:dyDescent="0.25">
      <c r="E796" t="str">
        <f>""</f>
        <v/>
      </c>
      <c r="F796" t="str">
        <f>""</f>
        <v/>
      </c>
      <c r="H796" t="str">
        <f t="shared" si="10"/>
        <v>CUST ID:BASCOU/DRUG SCREEN</v>
      </c>
    </row>
    <row r="797" spans="1:8" x14ac:dyDescent="0.25">
      <c r="A797" t="s">
        <v>213</v>
      </c>
      <c r="B797">
        <v>132412</v>
      </c>
      <c r="C797" s="2">
        <v>154</v>
      </c>
      <c r="D797" s="1">
        <v>44025</v>
      </c>
      <c r="E797" t="str">
        <f>"1627"</f>
        <v>1627</v>
      </c>
      <c r="F797" t="str">
        <f>"PLUMBING SVCS/804 PINE ST"</f>
        <v>PLUMBING SVCS/804 PINE ST</v>
      </c>
      <c r="G797" s="2">
        <v>154</v>
      </c>
      <c r="H797" t="str">
        <f>"PLUMBING SVCS/804 PINE ST"</f>
        <v>PLUMBING SVCS/804 PINE ST</v>
      </c>
    </row>
    <row r="798" spans="1:8" x14ac:dyDescent="0.25">
      <c r="A798" t="s">
        <v>214</v>
      </c>
      <c r="B798">
        <v>132413</v>
      </c>
      <c r="C798" s="2">
        <v>14599.79</v>
      </c>
      <c r="D798" s="1">
        <v>44025</v>
      </c>
      <c r="E798" t="str">
        <f>"20212"</f>
        <v>20212</v>
      </c>
      <c r="F798" t="str">
        <f>"POTHOLE PATCH ASPHALT/PCT#2"</f>
        <v>POTHOLE PATCH ASPHALT/PCT#2</v>
      </c>
      <c r="G798" s="2">
        <v>14599.79</v>
      </c>
      <c r="H798" t="str">
        <f>"POTHOLE PATCH ASPHALT/PCT#2"</f>
        <v>POTHOLE PATCH ASPHALT/PCT#2</v>
      </c>
    </row>
    <row r="799" spans="1:8" x14ac:dyDescent="0.25">
      <c r="A799" t="s">
        <v>214</v>
      </c>
      <c r="B799">
        <v>132534</v>
      </c>
      <c r="C799" s="2">
        <v>60009.37</v>
      </c>
      <c r="D799" s="1">
        <v>44039</v>
      </c>
      <c r="E799" t="str">
        <f>"20254"</f>
        <v>20254</v>
      </c>
      <c r="F799" t="str">
        <f>"P2 CWE-2/PCT#2"</f>
        <v>P2 CWE-2/PCT#2</v>
      </c>
      <c r="G799" s="2">
        <v>17298.05</v>
      </c>
      <c r="H799" t="str">
        <f>"P2 CWE-2/PCT#2"</f>
        <v>P2 CWE-2/PCT#2</v>
      </c>
    </row>
    <row r="800" spans="1:8" x14ac:dyDescent="0.25">
      <c r="E800" t="str">
        <f>"20272"</f>
        <v>20272</v>
      </c>
      <c r="F800" t="str">
        <f>"P2 CWE-2/FREIGHT DIFF/PCT#2"</f>
        <v>P2 CWE-2/FREIGHT DIFF/PCT#2</v>
      </c>
      <c r="G800" s="2">
        <v>12301.55</v>
      </c>
      <c r="H800" t="str">
        <f>"P2 CWE-2/FREIGHT DIFF/PCT#2"</f>
        <v>P2 CWE-2/FREIGHT DIFF/PCT#2</v>
      </c>
    </row>
    <row r="801" spans="1:8" x14ac:dyDescent="0.25">
      <c r="E801" t="str">
        <f>"20283"</f>
        <v>20283</v>
      </c>
      <c r="F801" t="str">
        <f>"STABILIZER ASPHALT EMULSION/P2"</f>
        <v>STABILIZER ASPHALT EMULSION/P2</v>
      </c>
      <c r="G801" s="2">
        <v>30409.77</v>
      </c>
      <c r="H801" t="str">
        <f>"STABILIZER ASPHALT EMULSION/P2"</f>
        <v>STABILIZER ASPHALT EMULSION/P2</v>
      </c>
    </row>
    <row r="802" spans="1:8" x14ac:dyDescent="0.25">
      <c r="A802" t="s">
        <v>215</v>
      </c>
      <c r="B802">
        <v>132535</v>
      </c>
      <c r="C802" s="2">
        <v>145</v>
      </c>
      <c r="D802" s="1">
        <v>44039</v>
      </c>
      <c r="E802" t="str">
        <f>"0000052047"</f>
        <v>0000052047</v>
      </c>
      <c r="F802" t="str">
        <f>"INV 0000052047"</f>
        <v>INV 0000052047</v>
      </c>
      <c r="G802" s="2">
        <v>145</v>
      </c>
      <c r="H802" t="str">
        <f>"INV 0000052047"</f>
        <v>INV 0000052047</v>
      </c>
    </row>
    <row r="803" spans="1:8" x14ac:dyDescent="0.25">
      <c r="A803" t="s">
        <v>215</v>
      </c>
      <c r="B803">
        <v>132575</v>
      </c>
      <c r="C803" s="2">
        <v>435</v>
      </c>
      <c r="D803" s="1">
        <v>44040</v>
      </c>
      <c r="E803" t="str">
        <f>"0051505 - REISSUE"</f>
        <v>0051505 - REISSUE</v>
      </c>
      <c r="F803" t="str">
        <f>"CUST #1675 / MAY 2020 /SO"</f>
        <v>CUST #1675 / MAY 2020 /SO</v>
      </c>
      <c r="G803" s="2">
        <v>145</v>
      </c>
      <c r="H803" t="str">
        <f>"CUST #1675 / MAY 2020 /SO"</f>
        <v>CUST #1675 / MAY 2020 /SO</v>
      </c>
    </row>
    <row r="804" spans="1:8" x14ac:dyDescent="0.25">
      <c r="E804" t="str">
        <f>"050364 - REISSUE"</f>
        <v>050364 - REISSUE</v>
      </c>
      <c r="F804" t="str">
        <f>"CUST #1675 / MARCH 2020 / SO"</f>
        <v>CUST #1675 / MARCH 2020 / SO</v>
      </c>
      <c r="G804" s="2">
        <v>145</v>
      </c>
      <c r="H804" t="str">
        <f>"CUST #1675 / MARCH 2020 / SO"</f>
        <v>CUST #1675 / MARCH 2020 / SO</v>
      </c>
    </row>
    <row r="805" spans="1:8" x14ac:dyDescent="0.25">
      <c r="E805" t="str">
        <f>"050951 - REISSUE"</f>
        <v>050951 - REISSUE</v>
      </c>
      <c r="F805" t="str">
        <f>"CUST #1675 / APRIL 2020 /SO"</f>
        <v>CUST #1675 / APRIL 2020 /SO</v>
      </c>
      <c r="G805" s="2">
        <v>145</v>
      </c>
      <c r="H805" t="str">
        <f>"CUST #1675 / APRIL 2020 /SO"</f>
        <v>CUST #1675 / APRIL 2020 /SO</v>
      </c>
    </row>
    <row r="806" spans="1:8" x14ac:dyDescent="0.25">
      <c r="A806" t="s">
        <v>216</v>
      </c>
      <c r="B806">
        <v>132414</v>
      </c>
      <c r="C806" s="2">
        <v>66.819999999999993</v>
      </c>
      <c r="D806" s="1">
        <v>44025</v>
      </c>
      <c r="E806" t="str">
        <f>"202007067651"</f>
        <v>202007067651</v>
      </c>
      <c r="F806" t="str">
        <f>"ACCT#1137/PCT#4"</f>
        <v>ACCT#1137/PCT#4</v>
      </c>
      <c r="G806" s="2">
        <v>66.819999999999993</v>
      </c>
      <c r="H806" t="str">
        <f>"ACCT#1137/PCT#4"</f>
        <v>ACCT#1137/PCT#4</v>
      </c>
    </row>
    <row r="807" spans="1:8" x14ac:dyDescent="0.25">
      <c r="A807" t="s">
        <v>217</v>
      </c>
      <c r="B807">
        <v>2877</v>
      </c>
      <c r="C807" s="2">
        <v>852.45</v>
      </c>
      <c r="D807" s="1">
        <v>44040</v>
      </c>
      <c r="E807" t="str">
        <f>"2008425"</f>
        <v>2008425</v>
      </c>
      <c r="F807" t="str">
        <f>"GFCI OUTLETS/CEDAR CREEK PARK"</f>
        <v>GFCI OUTLETS/CEDAR CREEK PARK</v>
      </c>
      <c r="G807" s="2">
        <v>370.15</v>
      </c>
      <c r="H807" t="str">
        <f>"GFCI OUTLETS/CEDAR CREEK PARK"</f>
        <v>GFCI OUTLETS/CEDAR CREEK PARK</v>
      </c>
    </row>
    <row r="808" spans="1:8" x14ac:dyDescent="0.25">
      <c r="E808" t="str">
        <f>"2008426"</f>
        <v>2008426</v>
      </c>
      <c r="F808" t="str">
        <f>"RETROFIT 2 RECESS LIGHTS/ANNEX"</f>
        <v>RETROFIT 2 RECESS LIGHTS/ANNEX</v>
      </c>
      <c r="G808" s="2">
        <v>191.2</v>
      </c>
      <c r="H808" t="str">
        <f>"RETROFIT 2 RECESS LIGHTS/ANNEX"</f>
        <v>RETROFIT 2 RECESS LIGHTS/ANNEX</v>
      </c>
    </row>
    <row r="809" spans="1:8" x14ac:dyDescent="0.25">
      <c r="E809" t="str">
        <f>"2008427"</f>
        <v>2008427</v>
      </c>
      <c r="F809" t="str">
        <f>"INSTALL QUAD OUTLET/JP4 ANNEX"</f>
        <v>INSTALL QUAD OUTLET/JP4 ANNEX</v>
      </c>
      <c r="G809" s="2">
        <v>291.10000000000002</v>
      </c>
      <c r="H809" t="str">
        <f>"INSTALL QUAD OUTLET/JP4 ANNEX"</f>
        <v>INSTALL QUAD OUTLET/JP4 ANNEX</v>
      </c>
    </row>
    <row r="810" spans="1:8" x14ac:dyDescent="0.25">
      <c r="A810" t="s">
        <v>218</v>
      </c>
      <c r="B810">
        <v>132415</v>
      </c>
      <c r="C810" s="2">
        <v>5310.31</v>
      </c>
      <c r="D810" s="1">
        <v>44025</v>
      </c>
      <c r="E810" t="str">
        <f>"202007087781"</f>
        <v>202007087781</v>
      </c>
      <c r="F810" t="str">
        <f>"ACCT#0200140783"</f>
        <v>ACCT#0200140783</v>
      </c>
      <c r="G810" s="2">
        <v>1853.74</v>
      </c>
      <c r="H810" t="str">
        <f>"ACCT#0200140783"</f>
        <v>ACCT#0200140783</v>
      </c>
    </row>
    <row r="811" spans="1:8" x14ac:dyDescent="0.25">
      <c r="E811" t="str">
        <f>""</f>
        <v/>
      </c>
      <c r="F811" t="str">
        <f>""</f>
        <v/>
      </c>
      <c r="H811" t="str">
        <f>"ACCT#0200140783"</f>
        <v>ACCT#0200140783</v>
      </c>
    </row>
    <row r="812" spans="1:8" x14ac:dyDescent="0.25">
      <c r="E812" t="str">
        <f>"3004273180"</f>
        <v>3004273180</v>
      </c>
      <c r="F812" t="str">
        <f>"iNV# 3004273180"</f>
        <v>iNV# 3004273180</v>
      </c>
      <c r="G812" s="2">
        <v>3456.57</v>
      </c>
      <c r="H812" t="str">
        <f>"DISINFECTANT"</f>
        <v>DISINFECTANT</v>
      </c>
    </row>
    <row r="813" spans="1:8" x14ac:dyDescent="0.25">
      <c r="E813" t="str">
        <f>""</f>
        <v/>
      </c>
      <c r="F813" t="str">
        <f>""</f>
        <v/>
      </c>
      <c r="H813" t="str">
        <f>"SHIPPING"</f>
        <v>SHIPPING</v>
      </c>
    </row>
    <row r="814" spans="1:8" x14ac:dyDescent="0.25">
      <c r="A814" t="s">
        <v>219</v>
      </c>
      <c r="B814">
        <v>2837</v>
      </c>
      <c r="C814" s="2">
        <v>2062</v>
      </c>
      <c r="D814" s="1">
        <v>44026</v>
      </c>
      <c r="E814" t="str">
        <f>"202006307468"</f>
        <v>202006307468</v>
      </c>
      <c r="F814" t="str">
        <f>"18-19039"</f>
        <v>18-19039</v>
      </c>
      <c r="G814" s="2">
        <v>362.5</v>
      </c>
      <c r="H814" t="str">
        <f>"18-19039"</f>
        <v>18-19039</v>
      </c>
    </row>
    <row r="815" spans="1:8" x14ac:dyDescent="0.25">
      <c r="E815" t="str">
        <f>"202006307470"</f>
        <v>202006307470</v>
      </c>
      <c r="F815" t="str">
        <f>"19-19463"</f>
        <v>19-19463</v>
      </c>
      <c r="G815" s="2">
        <v>152.5</v>
      </c>
      <c r="H815" t="str">
        <f>"19-19463"</f>
        <v>19-19463</v>
      </c>
    </row>
    <row r="816" spans="1:8" x14ac:dyDescent="0.25">
      <c r="E816" t="str">
        <f>"202006307474"</f>
        <v>202006307474</v>
      </c>
      <c r="F816" t="str">
        <f>"19-19713"</f>
        <v>19-19713</v>
      </c>
      <c r="G816" s="2">
        <v>332</v>
      </c>
      <c r="H816" t="str">
        <f>"19-19713"</f>
        <v>19-19713</v>
      </c>
    </row>
    <row r="817" spans="1:8" x14ac:dyDescent="0.25">
      <c r="E817" t="str">
        <f>"202006307476"</f>
        <v>202006307476</v>
      </c>
      <c r="F817" t="str">
        <f>"19-19740"</f>
        <v>19-19740</v>
      </c>
      <c r="G817" s="2">
        <v>340</v>
      </c>
      <c r="H817" t="str">
        <f>"19-19740"</f>
        <v>19-19740</v>
      </c>
    </row>
    <row r="818" spans="1:8" x14ac:dyDescent="0.25">
      <c r="E818" t="str">
        <f>"202006307477"</f>
        <v>202006307477</v>
      </c>
      <c r="F818" t="str">
        <f>"57322"</f>
        <v>57322</v>
      </c>
      <c r="G818" s="2">
        <v>250</v>
      </c>
      <c r="H818" t="str">
        <f>"57322"</f>
        <v>57322</v>
      </c>
    </row>
    <row r="819" spans="1:8" x14ac:dyDescent="0.25">
      <c r="E819" t="str">
        <f>"202007037627"</f>
        <v>202007037627</v>
      </c>
      <c r="F819" t="str">
        <f>"20-20227"</f>
        <v>20-20227</v>
      </c>
      <c r="G819" s="2">
        <v>250</v>
      </c>
      <c r="H819" t="str">
        <f>"20-20227"</f>
        <v>20-20227</v>
      </c>
    </row>
    <row r="820" spans="1:8" x14ac:dyDescent="0.25">
      <c r="E820" t="str">
        <f>"202007037628"</f>
        <v>202007037628</v>
      </c>
      <c r="F820" t="str">
        <f>"J-3182  J-3213"</f>
        <v>J-3182  J-3213</v>
      </c>
      <c r="G820" s="2">
        <v>375</v>
      </c>
      <c r="H820" t="str">
        <f>"J-3182  J-3213"</f>
        <v>J-3182  J-3213</v>
      </c>
    </row>
    <row r="821" spans="1:8" x14ac:dyDescent="0.25">
      <c r="A821" t="s">
        <v>219</v>
      </c>
      <c r="B821">
        <v>2907</v>
      </c>
      <c r="C821" s="2">
        <v>1104</v>
      </c>
      <c r="D821" s="1">
        <v>44040</v>
      </c>
      <c r="E821" t="str">
        <f>"202007177928"</f>
        <v>202007177928</v>
      </c>
      <c r="F821" t="str">
        <f>"20-20119"</f>
        <v>20-20119</v>
      </c>
      <c r="G821" s="2">
        <v>280</v>
      </c>
      <c r="H821" t="str">
        <f>"20-20119"</f>
        <v>20-20119</v>
      </c>
    </row>
    <row r="822" spans="1:8" x14ac:dyDescent="0.25">
      <c r="E822" t="str">
        <f>"202007177929"</f>
        <v>202007177929</v>
      </c>
      <c r="F822" t="str">
        <f>"19-19638"</f>
        <v>19-19638</v>
      </c>
      <c r="G822" s="2">
        <v>272</v>
      </c>
      <c r="H822" t="str">
        <f>"19-19638"</f>
        <v>19-19638</v>
      </c>
    </row>
    <row r="823" spans="1:8" x14ac:dyDescent="0.25">
      <c r="E823" t="str">
        <f>"202007177930"</f>
        <v>202007177930</v>
      </c>
      <c r="F823" t="str">
        <f>"20-20119"</f>
        <v>20-20119</v>
      </c>
      <c r="G823" s="2">
        <v>280</v>
      </c>
      <c r="H823" t="str">
        <f>"20-20119"</f>
        <v>20-20119</v>
      </c>
    </row>
    <row r="824" spans="1:8" x14ac:dyDescent="0.25">
      <c r="E824" t="str">
        <f>"202007177931"</f>
        <v>202007177931</v>
      </c>
      <c r="F824" t="str">
        <f>"19-19638"</f>
        <v>19-19638</v>
      </c>
      <c r="G824" s="2">
        <v>272</v>
      </c>
      <c r="H824" t="str">
        <f>"19-19638"</f>
        <v>19-19638</v>
      </c>
    </row>
    <row r="825" spans="1:8" x14ac:dyDescent="0.25">
      <c r="A825" t="s">
        <v>220</v>
      </c>
      <c r="B825">
        <v>132416</v>
      </c>
      <c r="C825" s="2">
        <v>32.25</v>
      </c>
      <c r="D825" s="1">
        <v>44025</v>
      </c>
      <c r="E825" t="str">
        <f>"1015920878"</f>
        <v>1015920878</v>
      </c>
      <c r="F825" t="str">
        <f>"INV 1015920878"</f>
        <v>INV 1015920878</v>
      </c>
      <c r="G825" s="2">
        <v>32.25</v>
      </c>
      <c r="H825" t="str">
        <f>"INV 1015920878"</f>
        <v>INV 1015920878</v>
      </c>
    </row>
    <row r="826" spans="1:8" x14ac:dyDescent="0.25">
      <c r="A826" t="s">
        <v>221</v>
      </c>
      <c r="B826">
        <v>2836</v>
      </c>
      <c r="C826" s="2">
        <v>1631.01</v>
      </c>
      <c r="D826" s="1">
        <v>44026</v>
      </c>
      <c r="E826" t="str">
        <f>"3311551932"</f>
        <v>3311551932</v>
      </c>
      <c r="F826" t="str">
        <f>"ACCT#0011198047"</f>
        <v>ACCT#0011198047</v>
      </c>
      <c r="G826" s="2">
        <v>1631.01</v>
      </c>
      <c r="H826" t="str">
        <f>"ACCT#0011198047"</f>
        <v>ACCT#0011198047</v>
      </c>
    </row>
    <row r="827" spans="1:8" x14ac:dyDescent="0.25">
      <c r="A827" t="s">
        <v>222</v>
      </c>
      <c r="B827">
        <v>2816</v>
      </c>
      <c r="C827" s="2">
        <v>588.49</v>
      </c>
      <c r="D827" s="1">
        <v>44026</v>
      </c>
      <c r="E827" t="str">
        <f>"202007087806"</f>
        <v>202007087806</v>
      </c>
      <c r="F827" t="str">
        <f>"ACCT#0005/PCT#4"</f>
        <v>ACCT#0005/PCT#4</v>
      </c>
      <c r="G827" s="2">
        <v>588.49</v>
      </c>
      <c r="H827" t="str">
        <f>"ACCT#0005/PCT#4"</f>
        <v>ACCT#0005/PCT#4</v>
      </c>
    </row>
    <row r="828" spans="1:8" x14ac:dyDescent="0.25">
      <c r="A828" t="s">
        <v>223</v>
      </c>
      <c r="B828">
        <v>132393</v>
      </c>
      <c r="C828" s="2">
        <v>2025.2</v>
      </c>
      <c r="D828" s="1">
        <v>44025</v>
      </c>
      <c r="E828" t="str">
        <f>"202007087826"</f>
        <v>202007087826</v>
      </c>
      <c r="F828" t="str">
        <f>"ACCT#8850283308/PCT#2"</f>
        <v>ACCT#8850283308/PCT#2</v>
      </c>
      <c r="G828" s="2">
        <v>2025.2</v>
      </c>
      <c r="H828" t="str">
        <f>"ACCT#8850283308/PCT#2"</f>
        <v>ACCT#8850283308/PCT#2</v>
      </c>
    </row>
    <row r="829" spans="1:8" x14ac:dyDescent="0.25">
      <c r="A829" t="s">
        <v>224</v>
      </c>
      <c r="B829">
        <v>132536</v>
      </c>
      <c r="C829" s="2">
        <v>150</v>
      </c>
      <c r="D829" s="1">
        <v>44039</v>
      </c>
      <c r="E829" t="str">
        <f>"I103824"</f>
        <v>I103824</v>
      </c>
      <c r="F829" t="str">
        <f>"INSTALL REAR CAB GLASS/PCT#4"</f>
        <v>INSTALL REAR CAB GLASS/PCT#4</v>
      </c>
      <c r="G829" s="2">
        <v>150</v>
      </c>
      <c r="H829" t="str">
        <f>"INSTALL REAR CAB GLASS/PCT#4"</f>
        <v>INSTALL REAR CAB GLASS/PCT#4</v>
      </c>
    </row>
    <row r="830" spans="1:8" x14ac:dyDescent="0.25">
      <c r="A830" t="s">
        <v>225</v>
      </c>
      <c r="B830">
        <v>2912</v>
      </c>
      <c r="C830" s="2">
        <v>1440</v>
      </c>
      <c r="D830" s="1">
        <v>44040</v>
      </c>
      <c r="E830" t="str">
        <f>"202007217977"</f>
        <v>202007217977</v>
      </c>
      <c r="F830" t="str">
        <f>"INV 201105"</f>
        <v>INV 201105</v>
      </c>
      <c r="G830" s="2">
        <v>1440</v>
      </c>
      <c r="H830" t="str">
        <f>"INV"</f>
        <v>INV</v>
      </c>
    </row>
    <row r="831" spans="1:8" x14ac:dyDescent="0.25">
      <c r="A831" t="s">
        <v>226</v>
      </c>
      <c r="B831">
        <v>132417</v>
      </c>
      <c r="C831" s="2">
        <v>22</v>
      </c>
      <c r="D831" s="1">
        <v>44025</v>
      </c>
      <c r="E831" t="str">
        <f>"133462"</f>
        <v>133462</v>
      </c>
      <c r="F831" t="str">
        <f>"RIGHT SNGLE HITCH LOCK/PCT#1"</f>
        <v>RIGHT SNGLE HITCH LOCK/PCT#1</v>
      </c>
      <c r="G831" s="2">
        <v>22</v>
      </c>
      <c r="H831" t="str">
        <f>"RIGHT SNGLE HITCH LOCK/PCT#1"</f>
        <v>RIGHT SNGLE HITCH LOCK/PCT#1</v>
      </c>
    </row>
    <row r="832" spans="1:8" x14ac:dyDescent="0.25">
      <c r="A832" t="s">
        <v>227</v>
      </c>
      <c r="B832">
        <v>2870</v>
      </c>
      <c r="C832" s="2">
        <v>63.9</v>
      </c>
      <c r="D832" s="1">
        <v>44040</v>
      </c>
      <c r="E832" t="str">
        <f>"10G0121569859"</f>
        <v>10G0121569859</v>
      </c>
      <c r="F832" t="str">
        <f>"ACCT#0121569859/JP#4"</f>
        <v>ACCT#0121569859/JP#4</v>
      </c>
      <c r="G832" s="2">
        <v>55.91</v>
      </c>
      <c r="H832" t="str">
        <f>"ACCT#0121569859/JP#4"</f>
        <v>ACCT#0121569859/JP#4</v>
      </c>
    </row>
    <row r="833" spans="1:8" x14ac:dyDescent="0.25">
      <c r="E833" t="str">
        <f>"10G0121587851"</f>
        <v>10G0121587851</v>
      </c>
      <c r="F833" t="str">
        <f>"ACCT#0125187851/PCT#4"</f>
        <v>ACCT#0125187851/PCT#4</v>
      </c>
      <c r="G833" s="2">
        <v>7.99</v>
      </c>
      <c r="H833" t="str">
        <f>"ACCT#0125187851/PCT#4"</f>
        <v>ACCT#0125187851/PCT#4</v>
      </c>
    </row>
    <row r="834" spans="1:8" x14ac:dyDescent="0.25">
      <c r="A834" t="s">
        <v>228</v>
      </c>
      <c r="B834">
        <v>132537</v>
      </c>
      <c r="C834" s="2">
        <v>925</v>
      </c>
      <c r="D834" s="1">
        <v>44039</v>
      </c>
      <c r="E834" t="str">
        <f>"202007147848"</f>
        <v>202007147848</v>
      </c>
      <c r="F834" t="str">
        <f>"FILE#21-20 / APPRAISAL"</f>
        <v>FILE#21-20 / APPRAISAL</v>
      </c>
      <c r="G834" s="2">
        <v>925</v>
      </c>
      <c r="H834" t="str">
        <f>"FILE#21-20 / APPRAISAL"</f>
        <v>FILE#21-20 / APPRAISAL</v>
      </c>
    </row>
    <row r="835" spans="1:8" x14ac:dyDescent="0.25">
      <c r="A835" t="s">
        <v>229</v>
      </c>
      <c r="B835">
        <v>2819</v>
      </c>
      <c r="C835" s="2">
        <v>3500</v>
      </c>
      <c r="D835" s="1">
        <v>44026</v>
      </c>
      <c r="E835" t="str">
        <f>"202007017486"</f>
        <v>202007017486</v>
      </c>
      <c r="F835" t="str">
        <f>"VET SURG SVCS/JUNE 18-30"</f>
        <v>VET SURG SVCS/JUNE 18-30</v>
      </c>
      <c r="G835" s="2">
        <v>3500</v>
      </c>
      <c r="H835" t="str">
        <f>"VET SURG SVCS/JUNE 18-30"</f>
        <v>VET SURG SVCS/JUNE 18-30</v>
      </c>
    </row>
    <row r="836" spans="1:8" x14ac:dyDescent="0.25">
      <c r="E836" t="str">
        <f>""</f>
        <v/>
      </c>
      <c r="F836" t="str">
        <f>""</f>
        <v/>
      </c>
      <c r="H836" t="str">
        <f>"VET SURG SVCS/JUNE 18-30"</f>
        <v>VET SURG SVCS/JUNE 18-30</v>
      </c>
    </row>
    <row r="837" spans="1:8" x14ac:dyDescent="0.25">
      <c r="A837" t="s">
        <v>229</v>
      </c>
      <c r="B837">
        <v>2893</v>
      </c>
      <c r="C837" s="2">
        <v>5500</v>
      </c>
      <c r="D837" s="1">
        <v>44040</v>
      </c>
      <c r="E837" t="str">
        <f>"1"</f>
        <v>1</v>
      </c>
      <c r="F837" t="str">
        <f>"SPAY/NEUTER SURGERIESJULY 2-21"</f>
        <v>SPAY/NEUTER SURGERIESJULY 2-21</v>
      </c>
      <c r="G837" s="2">
        <v>5500</v>
      </c>
      <c r="H837" t="str">
        <f>"SPAY/NEUTER SURGERIESJULY 2-21"</f>
        <v>SPAY/NEUTER SURGERIESJULY 2-21</v>
      </c>
    </row>
    <row r="838" spans="1:8" x14ac:dyDescent="0.25">
      <c r="E838" t="str">
        <f>""</f>
        <v/>
      </c>
      <c r="F838" t="str">
        <f>""</f>
        <v/>
      </c>
      <c r="H838" t="str">
        <f>"SPAY/NEUTER SURGERIESJULY 2-21"</f>
        <v>SPAY/NEUTER SURGERIESJULY 2-21</v>
      </c>
    </row>
    <row r="839" spans="1:8" x14ac:dyDescent="0.25">
      <c r="A839" t="s">
        <v>230</v>
      </c>
      <c r="B839">
        <v>132538</v>
      </c>
      <c r="C839" s="2">
        <v>233.19</v>
      </c>
      <c r="D839" s="1">
        <v>44039</v>
      </c>
      <c r="E839" t="str">
        <f>"20200710019610"</f>
        <v>20200710019610</v>
      </c>
      <c r="F839" t="str">
        <f>"CUST#19610/PCT#4"</f>
        <v>CUST#19610/PCT#4</v>
      </c>
      <c r="G839" s="2">
        <v>233.19</v>
      </c>
      <c r="H839" t="str">
        <f>"CUST#19610/PCT#4"</f>
        <v>CUST#19610/PCT#4</v>
      </c>
    </row>
    <row r="840" spans="1:8" x14ac:dyDescent="0.25">
      <c r="A840" t="s">
        <v>231</v>
      </c>
      <c r="B840">
        <v>2812</v>
      </c>
      <c r="C840" s="2">
        <v>1846.91</v>
      </c>
      <c r="D840" s="1">
        <v>44026</v>
      </c>
      <c r="E840" t="str">
        <f>"15435"</f>
        <v>15435</v>
      </c>
      <c r="F840" t="str">
        <f>"SVC ORD#16199/PCT#4"</f>
        <v>SVC ORD#16199/PCT#4</v>
      </c>
      <c r="G840" s="2">
        <v>77</v>
      </c>
      <c r="H840" t="str">
        <f>"SVC ORD#16199/PCT#4"</f>
        <v>SVC ORD#16199/PCT#4</v>
      </c>
    </row>
    <row r="841" spans="1:8" x14ac:dyDescent="0.25">
      <c r="E841" t="str">
        <f>"15471"</f>
        <v>15471</v>
      </c>
      <c r="F841" t="str">
        <f>"SVC ORD#16228/PCT#4"</f>
        <v>SVC ORD#16228/PCT#4</v>
      </c>
      <c r="G841" s="2">
        <v>191.63</v>
      </c>
      <c r="H841" t="str">
        <f>"SVC ORD#16228/PCT#4"</f>
        <v>SVC ORD#16228/PCT#4</v>
      </c>
    </row>
    <row r="842" spans="1:8" x14ac:dyDescent="0.25">
      <c r="E842" t="str">
        <f>"15500"</f>
        <v>15500</v>
      </c>
      <c r="F842" t="str">
        <f>"SVC ORD#16254/PCT#4"</f>
        <v>SVC ORD#16254/PCT#4</v>
      </c>
      <c r="G842" s="2">
        <v>142.15</v>
      </c>
      <c r="H842" t="str">
        <f>"SVC ORD#16254/PCT#4"</f>
        <v>SVC ORD#16254/PCT#4</v>
      </c>
    </row>
    <row r="843" spans="1:8" x14ac:dyDescent="0.25">
      <c r="E843" t="str">
        <f>"15510"</f>
        <v>15510</v>
      </c>
      <c r="F843" t="str">
        <f>"SOLENOID  RELAY MODULE/PCT#1"</f>
        <v>SOLENOID  RELAY MODULE/PCT#1</v>
      </c>
      <c r="G843" s="2">
        <v>63.62</v>
      </c>
      <c r="H843" t="str">
        <f>"SOLENOID  RELAY MODULE/PCT#1"</f>
        <v>SOLENOID  RELAY MODULE/PCT#1</v>
      </c>
    </row>
    <row r="844" spans="1:8" x14ac:dyDescent="0.25">
      <c r="E844" t="str">
        <f>"15525"</f>
        <v>15525</v>
      </c>
      <c r="F844" t="str">
        <f>"SVC ORD#16240/PCT#4"</f>
        <v>SVC ORD#16240/PCT#4</v>
      </c>
      <c r="G844" s="2">
        <v>1372.51</v>
      </c>
      <c r="H844" t="str">
        <f>"SVC ORD#16240/PCT#4"</f>
        <v>SVC ORD#16240/PCT#4</v>
      </c>
    </row>
    <row r="845" spans="1:8" x14ac:dyDescent="0.25">
      <c r="A845" t="s">
        <v>231</v>
      </c>
      <c r="B845">
        <v>2886</v>
      </c>
      <c r="C845" s="2">
        <v>4033.84</v>
      </c>
      <c r="D845" s="1">
        <v>44040</v>
      </c>
      <c r="E845" t="str">
        <f>"15677"</f>
        <v>15677</v>
      </c>
      <c r="F845" t="str">
        <f>"SVC ORD#16198/PCT#4"</f>
        <v>SVC ORD#16198/PCT#4</v>
      </c>
      <c r="G845" s="2">
        <v>4033.84</v>
      </c>
      <c r="H845" t="str">
        <f>"SVC ORD#16198/PCT#4"</f>
        <v>SVC ORD#16198/PCT#4</v>
      </c>
    </row>
    <row r="846" spans="1:8" x14ac:dyDescent="0.25">
      <c r="A846" t="s">
        <v>232</v>
      </c>
      <c r="B846">
        <v>2841</v>
      </c>
      <c r="C846" s="2">
        <v>5555</v>
      </c>
      <c r="D846" s="1">
        <v>44026</v>
      </c>
      <c r="E846" t="str">
        <f>"202007037600"</f>
        <v>202007037600</v>
      </c>
      <c r="F846" t="str">
        <f>"BC20181207"</f>
        <v>BC20181207</v>
      </c>
      <c r="G846" s="2">
        <v>150</v>
      </c>
      <c r="H846" t="str">
        <f>"BC20181207"</f>
        <v>BC20181207</v>
      </c>
    </row>
    <row r="847" spans="1:8" x14ac:dyDescent="0.25">
      <c r="E847" t="str">
        <f>"202007037601"</f>
        <v>202007037601</v>
      </c>
      <c r="F847" t="str">
        <f>"4030120-1"</f>
        <v>4030120-1</v>
      </c>
      <c r="G847" s="2">
        <v>150</v>
      </c>
      <c r="H847" t="str">
        <f>"4030120-1"</f>
        <v>4030120-1</v>
      </c>
    </row>
    <row r="848" spans="1:8" x14ac:dyDescent="0.25">
      <c r="E848" t="str">
        <f>"202007037602"</f>
        <v>202007037602</v>
      </c>
      <c r="F848" t="str">
        <f>"BC-20190205F  BC-20190205G"</f>
        <v>BC-20190205F  BC-20190205G</v>
      </c>
      <c r="G848" s="2">
        <v>150</v>
      </c>
      <c r="H848" t="str">
        <f>"BC-20190205F  BC-20190205G"</f>
        <v>BC-20190205F  BC-20190205G</v>
      </c>
    </row>
    <row r="849" spans="5:8" x14ac:dyDescent="0.25">
      <c r="E849" t="str">
        <f>"202007037603"</f>
        <v>202007037603</v>
      </c>
      <c r="F849" t="str">
        <f>"305012019D"</f>
        <v>305012019D</v>
      </c>
      <c r="G849" s="2">
        <v>150</v>
      </c>
      <c r="H849" t="str">
        <f>"305012019D"</f>
        <v>305012019D</v>
      </c>
    </row>
    <row r="850" spans="5:8" x14ac:dyDescent="0.25">
      <c r="E850" t="str">
        <f>"202007037604"</f>
        <v>202007037604</v>
      </c>
      <c r="F850" t="str">
        <f>"02-0210-1"</f>
        <v>02-0210-1</v>
      </c>
      <c r="G850" s="2">
        <v>150</v>
      </c>
      <c r="H850" t="str">
        <f>"02-0210-1"</f>
        <v>02-0210-1</v>
      </c>
    </row>
    <row r="851" spans="5:8" x14ac:dyDescent="0.25">
      <c r="E851" t="str">
        <f>"202007037605"</f>
        <v>202007037605</v>
      </c>
      <c r="F851" t="str">
        <f>"BC20200213A"</f>
        <v>BC20200213A</v>
      </c>
      <c r="G851" s="2">
        <v>150</v>
      </c>
      <c r="H851" t="str">
        <f>"BC20200213A"</f>
        <v>BC20200213A</v>
      </c>
    </row>
    <row r="852" spans="5:8" x14ac:dyDescent="0.25">
      <c r="E852" t="str">
        <f>"202007037606"</f>
        <v>202007037606</v>
      </c>
      <c r="F852" t="str">
        <f>"BC20200416A"</f>
        <v>BC20200416A</v>
      </c>
      <c r="G852" s="2">
        <v>150</v>
      </c>
      <c r="H852" t="str">
        <f>"BC20200416A"</f>
        <v>BC20200416A</v>
      </c>
    </row>
    <row r="853" spans="5:8" x14ac:dyDescent="0.25">
      <c r="E853" t="str">
        <f>"202007037607"</f>
        <v>202007037607</v>
      </c>
      <c r="F853" t="str">
        <f>"BC20190214"</f>
        <v>BC20190214</v>
      </c>
      <c r="G853" s="2">
        <v>150</v>
      </c>
      <c r="H853" t="str">
        <f>"BC20190214"</f>
        <v>BC20190214</v>
      </c>
    </row>
    <row r="854" spans="5:8" x14ac:dyDescent="0.25">
      <c r="E854" t="str">
        <f>"202007037608"</f>
        <v>202007037608</v>
      </c>
      <c r="F854" t="str">
        <f>"BC20191017"</f>
        <v>BC20191017</v>
      </c>
      <c r="G854" s="2">
        <v>150</v>
      </c>
      <c r="H854" t="str">
        <f>"BC20191017"</f>
        <v>BC20191017</v>
      </c>
    </row>
    <row r="855" spans="5:8" x14ac:dyDescent="0.25">
      <c r="E855" t="str">
        <f>"202007037609"</f>
        <v>202007037609</v>
      </c>
      <c r="F855" t="str">
        <f>"DCPC-20-036  DCPC-20-037"</f>
        <v>DCPC-20-036  DCPC-20-037</v>
      </c>
      <c r="G855" s="2">
        <v>150</v>
      </c>
      <c r="H855" t="str">
        <f>"DCPC-20-036  DCPC-20-037"</f>
        <v>DCPC-20-036  DCPC-20-037</v>
      </c>
    </row>
    <row r="856" spans="5:8" x14ac:dyDescent="0.25">
      <c r="E856" t="str">
        <f>"202007037610"</f>
        <v>202007037610</v>
      </c>
      <c r="F856" t="str">
        <f>"MC20190809D"</f>
        <v>MC20190809D</v>
      </c>
      <c r="G856" s="2">
        <v>150</v>
      </c>
      <c r="H856" t="str">
        <f>"MC20190809D"</f>
        <v>MC20190809D</v>
      </c>
    </row>
    <row r="857" spans="5:8" x14ac:dyDescent="0.25">
      <c r="E857" t="str">
        <f>"202007037611"</f>
        <v>202007037611</v>
      </c>
      <c r="F857" t="str">
        <f>"C180066"</f>
        <v>C180066</v>
      </c>
      <c r="G857" s="2">
        <v>250</v>
      </c>
      <c r="H857" t="str">
        <f>"C180066"</f>
        <v>C180066</v>
      </c>
    </row>
    <row r="858" spans="5:8" x14ac:dyDescent="0.25">
      <c r="E858" t="str">
        <f>"202007037612"</f>
        <v>202007037612</v>
      </c>
      <c r="F858" t="str">
        <f>"JP112242019A"</f>
        <v>JP112242019A</v>
      </c>
      <c r="G858" s="2">
        <v>150</v>
      </c>
      <c r="H858" t="str">
        <f>"JP112242019A"</f>
        <v>JP112242019A</v>
      </c>
    </row>
    <row r="859" spans="5:8" x14ac:dyDescent="0.25">
      <c r="E859" t="str">
        <f>"202007037613"</f>
        <v>202007037613</v>
      </c>
      <c r="F859" t="str">
        <f>"C19-0053-AW"</f>
        <v>C19-0053-AW</v>
      </c>
      <c r="G859" s="2">
        <v>150</v>
      </c>
      <c r="H859" t="str">
        <f>"C19-0053-AW"</f>
        <v>C19-0053-AW</v>
      </c>
    </row>
    <row r="860" spans="5:8" x14ac:dyDescent="0.25">
      <c r="E860" t="str">
        <f>"202007037614"</f>
        <v>202007037614</v>
      </c>
      <c r="F860" t="str">
        <f>"JP112292019G"</f>
        <v>JP112292019G</v>
      </c>
      <c r="G860" s="2">
        <v>150</v>
      </c>
      <c r="H860" t="str">
        <f>"JP112292019G"</f>
        <v>JP112292019G</v>
      </c>
    </row>
    <row r="861" spans="5:8" x14ac:dyDescent="0.25">
      <c r="E861" t="str">
        <f>"202007037615"</f>
        <v>202007037615</v>
      </c>
      <c r="F861" t="str">
        <f>"AC-2020-0123"</f>
        <v>AC-2020-0123</v>
      </c>
      <c r="G861" s="2">
        <v>150</v>
      </c>
      <c r="H861" t="str">
        <f>"AC-2020-0123"</f>
        <v>AC-2020-0123</v>
      </c>
    </row>
    <row r="862" spans="5:8" x14ac:dyDescent="0.25">
      <c r="E862" t="str">
        <f>"202007037616"</f>
        <v>202007037616</v>
      </c>
      <c r="F862" t="str">
        <f>"311242019A"</f>
        <v>311242019A</v>
      </c>
      <c r="G862" s="2">
        <v>150</v>
      </c>
      <c r="H862" t="str">
        <f>"311242019A"</f>
        <v>311242019A</v>
      </c>
    </row>
    <row r="863" spans="5:8" x14ac:dyDescent="0.25">
      <c r="E863" t="str">
        <f>"202007037617"</f>
        <v>202007037617</v>
      </c>
      <c r="F863" t="str">
        <f>"02-1207-5"</f>
        <v>02-1207-5</v>
      </c>
      <c r="G863" s="2">
        <v>150</v>
      </c>
      <c r="H863" t="str">
        <f>"02-1207-5"</f>
        <v>02-1207-5</v>
      </c>
    </row>
    <row r="864" spans="5:8" x14ac:dyDescent="0.25">
      <c r="E864" t="str">
        <f>"202007037618"</f>
        <v>202007037618</v>
      </c>
      <c r="F864" t="str">
        <f>"JP102092020V"</f>
        <v>JP102092020V</v>
      </c>
      <c r="G864" s="2">
        <v>150</v>
      </c>
      <c r="H864" t="str">
        <f>"JP102092020V"</f>
        <v>JP102092020V</v>
      </c>
    </row>
    <row r="865" spans="1:8" x14ac:dyDescent="0.25">
      <c r="E865" t="str">
        <f>"202007037635"</f>
        <v>202007037635</v>
      </c>
      <c r="F865" t="str">
        <f>"16-17978"</f>
        <v>16-17978</v>
      </c>
      <c r="G865" s="2">
        <v>105</v>
      </c>
      <c r="H865" t="str">
        <f>"16-17978"</f>
        <v>16-17978</v>
      </c>
    </row>
    <row r="866" spans="1:8" x14ac:dyDescent="0.25">
      <c r="E866" t="str">
        <f>"202007037636"</f>
        <v>202007037636</v>
      </c>
      <c r="F866" t="str">
        <f>"56842"</f>
        <v>56842</v>
      </c>
      <c r="G866" s="2">
        <v>250</v>
      </c>
      <c r="H866" t="str">
        <f>"56842"</f>
        <v>56842</v>
      </c>
    </row>
    <row r="867" spans="1:8" x14ac:dyDescent="0.25">
      <c r="E867" t="str">
        <f>"202007087815"</f>
        <v>202007087815</v>
      </c>
      <c r="F867" t="str">
        <f>"57 251"</f>
        <v>57 251</v>
      </c>
      <c r="G867" s="2">
        <v>250</v>
      </c>
      <c r="H867" t="str">
        <f>"57 251"</f>
        <v>57 251</v>
      </c>
    </row>
    <row r="868" spans="1:8" x14ac:dyDescent="0.25">
      <c r="E868" t="str">
        <f>"202007087816"</f>
        <v>202007087816</v>
      </c>
      <c r="F868" t="str">
        <f>"57 040"</f>
        <v>57 040</v>
      </c>
      <c r="G868" s="2">
        <v>250</v>
      </c>
      <c r="H868" t="str">
        <f>"57 040"</f>
        <v>57 040</v>
      </c>
    </row>
    <row r="869" spans="1:8" x14ac:dyDescent="0.25">
      <c r="E869" t="str">
        <f>"202007087817"</f>
        <v>202007087817</v>
      </c>
      <c r="F869" t="str">
        <f>"57 151  57 152"</f>
        <v>57 151  57 152</v>
      </c>
      <c r="G869" s="2">
        <v>250</v>
      </c>
      <c r="H869" t="str">
        <f>"57 151  57 152"</f>
        <v>57 151  57 152</v>
      </c>
    </row>
    <row r="870" spans="1:8" x14ac:dyDescent="0.25">
      <c r="E870" t="str">
        <f>"202007087818"</f>
        <v>202007087818</v>
      </c>
      <c r="F870" t="str">
        <f>"57 182"</f>
        <v>57 182</v>
      </c>
      <c r="G870" s="2">
        <v>250</v>
      </c>
      <c r="H870" t="str">
        <f>"57 182"</f>
        <v>57 182</v>
      </c>
    </row>
    <row r="871" spans="1:8" x14ac:dyDescent="0.25">
      <c r="E871" t="str">
        <f>"202007087819"</f>
        <v>202007087819</v>
      </c>
      <c r="F871" t="str">
        <f>"57 297"</f>
        <v>57 297</v>
      </c>
      <c r="G871" s="2">
        <v>250</v>
      </c>
      <c r="H871" t="str">
        <f>"57 297"</f>
        <v>57 297</v>
      </c>
    </row>
    <row r="872" spans="1:8" x14ac:dyDescent="0.25">
      <c r="E872" t="str">
        <f>"202007087820"</f>
        <v>202007087820</v>
      </c>
      <c r="F872" t="str">
        <f>"57 153"</f>
        <v>57 153</v>
      </c>
      <c r="G872" s="2">
        <v>250</v>
      </c>
      <c r="H872" t="str">
        <f>"57 153"</f>
        <v>57 153</v>
      </c>
    </row>
    <row r="873" spans="1:8" x14ac:dyDescent="0.25">
      <c r="E873" t="str">
        <f>"202007087821"</f>
        <v>202007087821</v>
      </c>
      <c r="F873" t="str">
        <f>"57 395  57 423"</f>
        <v>57 395  57 423</v>
      </c>
      <c r="G873" s="2">
        <v>250</v>
      </c>
      <c r="H873" t="str">
        <f>"57 395  57 423"</f>
        <v>57 395  57 423</v>
      </c>
    </row>
    <row r="874" spans="1:8" x14ac:dyDescent="0.25">
      <c r="E874" t="str">
        <f>"202007087822"</f>
        <v>202007087822</v>
      </c>
      <c r="F874" t="str">
        <f>"57 162"</f>
        <v>57 162</v>
      </c>
      <c r="G874" s="2">
        <v>250</v>
      </c>
      <c r="H874" t="str">
        <f>"57 162"</f>
        <v>57 162</v>
      </c>
    </row>
    <row r="875" spans="1:8" x14ac:dyDescent="0.25">
      <c r="E875" t="str">
        <f>"202007087823"</f>
        <v>202007087823</v>
      </c>
      <c r="F875" t="str">
        <f>"57 106"</f>
        <v>57 106</v>
      </c>
      <c r="G875" s="2">
        <v>250</v>
      </c>
      <c r="H875" t="str">
        <f>"57 106"</f>
        <v>57 106</v>
      </c>
    </row>
    <row r="876" spans="1:8" x14ac:dyDescent="0.25">
      <c r="A876" t="s">
        <v>232</v>
      </c>
      <c r="B876">
        <v>2910</v>
      </c>
      <c r="C876" s="2">
        <v>3280</v>
      </c>
      <c r="D876" s="1">
        <v>44040</v>
      </c>
      <c r="E876" t="str">
        <f>"202007177916"</f>
        <v>202007177916</v>
      </c>
      <c r="F876" t="str">
        <f>"55 141"</f>
        <v>55 141</v>
      </c>
      <c r="G876" s="2">
        <v>250</v>
      </c>
      <c r="H876" t="str">
        <f>"55 141"</f>
        <v>55 141</v>
      </c>
    </row>
    <row r="877" spans="1:8" x14ac:dyDescent="0.25">
      <c r="E877" t="str">
        <f>"202007177917"</f>
        <v>202007177917</v>
      </c>
      <c r="F877" t="str">
        <f>"56 039"</f>
        <v>56 039</v>
      </c>
      <c r="G877" s="2">
        <v>250</v>
      </c>
      <c r="H877" t="str">
        <f>"56 039"</f>
        <v>56 039</v>
      </c>
    </row>
    <row r="878" spans="1:8" x14ac:dyDescent="0.25">
      <c r="E878" t="str">
        <f>"202007177918"</f>
        <v>202007177918</v>
      </c>
      <c r="F878" t="str">
        <f>"56 885"</f>
        <v>56 885</v>
      </c>
      <c r="G878" s="2">
        <v>250</v>
      </c>
      <c r="H878" t="str">
        <f>"56 885"</f>
        <v>56 885</v>
      </c>
    </row>
    <row r="879" spans="1:8" x14ac:dyDescent="0.25">
      <c r="E879" t="str">
        <f>"202007177919"</f>
        <v>202007177919</v>
      </c>
      <c r="F879" t="str">
        <f>"55 253"</f>
        <v>55 253</v>
      </c>
      <c r="G879" s="2">
        <v>250</v>
      </c>
      <c r="H879" t="str">
        <f>"55 253"</f>
        <v>55 253</v>
      </c>
    </row>
    <row r="880" spans="1:8" x14ac:dyDescent="0.25">
      <c r="E880" t="str">
        <f>"202007177920"</f>
        <v>202007177920</v>
      </c>
      <c r="F880" t="str">
        <f>"52 970"</f>
        <v>52 970</v>
      </c>
      <c r="G880" s="2">
        <v>250</v>
      </c>
      <c r="H880" t="str">
        <f>"52 970"</f>
        <v>52 970</v>
      </c>
    </row>
    <row r="881" spans="1:8" x14ac:dyDescent="0.25">
      <c r="E881" t="str">
        <f>"202007177921"</f>
        <v>202007177921</v>
      </c>
      <c r="F881" t="str">
        <f>"54 762"</f>
        <v>54 762</v>
      </c>
      <c r="G881" s="2">
        <v>250</v>
      </c>
      <c r="H881" t="str">
        <f>"54 762"</f>
        <v>54 762</v>
      </c>
    </row>
    <row r="882" spans="1:8" x14ac:dyDescent="0.25">
      <c r="E882" t="str">
        <f>"202007177922"</f>
        <v>202007177922</v>
      </c>
      <c r="F882" t="str">
        <f>"56 315"</f>
        <v>56 315</v>
      </c>
      <c r="G882" s="2">
        <v>250</v>
      </c>
      <c r="H882" t="str">
        <f>"56 315"</f>
        <v>56 315</v>
      </c>
    </row>
    <row r="883" spans="1:8" x14ac:dyDescent="0.25">
      <c r="E883" t="str">
        <f>"202007177923"</f>
        <v>202007177923</v>
      </c>
      <c r="F883" t="str">
        <f>"56 707"</f>
        <v>56 707</v>
      </c>
      <c r="G883" s="2">
        <v>250</v>
      </c>
      <c r="H883" t="str">
        <f>"56 707"</f>
        <v>56 707</v>
      </c>
    </row>
    <row r="884" spans="1:8" x14ac:dyDescent="0.25">
      <c r="E884" t="str">
        <f>"202007177924"</f>
        <v>202007177924</v>
      </c>
      <c r="F884" t="str">
        <f>"56 717"</f>
        <v>56 717</v>
      </c>
      <c r="G884" s="2">
        <v>250</v>
      </c>
      <c r="H884" t="str">
        <f>"56 717"</f>
        <v>56 717</v>
      </c>
    </row>
    <row r="885" spans="1:8" x14ac:dyDescent="0.25">
      <c r="E885" t="str">
        <f>"202007177925"</f>
        <v>202007177925</v>
      </c>
      <c r="F885" t="str">
        <f>"57 451"</f>
        <v>57 451</v>
      </c>
      <c r="G885" s="2">
        <v>250</v>
      </c>
      <c r="H885" t="str">
        <f>"57 451"</f>
        <v>57 451</v>
      </c>
    </row>
    <row r="886" spans="1:8" x14ac:dyDescent="0.25">
      <c r="E886" t="str">
        <f>"202007177926"</f>
        <v>202007177926</v>
      </c>
      <c r="F886" t="str">
        <f>"57 445"</f>
        <v>57 445</v>
      </c>
      <c r="G886" s="2">
        <v>250</v>
      </c>
      <c r="H886" t="str">
        <f>"57 445"</f>
        <v>57 445</v>
      </c>
    </row>
    <row r="887" spans="1:8" x14ac:dyDescent="0.25">
      <c r="E887" t="str">
        <f>"202007177927"</f>
        <v>202007177927</v>
      </c>
      <c r="F887" t="str">
        <f>"57 390"</f>
        <v>57 390</v>
      </c>
      <c r="G887" s="2">
        <v>250</v>
      </c>
      <c r="H887" t="str">
        <f>"57 390"</f>
        <v>57 390</v>
      </c>
    </row>
    <row r="888" spans="1:8" x14ac:dyDescent="0.25">
      <c r="E888" t="str">
        <f>"202007207951"</f>
        <v>202007207951</v>
      </c>
      <c r="F888" t="str">
        <f>"423-7082"</f>
        <v>423-7082</v>
      </c>
      <c r="G888" s="2">
        <v>280</v>
      </c>
      <c r="H888" t="str">
        <f>"423-7082"</f>
        <v>423-7082</v>
      </c>
    </row>
    <row r="889" spans="1:8" x14ac:dyDescent="0.25">
      <c r="A889" t="s">
        <v>233</v>
      </c>
      <c r="B889">
        <v>132418</v>
      </c>
      <c r="C889" s="2">
        <v>65.77</v>
      </c>
      <c r="D889" s="1">
        <v>44025</v>
      </c>
      <c r="E889" t="str">
        <f>"86676"</f>
        <v>86676</v>
      </c>
      <c r="F889" t="str">
        <f>"ACCT#3510/PCT#4"</f>
        <v>ACCT#3510/PCT#4</v>
      </c>
      <c r="G889" s="2">
        <v>65.77</v>
      </c>
      <c r="H889" t="str">
        <f>"ACCT#3510/PCT#4"</f>
        <v>ACCT#3510/PCT#4</v>
      </c>
    </row>
    <row r="890" spans="1:8" x14ac:dyDescent="0.25">
      <c r="A890" t="s">
        <v>234</v>
      </c>
      <c r="B890">
        <v>132539</v>
      </c>
      <c r="C890" s="2">
        <v>9236.6299999999992</v>
      </c>
      <c r="D890" s="1">
        <v>44039</v>
      </c>
      <c r="E890" t="str">
        <f>"35787412"</f>
        <v>35787412</v>
      </c>
      <c r="F890" t="str">
        <f>"CUST#2000172616"</f>
        <v>CUST#2000172616</v>
      </c>
      <c r="G890" s="2">
        <v>9236.6299999999992</v>
      </c>
      <c r="H890" t="str">
        <f t="shared" ref="H890:H921" si="11">"CUST#2000172616"</f>
        <v>CUST#2000172616</v>
      </c>
    </row>
    <row r="891" spans="1:8" x14ac:dyDescent="0.25">
      <c r="E891" t="str">
        <f>""</f>
        <v/>
      </c>
      <c r="F891" t="str">
        <f>""</f>
        <v/>
      </c>
      <c r="H891" t="str">
        <f t="shared" si="11"/>
        <v>CUST#2000172616</v>
      </c>
    </row>
    <row r="892" spans="1:8" x14ac:dyDescent="0.25">
      <c r="E892" t="str">
        <f>""</f>
        <v/>
      </c>
      <c r="F892" t="str">
        <f>""</f>
        <v/>
      </c>
      <c r="H892" t="str">
        <f t="shared" si="11"/>
        <v>CUST#2000172616</v>
      </c>
    </row>
    <row r="893" spans="1:8" x14ac:dyDescent="0.25">
      <c r="E893" t="str">
        <f>""</f>
        <v/>
      </c>
      <c r="F893" t="str">
        <f>""</f>
        <v/>
      </c>
      <c r="H893" t="str">
        <f t="shared" si="11"/>
        <v>CUST#2000172616</v>
      </c>
    </row>
    <row r="894" spans="1:8" x14ac:dyDescent="0.25">
      <c r="E894" t="str">
        <f>""</f>
        <v/>
      </c>
      <c r="F894" t="str">
        <f>""</f>
        <v/>
      </c>
      <c r="H894" t="str">
        <f t="shared" si="11"/>
        <v>CUST#2000172616</v>
      </c>
    </row>
    <row r="895" spans="1:8" x14ac:dyDescent="0.25">
      <c r="E895" t="str">
        <f>""</f>
        <v/>
      </c>
      <c r="F895" t="str">
        <f>""</f>
        <v/>
      </c>
      <c r="H895" t="str">
        <f t="shared" si="11"/>
        <v>CUST#2000172616</v>
      </c>
    </row>
    <row r="896" spans="1:8" x14ac:dyDescent="0.25">
      <c r="E896" t="str">
        <f>""</f>
        <v/>
      </c>
      <c r="F896" t="str">
        <f>""</f>
        <v/>
      </c>
      <c r="H896" t="str">
        <f t="shared" si="11"/>
        <v>CUST#2000172616</v>
      </c>
    </row>
    <row r="897" spans="5:8" x14ac:dyDescent="0.25">
      <c r="E897" t="str">
        <f>""</f>
        <v/>
      </c>
      <c r="F897" t="str">
        <f>""</f>
        <v/>
      </c>
      <c r="H897" t="str">
        <f t="shared" si="11"/>
        <v>CUST#2000172616</v>
      </c>
    </row>
    <row r="898" spans="5:8" x14ac:dyDescent="0.25">
      <c r="E898" t="str">
        <f>""</f>
        <v/>
      </c>
      <c r="F898" t="str">
        <f>""</f>
        <v/>
      </c>
      <c r="H898" t="str">
        <f t="shared" si="11"/>
        <v>CUST#2000172616</v>
      </c>
    </row>
    <row r="899" spans="5:8" x14ac:dyDescent="0.25">
      <c r="E899" t="str">
        <f>""</f>
        <v/>
      </c>
      <c r="F899" t="str">
        <f>""</f>
        <v/>
      </c>
      <c r="H899" t="str">
        <f t="shared" si="11"/>
        <v>CUST#2000172616</v>
      </c>
    </row>
    <row r="900" spans="5:8" x14ac:dyDescent="0.25">
      <c r="E900" t="str">
        <f>""</f>
        <v/>
      </c>
      <c r="F900" t="str">
        <f>""</f>
        <v/>
      </c>
      <c r="H900" t="str">
        <f t="shared" si="11"/>
        <v>CUST#2000172616</v>
      </c>
    </row>
    <row r="901" spans="5:8" x14ac:dyDescent="0.25">
      <c r="E901" t="str">
        <f>""</f>
        <v/>
      </c>
      <c r="F901" t="str">
        <f>""</f>
        <v/>
      </c>
      <c r="H901" t="str">
        <f t="shared" si="11"/>
        <v>CUST#2000172616</v>
      </c>
    </row>
    <row r="902" spans="5:8" x14ac:dyDescent="0.25">
      <c r="E902" t="str">
        <f>""</f>
        <v/>
      </c>
      <c r="F902" t="str">
        <f>""</f>
        <v/>
      </c>
      <c r="H902" t="str">
        <f t="shared" si="11"/>
        <v>CUST#2000172616</v>
      </c>
    </row>
    <row r="903" spans="5:8" x14ac:dyDescent="0.25">
      <c r="E903" t="str">
        <f>""</f>
        <v/>
      </c>
      <c r="F903" t="str">
        <f>""</f>
        <v/>
      </c>
      <c r="H903" t="str">
        <f t="shared" si="11"/>
        <v>CUST#2000172616</v>
      </c>
    </row>
    <row r="904" spans="5:8" x14ac:dyDescent="0.25">
      <c r="E904" t="str">
        <f>""</f>
        <v/>
      </c>
      <c r="F904" t="str">
        <f>""</f>
        <v/>
      </c>
      <c r="H904" t="str">
        <f t="shared" si="11"/>
        <v>CUST#2000172616</v>
      </c>
    </row>
    <row r="905" spans="5:8" x14ac:dyDescent="0.25">
      <c r="E905" t="str">
        <f>""</f>
        <v/>
      </c>
      <c r="F905" t="str">
        <f>""</f>
        <v/>
      </c>
      <c r="H905" t="str">
        <f t="shared" si="11"/>
        <v>CUST#2000172616</v>
      </c>
    </row>
    <row r="906" spans="5:8" x14ac:dyDescent="0.25">
      <c r="E906" t="str">
        <f>""</f>
        <v/>
      </c>
      <c r="F906" t="str">
        <f>""</f>
        <v/>
      </c>
      <c r="H906" t="str">
        <f t="shared" si="11"/>
        <v>CUST#2000172616</v>
      </c>
    </row>
    <row r="907" spans="5:8" x14ac:dyDescent="0.25">
      <c r="E907" t="str">
        <f>""</f>
        <v/>
      </c>
      <c r="F907" t="str">
        <f>""</f>
        <v/>
      </c>
      <c r="H907" t="str">
        <f t="shared" si="11"/>
        <v>CUST#2000172616</v>
      </c>
    </row>
    <row r="908" spans="5:8" x14ac:dyDescent="0.25">
      <c r="E908" t="str">
        <f>""</f>
        <v/>
      </c>
      <c r="F908" t="str">
        <f>""</f>
        <v/>
      </c>
      <c r="H908" t="str">
        <f t="shared" si="11"/>
        <v>CUST#2000172616</v>
      </c>
    </row>
    <row r="909" spans="5:8" x14ac:dyDescent="0.25">
      <c r="E909" t="str">
        <f>""</f>
        <v/>
      </c>
      <c r="F909" t="str">
        <f>""</f>
        <v/>
      </c>
      <c r="H909" t="str">
        <f t="shared" si="11"/>
        <v>CUST#2000172616</v>
      </c>
    </row>
    <row r="910" spans="5:8" x14ac:dyDescent="0.25">
      <c r="E910" t="str">
        <f>""</f>
        <v/>
      </c>
      <c r="F910" t="str">
        <f>""</f>
        <v/>
      </c>
      <c r="H910" t="str">
        <f t="shared" si="11"/>
        <v>CUST#2000172616</v>
      </c>
    </row>
    <row r="911" spans="5:8" x14ac:dyDescent="0.25">
      <c r="E911" t="str">
        <f>""</f>
        <v/>
      </c>
      <c r="F911" t="str">
        <f>""</f>
        <v/>
      </c>
      <c r="H911" t="str">
        <f t="shared" si="11"/>
        <v>CUST#2000172616</v>
      </c>
    </row>
    <row r="912" spans="5:8" x14ac:dyDescent="0.25">
      <c r="E912" t="str">
        <f>""</f>
        <v/>
      </c>
      <c r="F912" t="str">
        <f>""</f>
        <v/>
      </c>
      <c r="H912" t="str">
        <f t="shared" si="11"/>
        <v>CUST#2000172616</v>
      </c>
    </row>
    <row r="913" spans="1:8" x14ac:dyDescent="0.25">
      <c r="E913" t="str">
        <f>""</f>
        <v/>
      </c>
      <c r="F913" t="str">
        <f>""</f>
        <v/>
      </c>
      <c r="H913" t="str">
        <f t="shared" si="11"/>
        <v>CUST#2000172616</v>
      </c>
    </row>
    <row r="914" spans="1:8" x14ac:dyDescent="0.25">
      <c r="E914" t="str">
        <f>""</f>
        <v/>
      </c>
      <c r="F914" t="str">
        <f>""</f>
        <v/>
      </c>
      <c r="H914" t="str">
        <f t="shared" si="11"/>
        <v>CUST#2000172616</v>
      </c>
    </row>
    <row r="915" spans="1:8" x14ac:dyDescent="0.25">
      <c r="E915" t="str">
        <f>""</f>
        <v/>
      </c>
      <c r="F915" t="str">
        <f>""</f>
        <v/>
      </c>
      <c r="H915" t="str">
        <f t="shared" si="11"/>
        <v>CUST#2000172616</v>
      </c>
    </row>
    <row r="916" spans="1:8" x14ac:dyDescent="0.25">
      <c r="E916" t="str">
        <f>""</f>
        <v/>
      </c>
      <c r="F916" t="str">
        <f>""</f>
        <v/>
      </c>
      <c r="H916" t="str">
        <f t="shared" si="11"/>
        <v>CUST#2000172616</v>
      </c>
    </row>
    <row r="917" spans="1:8" x14ac:dyDescent="0.25">
      <c r="E917" t="str">
        <f>""</f>
        <v/>
      </c>
      <c r="F917" t="str">
        <f>""</f>
        <v/>
      </c>
      <c r="H917" t="str">
        <f t="shared" si="11"/>
        <v>CUST#2000172616</v>
      </c>
    </row>
    <row r="918" spans="1:8" x14ac:dyDescent="0.25">
      <c r="E918" t="str">
        <f>""</f>
        <v/>
      </c>
      <c r="F918" t="str">
        <f>""</f>
        <v/>
      </c>
      <c r="H918" t="str">
        <f t="shared" si="11"/>
        <v>CUST#2000172616</v>
      </c>
    </row>
    <row r="919" spans="1:8" x14ac:dyDescent="0.25">
      <c r="E919" t="str">
        <f>""</f>
        <v/>
      </c>
      <c r="F919" t="str">
        <f>""</f>
        <v/>
      </c>
      <c r="H919" t="str">
        <f t="shared" si="11"/>
        <v>CUST#2000172616</v>
      </c>
    </row>
    <row r="920" spans="1:8" x14ac:dyDescent="0.25">
      <c r="E920" t="str">
        <f>""</f>
        <v/>
      </c>
      <c r="F920" t="str">
        <f>""</f>
        <v/>
      </c>
      <c r="H920" t="str">
        <f t="shared" si="11"/>
        <v>CUST#2000172616</v>
      </c>
    </row>
    <row r="921" spans="1:8" x14ac:dyDescent="0.25">
      <c r="E921" t="str">
        <f>""</f>
        <v/>
      </c>
      <c r="F921" t="str">
        <f>""</f>
        <v/>
      </c>
      <c r="H921" t="str">
        <f t="shared" si="11"/>
        <v>CUST#2000172616</v>
      </c>
    </row>
    <row r="922" spans="1:8" x14ac:dyDescent="0.25">
      <c r="A922" t="s">
        <v>235</v>
      </c>
      <c r="B922">
        <v>2868</v>
      </c>
      <c r="C922" s="2">
        <v>54</v>
      </c>
      <c r="D922" s="1">
        <v>44040</v>
      </c>
      <c r="E922" t="str">
        <f>"W014806"</f>
        <v>W014806</v>
      </c>
      <c r="F922" t="str">
        <f>"INV W014806"</f>
        <v>INV W014806</v>
      </c>
      <c r="G922" s="2">
        <v>54</v>
      </c>
      <c r="H922" t="str">
        <f>"INV W014806"</f>
        <v>INV W014806</v>
      </c>
    </row>
    <row r="923" spans="1:8" x14ac:dyDescent="0.25">
      <c r="A923" t="s">
        <v>236</v>
      </c>
      <c r="B923">
        <v>2808</v>
      </c>
      <c r="C923" s="2">
        <v>1250</v>
      </c>
      <c r="D923" s="1">
        <v>44026</v>
      </c>
      <c r="E923" t="str">
        <f>"BCSOJUNE20"</f>
        <v>BCSOJUNE20</v>
      </c>
      <c r="F923" t="str">
        <f>"INV BCSOJUNE20"</f>
        <v>INV BCSOJUNE20</v>
      </c>
      <c r="G923" s="2">
        <v>1250</v>
      </c>
      <c r="H923" t="str">
        <f>"INV BCSOJUNE20"</f>
        <v>INV BCSOJUNE20</v>
      </c>
    </row>
    <row r="924" spans="1:8" x14ac:dyDescent="0.25">
      <c r="A924" t="s">
        <v>237</v>
      </c>
      <c r="B924">
        <v>132419</v>
      </c>
      <c r="C924" s="2">
        <v>431.83</v>
      </c>
      <c r="D924" s="1">
        <v>44025</v>
      </c>
      <c r="E924" t="str">
        <f>"4976392"</f>
        <v>4976392</v>
      </c>
      <c r="F924" t="str">
        <f>"INV 4976392"</f>
        <v>INV 4976392</v>
      </c>
      <c r="G924" s="2">
        <v>226.1</v>
      </c>
      <c r="H924" t="str">
        <f>"INV 4976392"</f>
        <v>INV 4976392</v>
      </c>
    </row>
    <row r="925" spans="1:8" x14ac:dyDescent="0.25">
      <c r="E925" t="str">
        <f>"4977377"</f>
        <v>4977377</v>
      </c>
      <c r="F925" t="str">
        <f>"INV 4977377"</f>
        <v>INV 4977377</v>
      </c>
      <c r="G925" s="2">
        <v>182.46</v>
      </c>
      <c r="H925" t="str">
        <f>"INV 4977377"</f>
        <v>INV 4977377</v>
      </c>
    </row>
    <row r="926" spans="1:8" x14ac:dyDescent="0.25">
      <c r="E926" t="str">
        <f>"4994858"</f>
        <v>4994858</v>
      </c>
      <c r="F926" t="str">
        <f>"CUST ID:90564/ORD#3012827"</f>
        <v>CUST ID:90564/ORD#3012827</v>
      </c>
      <c r="G926" s="2">
        <v>23.27</v>
      </c>
      <c r="H926" t="str">
        <f>"CUST ID:90564/ORD#3012827"</f>
        <v>CUST ID:90564/ORD#3012827</v>
      </c>
    </row>
    <row r="927" spans="1:8" x14ac:dyDescent="0.25">
      <c r="A927" t="s">
        <v>237</v>
      </c>
      <c r="B927">
        <v>132540</v>
      </c>
      <c r="C927" s="2">
        <v>1643.73</v>
      </c>
      <c r="D927" s="1">
        <v>44039</v>
      </c>
      <c r="E927" t="str">
        <f>"5009167"</f>
        <v>5009167</v>
      </c>
      <c r="F927" t="str">
        <f>"CUST ID:90564/ORD#3028298"</f>
        <v>CUST ID:90564/ORD#3028298</v>
      </c>
      <c r="G927" s="2">
        <v>229.69</v>
      </c>
      <c r="H927" t="str">
        <f>"CUST ID:90564/ORD#3028298"</f>
        <v>CUST ID:90564/ORD#3028298</v>
      </c>
    </row>
    <row r="928" spans="1:8" x14ac:dyDescent="0.25">
      <c r="E928" t="str">
        <f>"5010882"</f>
        <v>5010882</v>
      </c>
      <c r="F928" t="str">
        <f>"CUST ID:90564/GENERAL SERVICE"</f>
        <v>CUST ID:90564/GENERAL SERVICE</v>
      </c>
      <c r="G928" s="2">
        <v>1403.57</v>
      </c>
      <c r="H928" t="str">
        <f>"CUST ID:90564/GENERAL SERVICE"</f>
        <v>CUST ID:90564/GENERAL SERVICE</v>
      </c>
    </row>
    <row r="929" spans="1:8" x14ac:dyDescent="0.25">
      <c r="E929" t="str">
        <f>"5010894"</f>
        <v>5010894</v>
      </c>
      <c r="F929" t="str">
        <f>"CUST ID:90564/VALVE ADAPTOR"</f>
        <v>CUST ID:90564/VALVE ADAPTOR</v>
      </c>
      <c r="G929" s="2">
        <v>10.47</v>
      </c>
      <c r="H929" t="str">
        <f>"CUST ID:90564/VALVE ADAPTOR"</f>
        <v>CUST ID:90564/VALVE ADAPTOR</v>
      </c>
    </row>
    <row r="930" spans="1:8" x14ac:dyDescent="0.25">
      <c r="A930" t="s">
        <v>238</v>
      </c>
      <c r="B930">
        <v>132420</v>
      </c>
      <c r="C930" s="2">
        <v>1054</v>
      </c>
      <c r="D930" s="1">
        <v>44025</v>
      </c>
      <c r="E930" t="str">
        <f>"200626-2"</f>
        <v>200626-2</v>
      </c>
      <c r="F930" t="str">
        <f>"PCT#4 PERFORMANCE WEAR"</f>
        <v>PCT#4 PERFORMANCE WEAR</v>
      </c>
      <c r="G930" s="2">
        <v>1054</v>
      </c>
      <c r="H930" t="str">
        <f>"PCT#4 PERFORMANCE WEAR"</f>
        <v>PCT#4 PERFORMANCE WEAR</v>
      </c>
    </row>
    <row r="931" spans="1:8" x14ac:dyDescent="0.25">
      <c r="A931" t="s">
        <v>239</v>
      </c>
      <c r="B931">
        <v>132421</v>
      </c>
      <c r="C931" s="2">
        <v>366</v>
      </c>
      <c r="D931" s="1">
        <v>44025</v>
      </c>
      <c r="E931" t="str">
        <f>"202007087780"</f>
        <v>202007087780</v>
      </c>
      <c r="F931" t="str">
        <f>"DEVELOPMENT SVCS RECORDING FEE"</f>
        <v>DEVELOPMENT SVCS RECORDING FEE</v>
      </c>
      <c r="G931" s="2">
        <v>366</v>
      </c>
      <c r="H931" t="str">
        <f>"DEVELOPMENT SVCS RECORDING FEE"</f>
        <v>DEVELOPMENT SVCS RECORDING FEE</v>
      </c>
    </row>
    <row r="932" spans="1:8" x14ac:dyDescent="0.25">
      <c r="A932" t="s">
        <v>239</v>
      </c>
      <c r="B932">
        <v>132541</v>
      </c>
      <c r="C932" s="2">
        <v>294</v>
      </c>
      <c r="D932" s="1">
        <v>44039</v>
      </c>
      <c r="E932" t="str">
        <f>"202007218000"</f>
        <v>202007218000</v>
      </c>
      <c r="F932" t="str">
        <f>"LPHCP RECORDING FEES"</f>
        <v>LPHCP RECORDING FEES</v>
      </c>
      <c r="G932" s="2">
        <v>294</v>
      </c>
      <c r="H932" t="str">
        <f>"LPHCP RECORDING FEES"</f>
        <v>LPHCP RECORDING FEES</v>
      </c>
    </row>
    <row r="933" spans="1:8" x14ac:dyDescent="0.25">
      <c r="A933" t="s">
        <v>239</v>
      </c>
      <c r="B933">
        <v>132542</v>
      </c>
      <c r="C933" s="2">
        <v>122</v>
      </c>
      <c r="D933" s="1">
        <v>44039</v>
      </c>
      <c r="E933" t="str">
        <f>"202007218004"</f>
        <v>202007218004</v>
      </c>
      <c r="F933" t="str">
        <f>"DEVELOPMENT SVCS FEE"</f>
        <v>DEVELOPMENT SVCS FEE</v>
      </c>
      <c r="G933" s="2">
        <v>122</v>
      </c>
      <c r="H933" t="str">
        <f>"DEVELOPMENT SVCS FEE"</f>
        <v>DEVELOPMENT SVCS FEE</v>
      </c>
    </row>
    <row r="934" spans="1:8" x14ac:dyDescent="0.25">
      <c r="A934" t="s">
        <v>240</v>
      </c>
      <c r="B934">
        <v>2911</v>
      </c>
      <c r="C934" s="2">
        <v>160</v>
      </c>
      <c r="D934" s="1">
        <v>44040</v>
      </c>
      <c r="E934" t="str">
        <f>"202007217984"</f>
        <v>202007217984</v>
      </c>
      <c r="F934" t="str">
        <f>"INDIGENT HEALTH"</f>
        <v>INDIGENT HEALTH</v>
      </c>
      <c r="G934" s="2">
        <v>160</v>
      </c>
      <c r="H934" t="str">
        <f>"INDIGENT HEALTH"</f>
        <v>INDIGENT HEALTH</v>
      </c>
    </row>
    <row r="935" spans="1:8" x14ac:dyDescent="0.25">
      <c r="A935" t="s">
        <v>241</v>
      </c>
      <c r="B935">
        <v>132543</v>
      </c>
      <c r="C935" s="2">
        <v>6.42</v>
      </c>
      <c r="D935" s="1">
        <v>44039</v>
      </c>
      <c r="E935" t="str">
        <f>"202007217988"</f>
        <v>202007217988</v>
      </c>
      <c r="F935" t="str">
        <f>"INDIGENT HEALTH"</f>
        <v>INDIGENT HEALTH</v>
      </c>
      <c r="G935" s="2">
        <v>6.42</v>
      </c>
      <c r="H935" t="str">
        <f>"INDIGENT HEALTH"</f>
        <v>INDIGENT HEALTH</v>
      </c>
    </row>
    <row r="936" spans="1:8" x14ac:dyDescent="0.25">
      <c r="A936" t="s">
        <v>242</v>
      </c>
      <c r="B936">
        <v>2797</v>
      </c>
      <c r="C936" s="2">
        <v>12219</v>
      </c>
      <c r="D936" s="1">
        <v>44026</v>
      </c>
      <c r="E936" t="str">
        <f>"PPDINV0014695 - 6"</f>
        <v>PPDINV0014695 - 6</v>
      </c>
      <c r="F936" t="str">
        <f>"INV PPDINV0014695"</f>
        <v>INV PPDINV0014695</v>
      </c>
      <c r="G936" s="2">
        <v>12219</v>
      </c>
      <c r="H936" t="str">
        <f>"INV PPDINV0014695"</f>
        <v>INV PPDINV0014695</v>
      </c>
    </row>
    <row r="937" spans="1:8" x14ac:dyDescent="0.25">
      <c r="E937" t="str">
        <f>""</f>
        <v/>
      </c>
      <c r="F937" t="str">
        <f>""</f>
        <v/>
      </c>
      <c r="H937" t="str">
        <f>"INV PPDINV0014696"</f>
        <v>INV PPDINV0014696</v>
      </c>
    </row>
    <row r="938" spans="1:8" x14ac:dyDescent="0.25">
      <c r="A938" t="s">
        <v>243</v>
      </c>
      <c r="B938">
        <v>132544</v>
      </c>
      <c r="C938" s="2">
        <v>363.65</v>
      </c>
      <c r="D938" s="1">
        <v>44039</v>
      </c>
      <c r="E938" t="str">
        <f>"420418"</f>
        <v>420418</v>
      </c>
      <c r="F938" t="str">
        <f>"INV 420418"</f>
        <v>INV 420418</v>
      </c>
      <c r="G938" s="2">
        <v>363.65</v>
      </c>
      <c r="H938" t="str">
        <f>"INV 420418"</f>
        <v>INV 420418</v>
      </c>
    </row>
    <row r="939" spans="1:8" x14ac:dyDescent="0.25">
      <c r="A939" t="s">
        <v>244</v>
      </c>
      <c r="B939">
        <v>132422</v>
      </c>
      <c r="C939" s="2">
        <v>1986.23</v>
      </c>
      <c r="D939" s="1">
        <v>44025</v>
      </c>
      <c r="E939" t="str">
        <f>"114*33*1"</f>
        <v>114*33*1</v>
      </c>
      <c r="F939" t="str">
        <f>"JAIL MEDICAL"</f>
        <v>JAIL MEDICAL</v>
      </c>
      <c r="G939" s="2">
        <v>1986.23</v>
      </c>
      <c r="H939" t="str">
        <f>"JAIL MEDICAL"</f>
        <v>JAIL MEDICAL</v>
      </c>
    </row>
    <row r="940" spans="1:8" x14ac:dyDescent="0.25">
      <c r="A940" t="s">
        <v>245</v>
      </c>
      <c r="B940">
        <v>132545</v>
      </c>
      <c r="C940" s="2">
        <v>10272.280000000001</v>
      </c>
      <c r="D940" s="1">
        <v>44039</v>
      </c>
      <c r="E940" t="str">
        <f>"202007207957"</f>
        <v>202007207957</v>
      </c>
      <c r="F940" t="str">
        <f>"PRESCRIPTION ASSISTANCE PROGRA"</f>
        <v>PRESCRIPTION ASSISTANCE PROGRA</v>
      </c>
      <c r="G940" s="2">
        <v>6666</v>
      </c>
      <c r="H940" t="str">
        <f>"PRESCRIPTION ASSISTANCE PROGRA"</f>
        <v>PRESCRIPTION ASSISTANCE PROGRA</v>
      </c>
    </row>
    <row r="941" spans="1:8" x14ac:dyDescent="0.25">
      <c r="E941" t="str">
        <f>"202007217979"</f>
        <v>202007217979</v>
      </c>
      <c r="F941" t="str">
        <f>"INDIGENT HEALTH"</f>
        <v>INDIGENT HEALTH</v>
      </c>
      <c r="G941" s="2">
        <v>3606.28</v>
      </c>
      <c r="H941" t="str">
        <f>"INDIGENT HEALTH"</f>
        <v>INDIGENT HEALTH</v>
      </c>
    </row>
    <row r="942" spans="1:8" x14ac:dyDescent="0.25">
      <c r="A942" t="s">
        <v>246</v>
      </c>
      <c r="B942">
        <v>132423</v>
      </c>
      <c r="C942" s="2">
        <v>360.72</v>
      </c>
      <c r="D942" s="1">
        <v>44025</v>
      </c>
      <c r="E942" t="str">
        <f>"202007077663"</f>
        <v>202007077663</v>
      </c>
      <c r="F942" t="str">
        <f>"ACCT#20147/ANIMAL SVCS"</f>
        <v>ACCT#20147/ANIMAL SVCS</v>
      </c>
      <c r="G942" s="2">
        <v>270.72000000000003</v>
      </c>
      <c r="H942" t="str">
        <f>"ACCT#20147/ANIMAL SVCS"</f>
        <v>ACCT#20147/ANIMAL SVCS</v>
      </c>
    </row>
    <row r="943" spans="1:8" x14ac:dyDescent="0.25">
      <c r="E943" t="str">
        <f>"202007077664"</f>
        <v>202007077664</v>
      </c>
      <c r="F943" t="str">
        <f>"ACCT#20150/PCT#1"</f>
        <v>ACCT#20150/PCT#1</v>
      </c>
      <c r="G943" s="2">
        <v>90</v>
      </c>
      <c r="H943" t="str">
        <f>"ACCT#20150/PCT#1"</f>
        <v>ACCT#20150/PCT#1</v>
      </c>
    </row>
    <row r="944" spans="1:8" x14ac:dyDescent="0.25">
      <c r="A944" t="s">
        <v>247</v>
      </c>
      <c r="B944">
        <v>132424</v>
      </c>
      <c r="C944" s="2">
        <v>30853.59</v>
      </c>
      <c r="D944" s="1">
        <v>44025</v>
      </c>
      <c r="E944" t="str">
        <f>"GB00363843 363101"</f>
        <v>GB00363843 363101</v>
      </c>
      <c r="F944" t="str">
        <f>"SHI Order"</f>
        <v>SHI Order</v>
      </c>
      <c r="G944" s="2">
        <v>211.59</v>
      </c>
      <c r="H944" t="str">
        <f>"960-000585"</f>
        <v>960-000585</v>
      </c>
    </row>
    <row r="945" spans="5:8" x14ac:dyDescent="0.25">
      <c r="E945" t="str">
        <f>""</f>
        <v/>
      </c>
      <c r="F945" t="str">
        <f>""</f>
        <v/>
      </c>
      <c r="H945" t="str">
        <f>"960-000764"</f>
        <v>960-000764</v>
      </c>
    </row>
    <row r="946" spans="5:8" x14ac:dyDescent="0.25">
      <c r="E946" t="str">
        <f>""</f>
        <v/>
      </c>
      <c r="F946" t="str">
        <f>""</f>
        <v/>
      </c>
      <c r="H946" t="str">
        <f>"T-S460-HSB-R"</f>
        <v>T-S460-HSB-R</v>
      </c>
    </row>
    <row r="947" spans="5:8" x14ac:dyDescent="0.25">
      <c r="E947" t="str">
        <f>"GB00373281"</f>
        <v>GB00373281</v>
      </c>
      <c r="F947" t="str">
        <f>"Forcepoint Cloud Storage"</f>
        <v>Forcepoint Cloud Storage</v>
      </c>
      <c r="G947" s="2">
        <v>10388</v>
      </c>
      <c r="H947" t="str">
        <f>"Quot #:  18963700"</f>
        <v>Quot #:  18963700</v>
      </c>
    </row>
    <row r="948" spans="5:8" x14ac:dyDescent="0.25">
      <c r="E948" t="str">
        <f>"GB00374729"</f>
        <v>GB00374729</v>
      </c>
      <c r="F948" t="str">
        <f>"Cisco Meraki subscription"</f>
        <v>Cisco Meraki subscription</v>
      </c>
      <c r="G948" s="2">
        <v>2112</v>
      </c>
      <c r="H948" t="str">
        <f>"LIC-MS425-16-3YR"</f>
        <v>LIC-MS425-16-3YR</v>
      </c>
    </row>
    <row r="949" spans="5:8" x14ac:dyDescent="0.25">
      <c r="E949" t="str">
        <f>"GB00374782"</f>
        <v>GB00374782</v>
      </c>
      <c r="F949" t="str">
        <f>"Nimble Support Renewal"</f>
        <v>Nimble Support Renewal</v>
      </c>
      <c r="G949" s="2">
        <v>18142</v>
      </c>
      <c r="H949" t="str">
        <f>"Part#: Q8B38A"</f>
        <v>Part#: Q8B38A</v>
      </c>
    </row>
    <row r="950" spans="5:8" x14ac:dyDescent="0.25">
      <c r="E950" t="str">
        <f>""</f>
        <v/>
      </c>
      <c r="F950" t="str">
        <f>""</f>
        <v/>
      </c>
      <c r="H950" t="str">
        <f>" Part#: Q8B64A"</f>
        <v xml:space="preserve"> Part#: Q8B64A</v>
      </c>
    </row>
    <row r="951" spans="5:8" x14ac:dyDescent="0.25">
      <c r="E951" t="str">
        <f>""</f>
        <v/>
      </c>
      <c r="F951" t="str">
        <f>""</f>
        <v/>
      </c>
      <c r="H951" t="str">
        <f>"Part#: Q8B64A"</f>
        <v>Part#: Q8B64A</v>
      </c>
    </row>
    <row r="952" spans="5:8" x14ac:dyDescent="0.25">
      <c r="E952" t="str">
        <f>""</f>
        <v/>
      </c>
      <c r="F952" t="str">
        <f>""</f>
        <v/>
      </c>
      <c r="H952" t="str">
        <f>"Part#: Q8B38A"</f>
        <v>Part#: Q8B38A</v>
      </c>
    </row>
    <row r="953" spans="5:8" x14ac:dyDescent="0.25">
      <c r="E953" t="str">
        <f>""</f>
        <v/>
      </c>
      <c r="F953" t="str">
        <f>""</f>
        <v/>
      </c>
      <c r="H953" t="str">
        <f>"Part#: Q8B57A"</f>
        <v>Part#: Q8B57A</v>
      </c>
    </row>
    <row r="954" spans="5:8" x14ac:dyDescent="0.25">
      <c r="E954" t="str">
        <f>""</f>
        <v/>
      </c>
      <c r="F954" t="str">
        <f>""</f>
        <v/>
      </c>
      <c r="H954" t="str">
        <f>"Part#: Q8C17A"</f>
        <v>Part#: Q8C17A</v>
      </c>
    </row>
    <row r="955" spans="5:8" x14ac:dyDescent="0.25">
      <c r="E955" t="str">
        <f>""</f>
        <v/>
      </c>
      <c r="F955" t="str">
        <f>""</f>
        <v/>
      </c>
      <c r="H955" t="str">
        <f>"Part#: Q8B52A"</f>
        <v>Part#: Q8B52A</v>
      </c>
    </row>
    <row r="956" spans="5:8" x14ac:dyDescent="0.25">
      <c r="E956" t="str">
        <f>""</f>
        <v/>
      </c>
      <c r="F956" t="str">
        <f>""</f>
        <v/>
      </c>
      <c r="H956" t="str">
        <f>"Part#: Q8B52A"</f>
        <v>Part#: Q8B52A</v>
      </c>
    </row>
    <row r="957" spans="5:8" x14ac:dyDescent="0.25">
      <c r="E957" t="str">
        <f>""</f>
        <v/>
      </c>
      <c r="F957" t="str">
        <f>""</f>
        <v/>
      </c>
      <c r="H957" t="str">
        <f>"Part#: Q8C17A"</f>
        <v>Part#: Q8C17A</v>
      </c>
    </row>
    <row r="958" spans="5:8" x14ac:dyDescent="0.25">
      <c r="E958" t="str">
        <f>""</f>
        <v/>
      </c>
      <c r="F958" t="str">
        <f>""</f>
        <v/>
      </c>
      <c r="H958" t="str">
        <f>"Part#: Q8B57A"</f>
        <v>Part#: Q8B57A</v>
      </c>
    </row>
    <row r="959" spans="5:8" x14ac:dyDescent="0.25">
      <c r="E959" t="str">
        <f>""</f>
        <v/>
      </c>
      <c r="F959" t="str">
        <f>""</f>
        <v/>
      </c>
      <c r="H959" t="str">
        <f>"Part#: Q8B38A"</f>
        <v>Part#: Q8B38A</v>
      </c>
    </row>
    <row r="960" spans="5:8" x14ac:dyDescent="0.25">
      <c r="E960" t="str">
        <f>""</f>
        <v/>
      </c>
      <c r="F960" t="str">
        <f>""</f>
        <v/>
      </c>
      <c r="H960" t="str">
        <f>" Part#: Q8B64A"</f>
        <v xml:space="preserve"> Part#: Q8B64A</v>
      </c>
    </row>
    <row r="961" spans="1:8" x14ac:dyDescent="0.25">
      <c r="E961" t="str">
        <f>""</f>
        <v/>
      </c>
      <c r="F961" t="str">
        <f>""</f>
        <v/>
      </c>
      <c r="H961" t="str">
        <f>"Part#: Q8B64A"</f>
        <v>Part#: Q8B64A</v>
      </c>
    </row>
    <row r="962" spans="1:8" x14ac:dyDescent="0.25">
      <c r="E962" t="str">
        <f>""</f>
        <v/>
      </c>
      <c r="F962" t="str">
        <f>""</f>
        <v/>
      </c>
      <c r="H962" t="str">
        <f>"Part#: Q8B38A"</f>
        <v>Part#: Q8B38A</v>
      </c>
    </row>
    <row r="963" spans="1:8" x14ac:dyDescent="0.25">
      <c r="E963" t="str">
        <f>""</f>
        <v/>
      </c>
      <c r="F963" t="str">
        <f>""</f>
        <v/>
      </c>
      <c r="H963" t="str">
        <f>"Part#: Q8B57A"</f>
        <v>Part#: Q8B57A</v>
      </c>
    </row>
    <row r="964" spans="1:8" x14ac:dyDescent="0.25">
      <c r="E964" t="str">
        <f>""</f>
        <v/>
      </c>
      <c r="F964" t="str">
        <f>""</f>
        <v/>
      </c>
      <c r="H964" t="str">
        <f>"Part#: Q8C17A"</f>
        <v>Part#: Q8C17A</v>
      </c>
    </row>
    <row r="965" spans="1:8" x14ac:dyDescent="0.25">
      <c r="E965" t="str">
        <f>""</f>
        <v/>
      </c>
      <c r="F965" t="str">
        <f>""</f>
        <v/>
      </c>
      <c r="H965" t="str">
        <f>"Part#: Q8B52A"</f>
        <v>Part#: Q8B52A</v>
      </c>
    </row>
    <row r="966" spans="1:8" x14ac:dyDescent="0.25">
      <c r="E966" t="str">
        <f>""</f>
        <v/>
      </c>
      <c r="F966" t="str">
        <f>""</f>
        <v/>
      </c>
      <c r="H966" t="str">
        <f>"Part#: Q8B52A"</f>
        <v>Part#: Q8B52A</v>
      </c>
    </row>
    <row r="967" spans="1:8" x14ac:dyDescent="0.25">
      <c r="E967" t="str">
        <f>""</f>
        <v/>
      </c>
      <c r="F967" t="str">
        <f>""</f>
        <v/>
      </c>
      <c r="H967" t="str">
        <f>"Part#: Q8C17A"</f>
        <v>Part#: Q8C17A</v>
      </c>
    </row>
    <row r="968" spans="1:8" x14ac:dyDescent="0.25">
      <c r="E968" t="str">
        <f>""</f>
        <v/>
      </c>
      <c r="F968" t="str">
        <f>""</f>
        <v/>
      </c>
      <c r="H968" t="str">
        <f>"Part#: Q8B57A"</f>
        <v>Part#: Q8B57A</v>
      </c>
    </row>
    <row r="969" spans="1:8" x14ac:dyDescent="0.25">
      <c r="A969" t="s">
        <v>248</v>
      </c>
      <c r="B969">
        <v>132425</v>
      </c>
      <c r="C969" s="2">
        <v>3711.2</v>
      </c>
      <c r="D969" s="1">
        <v>44025</v>
      </c>
      <c r="E969" t="str">
        <f>"1037142"</f>
        <v>1037142</v>
      </c>
      <c r="F969" t="str">
        <f>"Surgical Light"</f>
        <v>Surgical Light</v>
      </c>
      <c r="G969" s="2">
        <v>3711.2</v>
      </c>
      <c r="H969" t="str">
        <f>"913.8000.07"</f>
        <v>913.8000.07</v>
      </c>
    </row>
    <row r="970" spans="1:8" x14ac:dyDescent="0.25">
      <c r="E970" t="str">
        <f>""</f>
        <v/>
      </c>
      <c r="F970" t="str">
        <f>""</f>
        <v/>
      </c>
      <c r="H970" t="str">
        <f>"Adjustments"</f>
        <v>Adjustments</v>
      </c>
    </row>
    <row r="971" spans="1:8" x14ac:dyDescent="0.25">
      <c r="E971" t="str">
        <f>""</f>
        <v/>
      </c>
      <c r="F971" t="str">
        <f>""</f>
        <v/>
      </c>
      <c r="H971" t="str">
        <f>"Shipping"</f>
        <v>Shipping</v>
      </c>
    </row>
    <row r="972" spans="1:8" x14ac:dyDescent="0.25">
      <c r="A972" t="s">
        <v>249</v>
      </c>
      <c r="B972">
        <v>132426</v>
      </c>
      <c r="C972" s="2">
        <v>427.79</v>
      </c>
      <c r="D972" s="1">
        <v>44025</v>
      </c>
      <c r="E972" t="str">
        <f>"8180037328"</f>
        <v>8180037328</v>
      </c>
      <c r="F972" t="str">
        <f>"INV 8180037328"</f>
        <v>INV 8180037328</v>
      </c>
      <c r="G972" s="2">
        <v>152.38</v>
      </c>
      <c r="H972" t="str">
        <f>"INV 8180037328 - LE"</f>
        <v>INV 8180037328 - LE</v>
      </c>
    </row>
    <row r="973" spans="1:8" x14ac:dyDescent="0.25">
      <c r="E973" t="str">
        <f>""</f>
        <v/>
      </c>
      <c r="F973" t="str">
        <f>""</f>
        <v/>
      </c>
      <c r="H973" t="str">
        <f>"INV 8180037328 - JAI"</f>
        <v>INV 8180037328 - JAI</v>
      </c>
    </row>
    <row r="974" spans="1:8" x14ac:dyDescent="0.25">
      <c r="E974" t="str">
        <f>"8180037815"</f>
        <v>8180037815</v>
      </c>
      <c r="F974" t="str">
        <f>"CUST#16155373/PURCHASING DEPT"</f>
        <v>CUST#16155373/PURCHASING DEPT</v>
      </c>
      <c r="G974" s="2">
        <v>126.78</v>
      </c>
      <c r="H974" t="str">
        <f t="shared" ref="H974:H979" si="12">"CUST#16155373/PURCHASING DEPT"</f>
        <v>CUST#16155373/PURCHASING DEPT</v>
      </c>
    </row>
    <row r="975" spans="1:8" x14ac:dyDescent="0.25">
      <c r="E975" t="str">
        <f>""</f>
        <v/>
      </c>
      <c r="F975" t="str">
        <f>""</f>
        <v/>
      </c>
      <c r="H975" t="str">
        <f t="shared" si="12"/>
        <v>CUST#16155373/PURCHASING DEPT</v>
      </c>
    </row>
    <row r="976" spans="1:8" x14ac:dyDescent="0.25">
      <c r="E976" t="str">
        <f>""</f>
        <v/>
      </c>
      <c r="F976" t="str">
        <f>""</f>
        <v/>
      </c>
      <c r="H976" t="str">
        <f t="shared" si="12"/>
        <v>CUST#16155373/PURCHASING DEPT</v>
      </c>
    </row>
    <row r="977" spans="1:8" x14ac:dyDescent="0.25">
      <c r="E977" t="str">
        <f>""</f>
        <v/>
      </c>
      <c r="F977" t="str">
        <f>""</f>
        <v/>
      </c>
      <c r="H977" t="str">
        <f t="shared" si="12"/>
        <v>CUST#16155373/PURCHASING DEPT</v>
      </c>
    </row>
    <row r="978" spans="1:8" x14ac:dyDescent="0.25">
      <c r="E978" t="str">
        <f>""</f>
        <v/>
      </c>
      <c r="F978" t="str">
        <f>""</f>
        <v/>
      </c>
      <c r="H978" t="str">
        <f t="shared" si="12"/>
        <v>CUST#16155373/PURCHASING DEPT</v>
      </c>
    </row>
    <row r="979" spans="1:8" x14ac:dyDescent="0.25">
      <c r="E979" t="str">
        <f>""</f>
        <v/>
      </c>
      <c r="F979" t="str">
        <f>""</f>
        <v/>
      </c>
      <c r="H979" t="str">
        <f t="shared" si="12"/>
        <v>CUST#16155373/PURCHASING DEPT</v>
      </c>
    </row>
    <row r="980" spans="1:8" x14ac:dyDescent="0.25">
      <c r="E980" t="str">
        <f>"8180037852"</f>
        <v>8180037852</v>
      </c>
      <c r="F980" t="str">
        <f>"CUST#16156071/TAX OFFICE"</f>
        <v>CUST#16156071/TAX OFFICE</v>
      </c>
      <c r="G980" s="2">
        <v>79.930000000000007</v>
      </c>
      <c r="H980" t="str">
        <f>"CUST#16156071/TAX OFFICE"</f>
        <v>CUST#16156071/TAX OFFICE</v>
      </c>
    </row>
    <row r="981" spans="1:8" x14ac:dyDescent="0.25">
      <c r="E981" t="str">
        <f>"8180038036"</f>
        <v>8180038036</v>
      </c>
      <c r="F981" t="str">
        <f>"CUST#16160327/INDIGENT HLTH"</f>
        <v>CUST#16160327/INDIGENT HLTH</v>
      </c>
      <c r="G981" s="2">
        <v>68.7</v>
      </c>
      <c r="H981" t="str">
        <f>"CUST#16160327/INDIGENT HLTH"</f>
        <v>CUST#16160327/INDIGENT HLTH</v>
      </c>
    </row>
    <row r="982" spans="1:8" x14ac:dyDescent="0.25">
      <c r="E982" t="str">
        <f>""</f>
        <v/>
      </c>
      <c r="F982" t="str">
        <f>""</f>
        <v/>
      </c>
      <c r="H982" t="str">
        <f>"CUST#16160327/INDIGENT HLTH"</f>
        <v>CUST#16160327/INDIGENT HLTH</v>
      </c>
    </row>
    <row r="983" spans="1:8" x14ac:dyDescent="0.25">
      <c r="A983" t="s">
        <v>249</v>
      </c>
      <c r="B983">
        <v>132546</v>
      </c>
      <c r="C983" s="2">
        <v>111.31</v>
      </c>
      <c r="D983" s="1">
        <v>44039</v>
      </c>
      <c r="E983" t="str">
        <f>"8180037696"</f>
        <v>8180037696</v>
      </c>
      <c r="F983" t="str">
        <f>"CUST#16151857/PURCHASING DEPT"</f>
        <v>CUST#16151857/PURCHASING DEPT</v>
      </c>
      <c r="G983" s="2">
        <v>111.31</v>
      </c>
      <c r="H983" t="str">
        <f>"CUST#16151857/PURCHASING DEPT"</f>
        <v>CUST#16151857/PURCHASING DEPT</v>
      </c>
    </row>
    <row r="984" spans="1:8" x14ac:dyDescent="0.25">
      <c r="E984" t="str">
        <f>""</f>
        <v/>
      </c>
      <c r="F984" t="str">
        <f>""</f>
        <v/>
      </c>
      <c r="H984" t="str">
        <f>"CUST#16151857/PURCHASING DEPT"</f>
        <v>CUST#16151857/PURCHASING DEPT</v>
      </c>
    </row>
    <row r="985" spans="1:8" x14ac:dyDescent="0.25">
      <c r="A985" t="s">
        <v>250</v>
      </c>
      <c r="B985">
        <v>132427</v>
      </c>
      <c r="C985" s="2">
        <v>340</v>
      </c>
      <c r="D985" s="1">
        <v>44025</v>
      </c>
      <c r="E985" t="str">
        <f>"115721"</f>
        <v>115721</v>
      </c>
      <c r="F985" t="str">
        <f>"PUMPED&amp;CLEANED TANK/PCT#3"</f>
        <v>PUMPED&amp;CLEANED TANK/PCT#3</v>
      </c>
      <c r="G985" s="2">
        <v>340</v>
      </c>
      <c r="H985" t="str">
        <f>"PUMPED&amp;CLEANED TANK/PCT#3"</f>
        <v>PUMPED&amp;CLEANED TANK/PCT#3</v>
      </c>
    </row>
    <row r="986" spans="1:8" x14ac:dyDescent="0.25">
      <c r="A986" t="s">
        <v>251</v>
      </c>
      <c r="B986">
        <v>132428</v>
      </c>
      <c r="C986" s="2">
        <v>72.97</v>
      </c>
      <c r="D986" s="1">
        <v>44025</v>
      </c>
      <c r="E986" t="str">
        <f>"4639*146*2"</f>
        <v>4639*146*2</v>
      </c>
      <c r="F986" t="str">
        <f>"JAIL MEDICAL"</f>
        <v>JAIL MEDICAL</v>
      </c>
      <c r="G986" s="2">
        <v>72.97</v>
      </c>
      <c r="H986" t="str">
        <f>"JAIL MEDICAL"</f>
        <v>JAIL MEDICAL</v>
      </c>
    </row>
    <row r="987" spans="1:8" x14ac:dyDescent="0.25">
      <c r="A987" t="s">
        <v>252</v>
      </c>
      <c r="B987">
        <v>132429</v>
      </c>
      <c r="C987" s="2">
        <v>96.45</v>
      </c>
      <c r="D987" s="1">
        <v>44025</v>
      </c>
      <c r="E987" t="str">
        <f>"202007077661"</f>
        <v>202007077661</v>
      </c>
      <c r="F987" t="str">
        <f>"STATEMENT#33753/PCT#2"</f>
        <v>STATEMENT#33753/PCT#2</v>
      </c>
      <c r="G987" s="2">
        <v>96.45</v>
      </c>
      <c r="H987" t="str">
        <f>"STATEMENT#33753/PCT#2"</f>
        <v>STATEMENT#33753/PCT#2</v>
      </c>
    </row>
    <row r="988" spans="1:8" x14ac:dyDescent="0.25">
      <c r="A988" t="s">
        <v>253</v>
      </c>
      <c r="B988">
        <v>132430</v>
      </c>
      <c r="C988" s="2">
        <v>2568.77</v>
      </c>
      <c r="D988" s="1">
        <v>44025</v>
      </c>
      <c r="E988" t="str">
        <f>"202007077666"</f>
        <v>202007077666</v>
      </c>
      <c r="F988" t="str">
        <f>"ACCT#260/PCT#2"</f>
        <v>ACCT#260/PCT#2</v>
      </c>
      <c r="G988" s="2">
        <v>2568.77</v>
      </c>
      <c r="H988" t="str">
        <f>"ACCT#260/PCT#2"</f>
        <v>ACCT#260/PCT#2</v>
      </c>
    </row>
    <row r="989" spans="1:8" x14ac:dyDescent="0.25">
      <c r="A989" t="s">
        <v>254</v>
      </c>
      <c r="B989">
        <v>132547</v>
      </c>
      <c r="C989" s="2">
        <v>0.56000000000000005</v>
      </c>
      <c r="D989" s="1">
        <v>44039</v>
      </c>
      <c r="E989" t="str">
        <f>"202007217959"</f>
        <v>202007217959</v>
      </c>
      <c r="F989" t="str">
        <f>"ARREST FEES 04/01/20-06/30/20"</f>
        <v>ARREST FEES 04/01/20-06/30/20</v>
      </c>
      <c r="G989" s="2">
        <v>0.56000000000000005</v>
      </c>
      <c r="H989" t="str">
        <f>"ARREST FEES 04/01/20-06/30/20"</f>
        <v>ARREST FEES 04/01/20-06/30/20</v>
      </c>
    </row>
    <row r="990" spans="1:8" x14ac:dyDescent="0.25">
      <c r="A990" t="s">
        <v>255</v>
      </c>
      <c r="B990">
        <v>132431</v>
      </c>
      <c r="C990" s="2">
        <v>4332.18</v>
      </c>
      <c r="D990" s="1">
        <v>44025</v>
      </c>
      <c r="E990" t="str">
        <f>"4240014189"</f>
        <v>4240014189</v>
      </c>
      <c r="F990" t="str">
        <f>"INV 4240014189 /UNIT 6541"</f>
        <v>INV 4240014189 /UNIT 6541</v>
      </c>
      <c r="G990" s="2">
        <v>523.36</v>
      </c>
      <c r="H990" t="str">
        <f>"INV 4240014189 /UNIT 6541"</f>
        <v>INV 4240014189 /UNIT 6541</v>
      </c>
    </row>
    <row r="991" spans="1:8" x14ac:dyDescent="0.25">
      <c r="E991" t="str">
        <f>"4240014358"</f>
        <v>4240014358</v>
      </c>
      <c r="F991" t="str">
        <f>"INV 4240014358 /UNIT 7278"</f>
        <v>INV 4240014358 /UNIT 7278</v>
      </c>
      <c r="G991" s="2">
        <v>523.36</v>
      </c>
      <c r="H991" t="str">
        <f>"INV 4240014358 /UNIT 7278"</f>
        <v>INV 4240014358 /UNIT 7278</v>
      </c>
    </row>
    <row r="992" spans="1:8" x14ac:dyDescent="0.25">
      <c r="E992" t="str">
        <f>"4240014410"</f>
        <v>4240014410</v>
      </c>
      <c r="F992" t="str">
        <f>"INV 4240014410 /UNIT 1669"</f>
        <v>INV 4240014410 /UNIT 1669</v>
      </c>
      <c r="G992" s="2">
        <v>261.68</v>
      </c>
      <c r="H992" t="str">
        <f>"INV 4240014410 /UNIT 1669"</f>
        <v>INV 4240014410 /UNIT 1669</v>
      </c>
    </row>
    <row r="993" spans="1:8" x14ac:dyDescent="0.25">
      <c r="E993" t="str">
        <f>"4240014416"</f>
        <v>4240014416</v>
      </c>
      <c r="F993" t="str">
        <f>"INV 4240014416 /UNIT 1670"</f>
        <v>INV 4240014416 /UNIT 1670</v>
      </c>
      <c r="G993" s="2">
        <v>392.52</v>
      </c>
      <c r="H993" t="str">
        <f>"INV 4240014416 /UNIT 1670"</f>
        <v>INV 4240014416 /UNIT 1670</v>
      </c>
    </row>
    <row r="994" spans="1:8" x14ac:dyDescent="0.25">
      <c r="E994" t="str">
        <f>"4240014417"</f>
        <v>4240014417</v>
      </c>
      <c r="F994" t="str">
        <f>"INV 4240014417/ UNIT 6557"</f>
        <v>INV 4240014417/ UNIT 6557</v>
      </c>
      <c r="G994" s="2">
        <v>523.36</v>
      </c>
      <c r="H994" t="str">
        <f>"INV 4240014417/ UNIT 6557"</f>
        <v>INV 4240014417/ UNIT 6557</v>
      </c>
    </row>
    <row r="995" spans="1:8" x14ac:dyDescent="0.25">
      <c r="E995" t="str">
        <f>"4650046151"</f>
        <v>4650046151</v>
      </c>
      <c r="F995" t="str">
        <f>"CUST#52158/PCT#4"</f>
        <v>CUST#52158/PCT#4</v>
      </c>
      <c r="G995" s="2">
        <v>218.45</v>
      </c>
      <c r="H995" t="str">
        <f>"CUST#52158/PCT#4"</f>
        <v>CUST#52158/PCT#4</v>
      </c>
    </row>
    <row r="996" spans="1:8" x14ac:dyDescent="0.25">
      <c r="E996" t="str">
        <f>"4650046847"</f>
        <v>4650046847</v>
      </c>
      <c r="F996" t="str">
        <f>"CUST#52158/PCT#4"</f>
        <v>CUST#52158/PCT#4</v>
      </c>
      <c r="G996" s="2">
        <v>472.45</v>
      </c>
      <c r="H996" t="str">
        <f>"CUST#52158/PCT#4"</f>
        <v>CUST#52158/PCT#4</v>
      </c>
    </row>
    <row r="997" spans="1:8" x14ac:dyDescent="0.25">
      <c r="E997" t="str">
        <f>"4650047157"</f>
        <v>4650047157</v>
      </c>
      <c r="F997" t="str">
        <f>"CUST#52158/PCT#1"</f>
        <v>CUST#52158/PCT#1</v>
      </c>
      <c r="G997" s="2">
        <v>70</v>
      </c>
      <c r="H997" t="str">
        <f>"CUST#52158/PCT#1"</f>
        <v>CUST#52158/PCT#1</v>
      </c>
    </row>
    <row r="998" spans="1:8" x14ac:dyDescent="0.25">
      <c r="E998" t="str">
        <f>"4650047299"</f>
        <v>4650047299</v>
      </c>
      <c r="F998" t="str">
        <f>"CUST#52158/PCT#1"</f>
        <v>CUST#52158/PCT#1</v>
      </c>
      <c r="G998" s="2">
        <v>70</v>
      </c>
      <c r="H998" t="str">
        <f>"CUST#52158/PCT#1"</f>
        <v>CUST#52158/PCT#1</v>
      </c>
    </row>
    <row r="999" spans="1:8" x14ac:dyDescent="0.25">
      <c r="E999" t="str">
        <f>"4650048072"</f>
        <v>4650048072</v>
      </c>
      <c r="F999" t="str">
        <f>"CUST#52158/PCT#4"</f>
        <v>CUST#52158/PCT#4</v>
      </c>
      <c r="G999" s="2">
        <v>902.1</v>
      </c>
      <c r="H999" t="str">
        <f>"CUST#52158/PCT#4"</f>
        <v>CUST#52158/PCT#4</v>
      </c>
    </row>
    <row r="1000" spans="1:8" x14ac:dyDescent="0.25">
      <c r="E1000" t="str">
        <f>"4660016500"</f>
        <v>4660016500</v>
      </c>
      <c r="F1000" t="str">
        <f>"CUST#52158/PCT#2"</f>
        <v>CUST#52158/PCT#2</v>
      </c>
      <c r="G1000" s="2">
        <v>274.89999999999998</v>
      </c>
      <c r="H1000" t="str">
        <f>"CUST#52158/PCT#2"</f>
        <v>CUST#52158/PCT#2</v>
      </c>
    </row>
    <row r="1001" spans="1:8" x14ac:dyDescent="0.25">
      <c r="E1001" t="str">
        <f>"4660016715"</f>
        <v>4660016715</v>
      </c>
      <c r="F1001" t="str">
        <f>"CUST#52158/PCT#2"</f>
        <v>CUST#52158/PCT#2</v>
      </c>
      <c r="G1001" s="2">
        <v>100</v>
      </c>
      <c r="H1001" t="str">
        <f>"CUST#52158/PCT#2"</f>
        <v>CUST#52158/PCT#2</v>
      </c>
    </row>
    <row r="1002" spans="1:8" x14ac:dyDescent="0.25">
      <c r="A1002" t="s">
        <v>255</v>
      </c>
      <c r="B1002">
        <v>132548</v>
      </c>
      <c r="C1002" s="2">
        <v>746.4</v>
      </c>
      <c r="D1002" s="1">
        <v>44039</v>
      </c>
      <c r="E1002" t="str">
        <f>"4240014853"</f>
        <v>4240014853</v>
      </c>
      <c r="F1002" t="str">
        <f>"INV 4240014853/UNIT 0005"</f>
        <v>INV 4240014853/UNIT 0005</v>
      </c>
      <c r="G1002" s="2">
        <v>497.6</v>
      </c>
      <c r="H1002" t="str">
        <f>"INV 4240014853/UNIT 0005"</f>
        <v>INV 4240014853/UNIT 0005</v>
      </c>
    </row>
    <row r="1003" spans="1:8" x14ac:dyDescent="0.25">
      <c r="E1003" t="str">
        <f>"4240015102"</f>
        <v>4240015102</v>
      </c>
      <c r="F1003" t="str">
        <f>"INV 4240015102/UNIT 1175"</f>
        <v>INV 4240015102/UNIT 1175</v>
      </c>
      <c r="G1003" s="2">
        <v>248.8</v>
      </c>
      <c r="H1003" t="str">
        <f>"INV 4240015102/UNIT 1175"</f>
        <v>INV 4240015102/UNIT 1175</v>
      </c>
    </row>
    <row r="1004" spans="1:8" x14ac:dyDescent="0.25">
      <c r="A1004" t="s">
        <v>256</v>
      </c>
      <c r="B1004">
        <v>132432</v>
      </c>
      <c r="C1004" s="2">
        <v>41.22</v>
      </c>
      <c r="D1004" s="1">
        <v>44025</v>
      </c>
      <c r="E1004" t="str">
        <f>"9604456 061820"</f>
        <v>9604456 061820</v>
      </c>
      <c r="F1004" t="str">
        <f>"ACCT#46668439604456/JP#2"</f>
        <v>ACCT#46668439604456/JP#2</v>
      </c>
      <c r="G1004" s="2">
        <v>41.22</v>
      </c>
      <c r="H1004" t="str">
        <f>"ACCT#46668439604456/JP#2"</f>
        <v>ACCT#46668439604456/JP#2</v>
      </c>
    </row>
    <row r="1005" spans="1:8" x14ac:dyDescent="0.25">
      <c r="A1005" t="s">
        <v>256</v>
      </c>
      <c r="B1005">
        <v>132549</v>
      </c>
      <c r="C1005" s="2">
        <v>95.86</v>
      </c>
      <c r="D1005" s="1">
        <v>44039</v>
      </c>
      <c r="E1005" t="str">
        <f>"11969495 070320"</f>
        <v>11969495 070320</v>
      </c>
      <c r="F1005" t="str">
        <f>"ACCT#556850411969495/DA OFFICE"</f>
        <v>ACCT#556850411969495/DA OFFICE</v>
      </c>
      <c r="G1005" s="2">
        <v>95.86</v>
      </c>
      <c r="H1005" t="str">
        <f>"ACCT#556850411969495/DA OFFICE"</f>
        <v>ACCT#556850411969495/DA OFFICE</v>
      </c>
    </row>
    <row r="1006" spans="1:8" x14ac:dyDescent="0.25">
      <c r="A1006" t="s">
        <v>258</v>
      </c>
      <c r="B1006">
        <v>132433</v>
      </c>
      <c r="C1006" s="2">
        <v>130.86000000000001</v>
      </c>
      <c r="D1006" s="1">
        <v>44025</v>
      </c>
      <c r="E1006" t="str">
        <f>"4683*98030*1"</f>
        <v>4683*98030*1</v>
      </c>
      <c r="F1006" t="str">
        <f>"JAIL MEDICAL"</f>
        <v>JAIL MEDICAL</v>
      </c>
      <c r="G1006" s="2">
        <v>130.86000000000001</v>
      </c>
      <c r="H1006" t="str">
        <f>"JAIL MEDICAL"</f>
        <v>JAIL MEDICAL</v>
      </c>
    </row>
    <row r="1007" spans="1:8" x14ac:dyDescent="0.25">
      <c r="A1007" t="s">
        <v>258</v>
      </c>
      <c r="B1007">
        <v>132550</v>
      </c>
      <c r="C1007" s="2">
        <v>7133.95</v>
      </c>
      <c r="D1007" s="1">
        <v>44039</v>
      </c>
      <c r="E1007" t="str">
        <f>"202007217991"</f>
        <v>202007217991</v>
      </c>
      <c r="F1007" t="str">
        <f>"INDIGENT HEALTH"</f>
        <v>INDIGENT HEALTH</v>
      </c>
      <c r="G1007" s="2">
        <v>7133.95</v>
      </c>
      <c r="H1007" t="str">
        <f>"INDIGENT HEALTH"</f>
        <v>INDIGENT HEALTH</v>
      </c>
    </row>
    <row r="1008" spans="1:8" x14ac:dyDescent="0.25">
      <c r="E1008" t="str">
        <f>""</f>
        <v/>
      </c>
      <c r="F1008" t="str">
        <f>""</f>
        <v/>
      </c>
      <c r="H1008" t="str">
        <f>"INDIGENT HEALTH"</f>
        <v>INDIGENT HEALTH</v>
      </c>
    </row>
    <row r="1009" spans="1:8" x14ac:dyDescent="0.25">
      <c r="A1009" t="s">
        <v>259</v>
      </c>
      <c r="B1009">
        <v>132551</v>
      </c>
      <c r="C1009" s="2">
        <v>88.06</v>
      </c>
      <c r="D1009" s="1">
        <v>44039</v>
      </c>
      <c r="E1009" t="str">
        <f>"202007217990"</f>
        <v>202007217990</v>
      </c>
      <c r="F1009" t="str">
        <f>"INDIGENT HEALTH"</f>
        <v>INDIGENT HEALTH</v>
      </c>
      <c r="G1009" s="2">
        <v>88.06</v>
      </c>
      <c r="H1009" t="str">
        <f>"INDIGENT HEALTH"</f>
        <v>INDIGENT HEALTH</v>
      </c>
    </row>
    <row r="1010" spans="1:8" x14ac:dyDescent="0.25">
      <c r="E1010" t="str">
        <f>""</f>
        <v/>
      </c>
      <c r="F1010" t="str">
        <f>""</f>
        <v/>
      </c>
      <c r="H1010" t="str">
        <f>"INDIGENT HEALTH"</f>
        <v>INDIGENT HEALTH</v>
      </c>
    </row>
    <row r="1011" spans="1:8" x14ac:dyDescent="0.25">
      <c r="A1011" t="s">
        <v>257</v>
      </c>
      <c r="B1011">
        <v>132434</v>
      </c>
      <c r="C1011" s="2">
        <v>91.86</v>
      </c>
      <c r="D1011" s="1">
        <v>44025</v>
      </c>
      <c r="E1011" t="str">
        <f>"11969495 060520"</f>
        <v>11969495 060520</v>
      </c>
      <c r="F1011" t="str">
        <f>"ACCT#556850411969495/DA OFFICE"</f>
        <v>ACCT#556850411969495/DA OFFICE</v>
      </c>
      <c r="G1011" s="2">
        <v>91.86</v>
      </c>
      <c r="H1011" t="str">
        <f>"ACCT#556850411969495/DA OFFICE"</f>
        <v>ACCT#556850411969495/DA OFFICE</v>
      </c>
    </row>
    <row r="1012" spans="1:8" x14ac:dyDescent="0.25">
      <c r="A1012" t="s">
        <v>260</v>
      </c>
      <c r="B1012">
        <v>132435</v>
      </c>
      <c r="C1012" s="2">
        <v>3947.66</v>
      </c>
      <c r="D1012" s="1">
        <v>44025</v>
      </c>
      <c r="E1012" t="str">
        <f>"8058577707"</f>
        <v>8058577707</v>
      </c>
      <c r="F1012" t="str">
        <f>"inv# 8058577707"</f>
        <v>inv# 8058577707</v>
      </c>
      <c r="G1012" s="2">
        <v>1483.49</v>
      </c>
      <c r="H1012" t="str">
        <f>"inv# 3448191265"</f>
        <v>inv# 3448191265</v>
      </c>
    </row>
    <row r="1013" spans="1:8" x14ac:dyDescent="0.25">
      <c r="E1013" t="str">
        <f>""</f>
        <v/>
      </c>
      <c r="F1013" t="str">
        <f>""</f>
        <v/>
      </c>
      <c r="H1013" t="str">
        <f>"inv# 3448191268"</f>
        <v>inv# 3448191268</v>
      </c>
    </row>
    <row r="1014" spans="1:8" x14ac:dyDescent="0.25">
      <c r="E1014" t="str">
        <f>""</f>
        <v/>
      </c>
      <c r="F1014" t="str">
        <f>""</f>
        <v/>
      </c>
      <c r="H1014" t="str">
        <f>"inv# 3448191269"</f>
        <v>inv# 3448191269</v>
      </c>
    </row>
    <row r="1015" spans="1:8" x14ac:dyDescent="0.25">
      <c r="E1015" t="str">
        <f>""</f>
        <v/>
      </c>
      <c r="F1015" t="str">
        <f>""</f>
        <v/>
      </c>
      <c r="H1015" t="str">
        <f>"inv# 3448191270"</f>
        <v>inv# 3448191270</v>
      </c>
    </row>
    <row r="1016" spans="1:8" x14ac:dyDescent="0.25">
      <c r="E1016" t="str">
        <f>""</f>
        <v/>
      </c>
      <c r="F1016" t="str">
        <f>""</f>
        <v/>
      </c>
      <c r="H1016" t="str">
        <f>"inv# 3448191271"</f>
        <v>inv# 3448191271</v>
      </c>
    </row>
    <row r="1017" spans="1:8" x14ac:dyDescent="0.25">
      <c r="E1017" t="str">
        <f>""</f>
        <v/>
      </c>
      <c r="F1017" t="str">
        <f>""</f>
        <v/>
      </c>
      <c r="H1017" t="str">
        <f>"inv# 3448191272"</f>
        <v>inv# 3448191272</v>
      </c>
    </row>
    <row r="1018" spans="1:8" x14ac:dyDescent="0.25">
      <c r="E1018" t="str">
        <f>""</f>
        <v/>
      </c>
      <c r="F1018" t="str">
        <f>""</f>
        <v/>
      </c>
      <c r="H1018" t="str">
        <f>"inv# 3448191273"</f>
        <v>inv# 3448191273</v>
      </c>
    </row>
    <row r="1019" spans="1:8" x14ac:dyDescent="0.25">
      <c r="E1019" t="str">
        <f>""</f>
        <v/>
      </c>
      <c r="F1019" t="str">
        <f>""</f>
        <v/>
      </c>
      <c r="H1019" t="str">
        <f>"inv# 3448191276"</f>
        <v>inv# 3448191276</v>
      </c>
    </row>
    <row r="1020" spans="1:8" x14ac:dyDescent="0.25">
      <c r="E1020" t="str">
        <f>""</f>
        <v/>
      </c>
      <c r="F1020" t="str">
        <f>""</f>
        <v/>
      </c>
      <c r="H1020" t="str">
        <f>"inv# 3448191277"</f>
        <v>inv# 3448191277</v>
      </c>
    </row>
    <row r="1021" spans="1:8" x14ac:dyDescent="0.25">
      <c r="E1021" t="str">
        <f>""</f>
        <v/>
      </c>
      <c r="F1021" t="str">
        <f>""</f>
        <v/>
      </c>
      <c r="H1021" t="str">
        <f>"inv# 3448191279"</f>
        <v>inv# 3448191279</v>
      </c>
    </row>
    <row r="1022" spans="1:8" x14ac:dyDescent="0.25">
      <c r="E1022" t="str">
        <f>""</f>
        <v/>
      </c>
      <c r="F1022" t="str">
        <f>""</f>
        <v/>
      </c>
      <c r="H1022" t="str">
        <f>"inv# 3448191275"</f>
        <v>inv# 3448191275</v>
      </c>
    </row>
    <row r="1023" spans="1:8" x14ac:dyDescent="0.25">
      <c r="E1023" t="str">
        <f>""</f>
        <v/>
      </c>
      <c r="F1023" t="str">
        <f>""</f>
        <v/>
      </c>
      <c r="H1023" t="str">
        <f>"inv# 34448191262"</f>
        <v>inv# 34448191262</v>
      </c>
    </row>
    <row r="1024" spans="1:8" x14ac:dyDescent="0.25">
      <c r="E1024" t="str">
        <f>""</f>
        <v/>
      </c>
      <c r="F1024" t="str">
        <f>""</f>
        <v/>
      </c>
      <c r="H1024" t="str">
        <f>"inv# 3448191264"</f>
        <v>inv# 3448191264</v>
      </c>
    </row>
    <row r="1025" spans="1:8" x14ac:dyDescent="0.25">
      <c r="E1025" t="str">
        <f>""</f>
        <v/>
      </c>
      <c r="F1025" t="str">
        <f>""</f>
        <v/>
      </c>
      <c r="H1025" t="str">
        <f>"inv# 3448191274"</f>
        <v>inv# 3448191274</v>
      </c>
    </row>
    <row r="1026" spans="1:8" x14ac:dyDescent="0.25">
      <c r="E1026" t="str">
        <f>"8058711592"</f>
        <v>8058711592</v>
      </c>
      <c r="F1026" t="str">
        <f>"sum inv# 8058711592"</f>
        <v>sum inv# 8058711592</v>
      </c>
      <c r="G1026" s="2">
        <v>2464.17</v>
      </c>
      <c r="H1026" t="str">
        <f>"Inv# 3449027182"</f>
        <v>Inv# 3449027182</v>
      </c>
    </row>
    <row r="1027" spans="1:8" x14ac:dyDescent="0.25">
      <c r="E1027" t="str">
        <f>""</f>
        <v/>
      </c>
      <c r="F1027" t="str">
        <f>""</f>
        <v/>
      </c>
      <c r="H1027" t="str">
        <f>"Inv# 3449027183"</f>
        <v>Inv# 3449027183</v>
      </c>
    </row>
    <row r="1028" spans="1:8" x14ac:dyDescent="0.25">
      <c r="E1028" t="str">
        <f>""</f>
        <v/>
      </c>
      <c r="F1028" t="str">
        <f>""</f>
        <v/>
      </c>
      <c r="H1028" t="str">
        <f>"Inv# 3449027175"</f>
        <v>Inv# 3449027175</v>
      </c>
    </row>
    <row r="1029" spans="1:8" x14ac:dyDescent="0.25">
      <c r="E1029" t="str">
        <f>""</f>
        <v/>
      </c>
      <c r="F1029" t="str">
        <f>""</f>
        <v/>
      </c>
      <c r="H1029" t="str">
        <f>"Inv# 3449027176"</f>
        <v>Inv# 3449027176</v>
      </c>
    </row>
    <row r="1030" spans="1:8" x14ac:dyDescent="0.25">
      <c r="E1030" t="str">
        <f>""</f>
        <v/>
      </c>
      <c r="F1030" t="str">
        <f>""</f>
        <v/>
      </c>
      <c r="H1030" t="str">
        <f>"Inv# 3449027184"</f>
        <v>Inv# 3449027184</v>
      </c>
    </row>
    <row r="1031" spans="1:8" x14ac:dyDescent="0.25">
      <c r="E1031" t="str">
        <f>""</f>
        <v/>
      </c>
      <c r="F1031" t="str">
        <f>""</f>
        <v/>
      </c>
      <c r="H1031" t="str">
        <f>"Inv# 3449027181"</f>
        <v>Inv# 3449027181</v>
      </c>
    </row>
    <row r="1032" spans="1:8" x14ac:dyDescent="0.25">
      <c r="E1032" t="str">
        <f>""</f>
        <v/>
      </c>
      <c r="F1032" t="str">
        <f>""</f>
        <v/>
      </c>
      <c r="H1032" t="str">
        <f>"Inv# 3449027186"</f>
        <v>Inv# 3449027186</v>
      </c>
    </row>
    <row r="1033" spans="1:8" x14ac:dyDescent="0.25">
      <c r="E1033" t="str">
        <f>""</f>
        <v/>
      </c>
      <c r="F1033" t="str">
        <f>""</f>
        <v/>
      </c>
      <c r="H1033" t="str">
        <f>"Inv# 3449027188"</f>
        <v>Inv# 3449027188</v>
      </c>
    </row>
    <row r="1034" spans="1:8" x14ac:dyDescent="0.25">
      <c r="E1034" t="str">
        <f>""</f>
        <v/>
      </c>
      <c r="F1034" t="str">
        <f>""</f>
        <v/>
      </c>
      <c r="H1034" t="str">
        <f>"Inv# 3449027189"</f>
        <v>Inv# 3449027189</v>
      </c>
    </row>
    <row r="1035" spans="1:8" x14ac:dyDescent="0.25">
      <c r="E1035" t="str">
        <f>""</f>
        <v/>
      </c>
      <c r="F1035" t="str">
        <f>""</f>
        <v/>
      </c>
      <c r="H1035" t="str">
        <f>"Inv# 3449027190"</f>
        <v>Inv# 3449027190</v>
      </c>
    </row>
    <row r="1036" spans="1:8" x14ac:dyDescent="0.25">
      <c r="E1036" t="str">
        <f>""</f>
        <v/>
      </c>
      <c r="F1036" t="str">
        <f>""</f>
        <v/>
      </c>
      <c r="H1036" t="str">
        <f>"Inv# 3449027177"</f>
        <v>Inv# 3449027177</v>
      </c>
    </row>
    <row r="1037" spans="1:8" x14ac:dyDescent="0.25">
      <c r="E1037" t="str">
        <f>""</f>
        <v/>
      </c>
      <c r="F1037" t="str">
        <f>""</f>
        <v/>
      </c>
      <c r="H1037" t="str">
        <f>"Inv# 3449027178"</f>
        <v>Inv# 3449027178</v>
      </c>
    </row>
    <row r="1038" spans="1:8" x14ac:dyDescent="0.25">
      <c r="E1038" t="str">
        <f>""</f>
        <v/>
      </c>
      <c r="F1038" t="str">
        <f>""</f>
        <v/>
      </c>
      <c r="H1038" t="str">
        <f>"Inv# 3449027179"</f>
        <v>Inv# 3449027179</v>
      </c>
    </row>
    <row r="1039" spans="1:8" x14ac:dyDescent="0.25">
      <c r="E1039" t="str">
        <f>""</f>
        <v/>
      </c>
      <c r="F1039" t="str">
        <f>""</f>
        <v/>
      </c>
      <c r="H1039" t="str">
        <f>"Inv# 3449027180"</f>
        <v>Inv# 3449027180</v>
      </c>
    </row>
    <row r="1040" spans="1:8" x14ac:dyDescent="0.25">
      <c r="A1040" t="s">
        <v>260</v>
      </c>
      <c r="B1040">
        <v>132552</v>
      </c>
      <c r="C1040" s="2">
        <v>2516.7600000000002</v>
      </c>
      <c r="D1040" s="1">
        <v>44039</v>
      </c>
      <c r="E1040" t="str">
        <f>"8058859938"</f>
        <v>8058859938</v>
      </c>
      <c r="F1040" t="str">
        <f>"Summary Invoice"</f>
        <v>Summary Invoice</v>
      </c>
      <c r="G1040" s="2">
        <v>2516.7600000000002</v>
      </c>
      <c r="H1040" t="str">
        <f>"7309130443"</f>
        <v>7309130443</v>
      </c>
    </row>
    <row r="1041" spans="1:8" x14ac:dyDescent="0.25">
      <c r="E1041" t="str">
        <f>""</f>
        <v/>
      </c>
      <c r="F1041" t="str">
        <f>""</f>
        <v/>
      </c>
      <c r="H1041" t="str">
        <f>"7305625939"</f>
        <v>7305625939</v>
      </c>
    </row>
    <row r="1042" spans="1:8" x14ac:dyDescent="0.25">
      <c r="E1042" t="str">
        <f>""</f>
        <v/>
      </c>
      <c r="F1042" t="str">
        <f>""</f>
        <v/>
      </c>
      <c r="H1042" t="str">
        <f>"7309307839"</f>
        <v>7309307839</v>
      </c>
    </row>
    <row r="1043" spans="1:8" x14ac:dyDescent="0.25">
      <c r="E1043" t="str">
        <f>""</f>
        <v/>
      </c>
      <c r="F1043" t="str">
        <f>""</f>
        <v/>
      </c>
      <c r="H1043" t="str">
        <f>"7309136157"</f>
        <v>7309136157</v>
      </c>
    </row>
    <row r="1044" spans="1:8" x14ac:dyDescent="0.25">
      <c r="E1044" t="str">
        <f>""</f>
        <v/>
      </c>
      <c r="F1044" t="str">
        <f>""</f>
        <v/>
      </c>
      <c r="H1044" t="str">
        <f>"7309205546"</f>
        <v>7309205546</v>
      </c>
    </row>
    <row r="1045" spans="1:8" x14ac:dyDescent="0.25">
      <c r="E1045" t="str">
        <f>""</f>
        <v/>
      </c>
      <c r="F1045" t="str">
        <f>""</f>
        <v/>
      </c>
      <c r="H1045" t="str">
        <f>"7308239614"</f>
        <v>7308239614</v>
      </c>
    </row>
    <row r="1046" spans="1:8" x14ac:dyDescent="0.25">
      <c r="E1046" t="str">
        <f>""</f>
        <v/>
      </c>
      <c r="F1046" t="str">
        <f>""</f>
        <v/>
      </c>
      <c r="H1046" t="str">
        <f>"7308732536"</f>
        <v>7308732536</v>
      </c>
    </row>
    <row r="1047" spans="1:8" x14ac:dyDescent="0.25">
      <c r="E1047" t="str">
        <f>""</f>
        <v/>
      </c>
      <c r="F1047" t="str">
        <f>""</f>
        <v/>
      </c>
      <c r="H1047" t="str">
        <f>"7308601389"</f>
        <v>7308601389</v>
      </c>
    </row>
    <row r="1048" spans="1:8" x14ac:dyDescent="0.25">
      <c r="E1048" t="str">
        <f>""</f>
        <v/>
      </c>
      <c r="F1048" t="str">
        <f>""</f>
        <v/>
      </c>
      <c r="H1048" t="str">
        <f>"7308601389"</f>
        <v>7308601389</v>
      </c>
    </row>
    <row r="1049" spans="1:8" x14ac:dyDescent="0.25">
      <c r="E1049" t="str">
        <f>""</f>
        <v/>
      </c>
      <c r="F1049" t="str">
        <f>""</f>
        <v/>
      </c>
      <c r="H1049" t="str">
        <f>"7308601389"</f>
        <v>7308601389</v>
      </c>
    </row>
    <row r="1050" spans="1:8" x14ac:dyDescent="0.25">
      <c r="E1050" t="str">
        <f>""</f>
        <v/>
      </c>
      <c r="F1050" t="str">
        <f>""</f>
        <v/>
      </c>
      <c r="H1050" t="str">
        <f>"7308145975"</f>
        <v>7308145975</v>
      </c>
    </row>
    <row r="1051" spans="1:8" x14ac:dyDescent="0.25">
      <c r="E1051" t="str">
        <f>""</f>
        <v/>
      </c>
      <c r="F1051" t="str">
        <f>""</f>
        <v/>
      </c>
      <c r="H1051" t="str">
        <f>"7308883896"</f>
        <v>7308883896</v>
      </c>
    </row>
    <row r="1052" spans="1:8" x14ac:dyDescent="0.25">
      <c r="E1052" t="str">
        <f>""</f>
        <v/>
      </c>
      <c r="F1052" t="str">
        <f>""</f>
        <v/>
      </c>
      <c r="H1052" t="str">
        <f>"7309015680"</f>
        <v>7309015680</v>
      </c>
    </row>
    <row r="1053" spans="1:8" x14ac:dyDescent="0.25">
      <c r="E1053" t="str">
        <f>""</f>
        <v/>
      </c>
      <c r="F1053" t="str">
        <f>""</f>
        <v/>
      </c>
      <c r="H1053" t="str">
        <f>"7307600913"</f>
        <v>7307600913</v>
      </c>
    </row>
    <row r="1054" spans="1:8" x14ac:dyDescent="0.25">
      <c r="E1054" t="str">
        <f>""</f>
        <v/>
      </c>
      <c r="F1054" t="str">
        <f>""</f>
        <v/>
      </c>
      <c r="H1054" t="str">
        <f>"7308627729"</f>
        <v>7308627729</v>
      </c>
    </row>
    <row r="1055" spans="1:8" x14ac:dyDescent="0.25">
      <c r="E1055" t="str">
        <f>""</f>
        <v/>
      </c>
      <c r="F1055" t="str">
        <f>""</f>
        <v/>
      </c>
      <c r="H1055" t="str">
        <f>"7309197114"</f>
        <v>7309197114</v>
      </c>
    </row>
    <row r="1056" spans="1:8" x14ac:dyDescent="0.25">
      <c r="A1056" t="s">
        <v>261</v>
      </c>
      <c r="B1056">
        <v>132553</v>
      </c>
      <c r="C1056" s="2">
        <v>541.19000000000005</v>
      </c>
      <c r="D1056" s="1">
        <v>44039</v>
      </c>
      <c r="E1056" t="str">
        <f>"202007157851"</f>
        <v>202007157851</v>
      </c>
      <c r="F1056" t="str">
        <f>"MONTH OF JUNE 2020"</f>
        <v>MONTH OF JUNE 2020</v>
      </c>
      <c r="G1056" s="2">
        <v>541.19000000000005</v>
      </c>
      <c r="H1056" t="str">
        <f>"MONTH OF JUNE 2020"</f>
        <v>MONTH OF JUNE 2020</v>
      </c>
    </row>
    <row r="1057" spans="1:8" x14ac:dyDescent="0.25">
      <c r="A1057" t="s">
        <v>262</v>
      </c>
      <c r="B1057">
        <v>132554</v>
      </c>
      <c r="C1057" s="2">
        <v>750</v>
      </c>
      <c r="D1057" s="1">
        <v>44039</v>
      </c>
      <c r="E1057" t="str">
        <f>"1008462"</f>
        <v>1008462</v>
      </c>
      <c r="F1057" t="str">
        <f>"PROJ#20800-P7 2019/STONY PT WW"</f>
        <v>PROJ#20800-P7 2019/STONY PT WW</v>
      </c>
      <c r="G1057" s="2">
        <v>750</v>
      </c>
      <c r="H1057" t="str">
        <f>"PROJ#20800-P7 2019/STONY PT WW"</f>
        <v>PROJ#20800-P7 2019/STONY PT WW</v>
      </c>
    </row>
    <row r="1058" spans="1:8" x14ac:dyDescent="0.25">
      <c r="A1058" t="s">
        <v>263</v>
      </c>
      <c r="B1058">
        <v>132555</v>
      </c>
      <c r="C1058" s="2">
        <v>1680.51</v>
      </c>
      <c r="D1058" s="1">
        <v>44039</v>
      </c>
      <c r="E1058" t="str">
        <f>"4009424833/485392"</f>
        <v>4009424833/485392</v>
      </c>
      <c r="F1058" t="str">
        <f>"INV 4009424833"</f>
        <v>INV 4009424833</v>
      </c>
      <c r="G1058" s="2">
        <v>1680.51</v>
      </c>
      <c r="H1058" t="str">
        <f>"INV 4009424833"</f>
        <v>INV 4009424833</v>
      </c>
    </row>
    <row r="1059" spans="1:8" x14ac:dyDescent="0.25">
      <c r="E1059" t="str">
        <f>""</f>
        <v/>
      </c>
      <c r="F1059" t="str">
        <f>""</f>
        <v/>
      </c>
      <c r="H1059" t="str">
        <f>"INV 4009485392"</f>
        <v>INV 4009485392</v>
      </c>
    </row>
    <row r="1060" spans="1:8" x14ac:dyDescent="0.25">
      <c r="A1060" t="s">
        <v>264</v>
      </c>
      <c r="B1060">
        <v>132556</v>
      </c>
      <c r="C1060" s="2">
        <v>377</v>
      </c>
      <c r="D1060" s="1">
        <v>44039</v>
      </c>
      <c r="E1060" t="str">
        <f>"202007228010"</f>
        <v>202007228010</v>
      </c>
      <c r="F1060" t="str">
        <f>"TRASH REMOVAL 07/13-07/24/P4"</f>
        <v>TRASH REMOVAL 07/13-07/24/P4</v>
      </c>
      <c r="G1060" s="2">
        <v>377</v>
      </c>
      <c r="H1060" t="str">
        <f>"TRASH REMOVAL 07/13-07/24/P4"</f>
        <v>TRASH REMOVAL 07/13-07/24/P4</v>
      </c>
    </row>
    <row r="1061" spans="1:8" x14ac:dyDescent="0.25">
      <c r="A1061" t="s">
        <v>264</v>
      </c>
      <c r="B1061">
        <v>132576</v>
      </c>
      <c r="C1061" s="2">
        <v>455</v>
      </c>
      <c r="D1061" s="1">
        <v>44040</v>
      </c>
      <c r="E1061" t="str">
        <f>"202007288025"</f>
        <v>202007288025</v>
      </c>
      <c r="F1061" t="str">
        <f>"TRASH REMOVAL /PCT#4 - REISSUE"</f>
        <v>TRASH REMOVAL /PCT#4 - REISSUE</v>
      </c>
      <c r="G1061" s="2">
        <v>455</v>
      </c>
      <c r="H1061" t="str">
        <f>"TRASH REMOVAL /PCT#4 - REISSUE"</f>
        <v>TRASH REMOVAL /PCT#4 - REISSUE</v>
      </c>
    </row>
    <row r="1062" spans="1:8" x14ac:dyDescent="0.25">
      <c r="A1062" t="s">
        <v>265</v>
      </c>
      <c r="B1062">
        <v>2811</v>
      </c>
      <c r="C1062" s="2">
        <v>7800</v>
      </c>
      <c r="D1062" s="1">
        <v>44026</v>
      </c>
      <c r="E1062" t="str">
        <f>"473"</f>
        <v>473</v>
      </c>
      <c r="F1062" t="str">
        <f>"SHREDDING/MOWING/PCT#2"</f>
        <v>SHREDDING/MOWING/PCT#2</v>
      </c>
      <c r="G1062" s="2">
        <v>7800</v>
      </c>
      <c r="H1062" t="str">
        <f>"SHREDDING/MOWING/PCT#2"</f>
        <v>SHREDDING/MOWING/PCT#2</v>
      </c>
    </row>
    <row r="1063" spans="1:8" x14ac:dyDescent="0.25">
      <c r="A1063" t="s">
        <v>265</v>
      </c>
      <c r="B1063">
        <v>2885</v>
      </c>
      <c r="C1063" s="2">
        <v>12675</v>
      </c>
      <c r="D1063" s="1">
        <v>44040</v>
      </c>
      <c r="E1063" t="str">
        <f>"555"</f>
        <v>555</v>
      </c>
      <c r="F1063" t="str">
        <f>"SHREDDING/MOWING/WEED EAT/P2"</f>
        <v>SHREDDING/MOWING/WEED EAT/P2</v>
      </c>
      <c r="G1063" s="2">
        <v>9100</v>
      </c>
      <c r="H1063" t="str">
        <f>"SHREDDING/MOWING/WEED EAT/P2"</f>
        <v>SHREDDING/MOWING/WEED EAT/P2</v>
      </c>
    </row>
    <row r="1064" spans="1:8" x14ac:dyDescent="0.25">
      <c r="E1064" t="str">
        <f>"556"</f>
        <v>556</v>
      </c>
      <c r="F1064" t="str">
        <f>"MOWING/SHREDDING/WEED EAT/P1"</f>
        <v>MOWING/SHREDDING/WEED EAT/P1</v>
      </c>
      <c r="G1064" s="2">
        <v>3575</v>
      </c>
      <c r="H1064" t="str">
        <f>"MOWING/SHREDDING/WEED EAT/P1"</f>
        <v>MOWING/SHREDDING/WEED EAT/P1</v>
      </c>
    </row>
    <row r="1065" spans="1:8" x14ac:dyDescent="0.25">
      <c r="A1065" t="s">
        <v>266</v>
      </c>
      <c r="B1065">
        <v>2820</v>
      </c>
      <c r="C1065" s="2">
        <v>6341.15</v>
      </c>
      <c r="D1065" s="1">
        <v>44026</v>
      </c>
      <c r="E1065" t="str">
        <f>"95740056"</f>
        <v>95740056</v>
      </c>
      <c r="F1065" t="str">
        <f>"ACCT#10187718/BOL#342680/PCT#3"</f>
        <v>ACCT#10187718/BOL#342680/PCT#3</v>
      </c>
      <c r="G1065" s="2">
        <v>3144.86</v>
      </c>
      <c r="H1065" t="str">
        <f>"ACCT#10187718/BOL#342680/PCT#3"</f>
        <v>ACCT#10187718/BOL#342680/PCT#3</v>
      </c>
    </row>
    <row r="1066" spans="1:8" x14ac:dyDescent="0.25">
      <c r="E1066" t="str">
        <f>"95752187"</f>
        <v>95752187</v>
      </c>
      <c r="F1066" t="str">
        <f>"ACCT#10187718/PCT#3"</f>
        <v>ACCT#10187718/PCT#3</v>
      </c>
      <c r="G1066" s="2">
        <v>3196.29</v>
      </c>
      <c r="H1066" t="str">
        <f>"ACCT#10187718/PCT#3"</f>
        <v>ACCT#10187718/PCT#3</v>
      </c>
    </row>
    <row r="1067" spans="1:8" x14ac:dyDescent="0.25">
      <c r="A1067" t="s">
        <v>266</v>
      </c>
      <c r="B1067">
        <v>2894</v>
      </c>
      <c r="C1067" s="2">
        <v>5271.09</v>
      </c>
      <c r="D1067" s="1">
        <v>44040</v>
      </c>
      <c r="E1067" t="str">
        <f>"95743252"</f>
        <v>95743252</v>
      </c>
      <c r="F1067" t="str">
        <f>"ACCT#10187718/FUEL/PCT#2"</f>
        <v>ACCT#10187718/FUEL/PCT#2</v>
      </c>
      <c r="G1067" s="2">
        <v>2759.54</v>
      </c>
      <c r="H1067" t="str">
        <f>"ACCT#10187718/FUEL/PCT#2"</f>
        <v>ACCT#10187718/FUEL/PCT#2</v>
      </c>
    </row>
    <row r="1068" spans="1:8" x14ac:dyDescent="0.25">
      <c r="E1068" t="str">
        <f>"95761870"</f>
        <v>95761870</v>
      </c>
      <c r="F1068" t="str">
        <f>"ACCT#10187718/FUEL/PCT#2"</f>
        <v>ACCT#10187718/FUEL/PCT#2</v>
      </c>
      <c r="G1068" s="2">
        <v>2511.5500000000002</v>
      </c>
      <c r="H1068" t="str">
        <f>"ACCT#10187718/FUEL/PCT#2"</f>
        <v>ACCT#10187718/FUEL/PCT#2</v>
      </c>
    </row>
    <row r="1069" spans="1:8" x14ac:dyDescent="0.25">
      <c r="A1069" t="s">
        <v>267</v>
      </c>
      <c r="B1069">
        <v>132437</v>
      </c>
      <c r="C1069" s="2">
        <v>714</v>
      </c>
      <c r="D1069" s="1">
        <v>44025</v>
      </c>
      <c r="E1069" t="str">
        <f>"9400507769"</f>
        <v>9400507769</v>
      </c>
      <c r="F1069" t="str">
        <f>"INV 9400507769"</f>
        <v>INV 9400507769</v>
      </c>
      <c r="G1069" s="2">
        <v>306</v>
      </c>
      <c r="H1069" t="str">
        <f>"INV 9400507769"</f>
        <v>INV 9400507769</v>
      </c>
    </row>
    <row r="1070" spans="1:8" x14ac:dyDescent="0.25">
      <c r="E1070" t="str">
        <f>"9401244322"</f>
        <v>9401244322</v>
      </c>
      <c r="F1070" t="str">
        <f>"INV 9401244322"</f>
        <v>INV 9401244322</v>
      </c>
      <c r="G1070" s="2">
        <v>408</v>
      </c>
      <c r="H1070" t="str">
        <f>"INV 9401244322"</f>
        <v>INV 9401244322</v>
      </c>
    </row>
    <row r="1071" spans="1:8" x14ac:dyDescent="0.25">
      <c r="A1071" t="s">
        <v>268</v>
      </c>
      <c r="B1071">
        <v>2823</v>
      </c>
      <c r="C1071" s="2">
        <v>485</v>
      </c>
      <c r="D1071" s="1">
        <v>44026</v>
      </c>
      <c r="E1071" t="str">
        <f>"7667"</f>
        <v>7667</v>
      </c>
      <c r="F1071" t="str">
        <f>"ZEP BIG ORANGE AEROSOL/PCT#4"</f>
        <v>ZEP BIG ORANGE AEROSOL/PCT#4</v>
      </c>
      <c r="G1071" s="2">
        <v>485</v>
      </c>
      <c r="H1071" t="str">
        <f>"ZEP BIG ORANGE AEROSOL/PCT#4"</f>
        <v>ZEP BIG ORANGE AEROSOL/PCT#4</v>
      </c>
    </row>
    <row r="1072" spans="1:8" x14ac:dyDescent="0.25">
      <c r="A1072" t="s">
        <v>268</v>
      </c>
      <c r="B1072">
        <v>2895</v>
      </c>
      <c r="C1072" s="2">
        <v>635</v>
      </c>
      <c r="D1072" s="1">
        <v>44040</v>
      </c>
      <c r="E1072" t="str">
        <f>"7709"</f>
        <v>7709</v>
      </c>
      <c r="F1072" t="str">
        <f>"ZEP BIG ORANGE/PCT#4"</f>
        <v>ZEP BIG ORANGE/PCT#4</v>
      </c>
      <c r="G1072" s="2">
        <v>635</v>
      </c>
      <c r="H1072" t="str">
        <f>"ZEP BIG ORANGE/PCT#4"</f>
        <v>ZEP BIG ORANGE/PCT#4</v>
      </c>
    </row>
    <row r="1073" spans="1:8" x14ac:dyDescent="0.25">
      <c r="A1073" t="s">
        <v>269</v>
      </c>
      <c r="B1073">
        <v>2806</v>
      </c>
      <c r="C1073" s="2">
        <v>1146.8800000000001</v>
      </c>
      <c r="D1073" s="1">
        <v>44026</v>
      </c>
      <c r="E1073" t="str">
        <f>"084704538"</f>
        <v>084704538</v>
      </c>
      <c r="F1073" t="str">
        <f>"SERVICE PLAN CONTRACT-ANNUAL"</f>
        <v>SERVICE PLAN CONTRACT-ANNUAL</v>
      </c>
      <c r="G1073" s="2">
        <v>1090</v>
      </c>
      <c r="H1073" t="str">
        <f>"SERVICE PLAN CONTRACT-ANNUAL"</f>
        <v>SERVICE PLAN CONTRACT-ANNUAL</v>
      </c>
    </row>
    <row r="1074" spans="1:8" x14ac:dyDescent="0.25">
      <c r="E1074" t="str">
        <f>"20070201"</f>
        <v>20070201</v>
      </c>
      <c r="F1074" t="str">
        <f>"SVC CONTRACT/06/01/20-07/01/20"</f>
        <v>SVC CONTRACT/06/01/20-07/01/20</v>
      </c>
      <c r="G1074" s="2">
        <v>56.88</v>
      </c>
      <c r="H1074" t="str">
        <f>"SVC CONTRACT/06/01/20-07/01/20"</f>
        <v>SVC CONTRACT/06/01/20-07/01/20</v>
      </c>
    </row>
    <row r="1075" spans="1:8" x14ac:dyDescent="0.25">
      <c r="A1075" t="s">
        <v>270</v>
      </c>
      <c r="B1075">
        <v>132438</v>
      </c>
      <c r="C1075" s="2">
        <v>250</v>
      </c>
      <c r="D1075" s="1">
        <v>44025</v>
      </c>
      <c r="E1075" t="str">
        <f>"RJ7264012"</f>
        <v>RJ7264012</v>
      </c>
      <c r="F1075" t="str">
        <f>"INV RJ7264012"</f>
        <v>INV RJ7264012</v>
      </c>
      <c r="G1075" s="2">
        <v>250</v>
      </c>
      <c r="H1075" t="str">
        <f>"INV RJ7264012"</f>
        <v>INV RJ7264012</v>
      </c>
    </row>
    <row r="1076" spans="1:8" x14ac:dyDescent="0.25">
      <c r="A1076" t="s">
        <v>271</v>
      </c>
      <c r="B1076">
        <v>2923</v>
      </c>
      <c r="C1076" s="2">
        <v>217</v>
      </c>
      <c r="D1076" s="1">
        <v>44040</v>
      </c>
      <c r="E1076" t="str">
        <f>"2008053"</f>
        <v>2008053</v>
      </c>
      <c r="F1076" t="str">
        <f>"MONTHLY CONTRACT BILLING"</f>
        <v>MONTHLY CONTRACT BILLING</v>
      </c>
      <c r="G1076" s="2">
        <v>217</v>
      </c>
      <c r="H1076" t="str">
        <f>"MONTHLY CONTRACT BILLING"</f>
        <v>MONTHLY CONTRACT BILLING</v>
      </c>
    </row>
    <row r="1077" spans="1:8" x14ac:dyDescent="0.25">
      <c r="A1077" t="s">
        <v>272</v>
      </c>
      <c r="B1077">
        <v>2844</v>
      </c>
      <c r="C1077" s="2">
        <v>78</v>
      </c>
      <c r="D1077" s="1">
        <v>44026</v>
      </c>
      <c r="E1077" t="str">
        <f>"891127"</f>
        <v>891127</v>
      </c>
      <c r="F1077" t="str">
        <f>"ACCT#63275/CUST ID:BASC01"</f>
        <v>ACCT#63275/CUST ID:BASC01</v>
      </c>
      <c r="G1077" s="2">
        <v>78</v>
      </c>
      <c r="H1077" t="str">
        <f>"ACCT#63275/CUST ID:BASC01"</f>
        <v>ACCT#63275/CUST ID:BASC01</v>
      </c>
    </row>
    <row r="1078" spans="1:8" x14ac:dyDescent="0.25">
      <c r="A1078" t="s">
        <v>273</v>
      </c>
      <c r="B1078">
        <v>132439</v>
      </c>
      <c r="C1078" s="2">
        <v>7644.46</v>
      </c>
      <c r="D1078" s="1">
        <v>44025</v>
      </c>
      <c r="E1078" t="str">
        <f>"09857538-IN"</f>
        <v>09857538-IN</v>
      </c>
      <c r="F1078" t="str">
        <f>"ACCT#01-0112917/PCT#4"</f>
        <v>ACCT#01-0112917/PCT#4</v>
      </c>
      <c r="G1078" s="2">
        <v>3698.4</v>
      </c>
      <c r="H1078" t="str">
        <f>"ACCT#01-0112917/PCT#4"</f>
        <v>ACCT#01-0112917/PCT#4</v>
      </c>
    </row>
    <row r="1079" spans="1:8" x14ac:dyDescent="0.25">
      <c r="E1079" t="str">
        <f>"0988545-IN"</f>
        <v>0988545-IN</v>
      </c>
      <c r="F1079" t="str">
        <f>"ACCT#01-0112917/PCT#1"</f>
        <v>ACCT#01-0112917/PCT#1</v>
      </c>
      <c r="G1079" s="2">
        <v>3946.06</v>
      </c>
      <c r="H1079" t="str">
        <f>"ACCT#01-0112917/PCT#1"</f>
        <v>ACCT#01-0112917/PCT#1</v>
      </c>
    </row>
    <row r="1080" spans="1:8" x14ac:dyDescent="0.25">
      <c r="A1080" t="s">
        <v>274</v>
      </c>
      <c r="B1080">
        <v>132440</v>
      </c>
      <c r="C1080" s="2">
        <v>88.1</v>
      </c>
      <c r="D1080" s="1">
        <v>44025</v>
      </c>
      <c r="E1080" t="str">
        <f>"6470"</f>
        <v>6470</v>
      </c>
      <c r="F1080" t="str">
        <f>"BEDDING SAND/PCT#2"</f>
        <v>BEDDING SAND/PCT#2</v>
      </c>
      <c r="G1080" s="2">
        <v>88.1</v>
      </c>
      <c r="H1080" t="str">
        <f>"BEDDING SAND/PCT#2"</f>
        <v>BEDDING SAND/PCT#2</v>
      </c>
    </row>
    <row r="1081" spans="1:8" x14ac:dyDescent="0.25">
      <c r="A1081" t="s">
        <v>275</v>
      </c>
      <c r="B1081">
        <v>132441</v>
      </c>
      <c r="C1081" s="2">
        <v>421</v>
      </c>
      <c r="D1081" s="1">
        <v>44025</v>
      </c>
      <c r="E1081" t="str">
        <f>"202007077676"</f>
        <v>202007077676</v>
      </c>
      <c r="F1081" t="str">
        <f>"JULY BOND RENEWALS"</f>
        <v>JULY BOND RENEWALS</v>
      </c>
      <c r="G1081" s="2">
        <v>300</v>
      </c>
      <c r="H1081" t="str">
        <f>"JULY BOND RENEWALS"</f>
        <v>JULY BOND RENEWALS</v>
      </c>
    </row>
    <row r="1082" spans="1:8" x14ac:dyDescent="0.25">
      <c r="E1082" t="str">
        <f>"5377"</f>
        <v>5377</v>
      </c>
      <c r="F1082" t="str">
        <f>"INV 5377"</f>
        <v>INV 5377</v>
      </c>
      <c r="G1082" s="2">
        <v>50</v>
      </c>
      <c r="H1082" t="str">
        <f>"INV 5377"</f>
        <v>INV 5377</v>
      </c>
    </row>
    <row r="1083" spans="1:8" x14ac:dyDescent="0.25">
      <c r="E1083" t="str">
        <f>"5390"</f>
        <v>5390</v>
      </c>
      <c r="F1083" t="str">
        <f>"INV 5390"</f>
        <v>INV 5390</v>
      </c>
      <c r="G1083" s="2">
        <v>71</v>
      </c>
      <c r="H1083" t="str">
        <f>"INV 5390"</f>
        <v>INV 5390</v>
      </c>
    </row>
    <row r="1084" spans="1:8" x14ac:dyDescent="0.25">
      <c r="A1084" t="s">
        <v>275</v>
      </c>
      <c r="B1084">
        <v>132557</v>
      </c>
      <c r="C1084" s="2">
        <v>213</v>
      </c>
      <c r="D1084" s="1">
        <v>44039</v>
      </c>
      <c r="E1084" t="str">
        <f>"5457 5458 5459"</f>
        <v>5457 5458 5459</v>
      </c>
      <c r="F1084" t="str">
        <f>"INV 5457"</f>
        <v>INV 5457</v>
      </c>
      <c r="G1084" s="2">
        <v>213</v>
      </c>
      <c r="H1084" t="str">
        <f>"INV 5457"</f>
        <v>INV 5457</v>
      </c>
    </row>
    <row r="1085" spans="1:8" x14ac:dyDescent="0.25">
      <c r="E1085" t="str">
        <f>""</f>
        <v/>
      </c>
      <c r="F1085" t="str">
        <f>""</f>
        <v/>
      </c>
      <c r="H1085" t="str">
        <f>"INV 5458"</f>
        <v>INV 5458</v>
      </c>
    </row>
    <row r="1086" spans="1:8" x14ac:dyDescent="0.25">
      <c r="E1086" t="str">
        <f>""</f>
        <v/>
      </c>
      <c r="F1086" t="str">
        <f>""</f>
        <v/>
      </c>
      <c r="H1086" t="str">
        <f>"INV 5459"</f>
        <v>INV 5459</v>
      </c>
    </row>
    <row r="1087" spans="1:8" x14ac:dyDescent="0.25">
      <c r="A1087" t="s">
        <v>276</v>
      </c>
      <c r="B1087">
        <v>132300</v>
      </c>
      <c r="C1087" s="2">
        <v>5644.88</v>
      </c>
      <c r="D1087" s="1">
        <v>44013</v>
      </c>
      <c r="E1087" t="str">
        <f>"D-2020-3-0110"</f>
        <v>D-2020-3-0110</v>
      </c>
      <c r="F1087" t="str">
        <f>"UNEMPLOYMENT QTR END 06/30/20"</f>
        <v>UNEMPLOYMENT QTR END 06/30/20</v>
      </c>
      <c r="G1087" s="2">
        <v>5644.88</v>
      </c>
      <c r="H1087" t="str">
        <f t="shared" ref="H1087:H1125" si="13">"UNEMPLOYMENT QTR END 06/30/20"</f>
        <v>UNEMPLOYMENT QTR END 06/30/20</v>
      </c>
    </row>
    <row r="1088" spans="1:8" x14ac:dyDescent="0.25">
      <c r="E1088" t="str">
        <f>""</f>
        <v/>
      </c>
      <c r="F1088" t="str">
        <f>""</f>
        <v/>
      </c>
      <c r="H1088" t="str">
        <f t="shared" si="13"/>
        <v>UNEMPLOYMENT QTR END 06/30/20</v>
      </c>
    </row>
    <row r="1089" spans="5:8" x14ac:dyDescent="0.25">
      <c r="E1089" t="str">
        <f>""</f>
        <v/>
      </c>
      <c r="F1089" t="str">
        <f>""</f>
        <v/>
      </c>
      <c r="H1089" t="str">
        <f t="shared" si="13"/>
        <v>UNEMPLOYMENT QTR END 06/30/20</v>
      </c>
    </row>
    <row r="1090" spans="5:8" x14ac:dyDescent="0.25">
      <c r="E1090" t="str">
        <f>""</f>
        <v/>
      </c>
      <c r="F1090" t="str">
        <f>""</f>
        <v/>
      </c>
      <c r="H1090" t="str">
        <f t="shared" si="13"/>
        <v>UNEMPLOYMENT QTR END 06/30/20</v>
      </c>
    </row>
    <row r="1091" spans="5:8" x14ac:dyDescent="0.25">
      <c r="E1091" t="str">
        <f>""</f>
        <v/>
      </c>
      <c r="F1091" t="str">
        <f>""</f>
        <v/>
      </c>
      <c r="H1091" t="str">
        <f t="shared" si="13"/>
        <v>UNEMPLOYMENT QTR END 06/30/20</v>
      </c>
    </row>
    <row r="1092" spans="5:8" x14ac:dyDescent="0.25">
      <c r="E1092" t="str">
        <f>""</f>
        <v/>
      </c>
      <c r="F1092" t="str">
        <f>""</f>
        <v/>
      </c>
      <c r="H1092" t="str">
        <f t="shared" si="13"/>
        <v>UNEMPLOYMENT QTR END 06/30/20</v>
      </c>
    </row>
    <row r="1093" spans="5:8" x14ac:dyDescent="0.25">
      <c r="E1093" t="str">
        <f>""</f>
        <v/>
      </c>
      <c r="F1093" t="str">
        <f>""</f>
        <v/>
      </c>
      <c r="H1093" t="str">
        <f t="shared" si="13"/>
        <v>UNEMPLOYMENT QTR END 06/30/20</v>
      </c>
    </row>
    <row r="1094" spans="5:8" x14ac:dyDescent="0.25">
      <c r="E1094" t="str">
        <f>""</f>
        <v/>
      </c>
      <c r="F1094" t="str">
        <f>""</f>
        <v/>
      </c>
      <c r="H1094" t="str">
        <f t="shared" si="13"/>
        <v>UNEMPLOYMENT QTR END 06/30/20</v>
      </c>
    </row>
    <row r="1095" spans="5:8" x14ac:dyDescent="0.25">
      <c r="E1095" t="str">
        <f>""</f>
        <v/>
      </c>
      <c r="F1095" t="str">
        <f>""</f>
        <v/>
      </c>
      <c r="H1095" t="str">
        <f t="shared" si="13"/>
        <v>UNEMPLOYMENT QTR END 06/30/20</v>
      </c>
    </row>
    <row r="1096" spans="5:8" x14ac:dyDescent="0.25">
      <c r="E1096" t="str">
        <f>""</f>
        <v/>
      </c>
      <c r="F1096" t="str">
        <f>""</f>
        <v/>
      </c>
      <c r="H1096" t="str">
        <f t="shared" si="13"/>
        <v>UNEMPLOYMENT QTR END 06/30/20</v>
      </c>
    </row>
    <row r="1097" spans="5:8" x14ac:dyDescent="0.25">
      <c r="E1097" t="str">
        <f>""</f>
        <v/>
      </c>
      <c r="F1097" t="str">
        <f>""</f>
        <v/>
      </c>
      <c r="H1097" t="str">
        <f t="shared" si="13"/>
        <v>UNEMPLOYMENT QTR END 06/30/20</v>
      </c>
    </row>
    <row r="1098" spans="5:8" x14ac:dyDescent="0.25">
      <c r="E1098" t="str">
        <f>""</f>
        <v/>
      </c>
      <c r="F1098" t="str">
        <f>""</f>
        <v/>
      </c>
      <c r="H1098" t="str">
        <f t="shared" si="13"/>
        <v>UNEMPLOYMENT QTR END 06/30/20</v>
      </c>
    </row>
    <row r="1099" spans="5:8" x14ac:dyDescent="0.25">
      <c r="E1099" t="str">
        <f>""</f>
        <v/>
      </c>
      <c r="F1099" t="str">
        <f>""</f>
        <v/>
      </c>
      <c r="H1099" t="str">
        <f t="shared" si="13"/>
        <v>UNEMPLOYMENT QTR END 06/30/20</v>
      </c>
    </row>
    <row r="1100" spans="5:8" x14ac:dyDescent="0.25">
      <c r="E1100" t="str">
        <f>""</f>
        <v/>
      </c>
      <c r="F1100" t="str">
        <f>""</f>
        <v/>
      </c>
      <c r="H1100" t="str">
        <f t="shared" si="13"/>
        <v>UNEMPLOYMENT QTR END 06/30/20</v>
      </c>
    </row>
    <row r="1101" spans="5:8" x14ac:dyDescent="0.25">
      <c r="E1101" t="str">
        <f>""</f>
        <v/>
      </c>
      <c r="F1101" t="str">
        <f>""</f>
        <v/>
      </c>
      <c r="H1101" t="str">
        <f t="shared" si="13"/>
        <v>UNEMPLOYMENT QTR END 06/30/20</v>
      </c>
    </row>
    <row r="1102" spans="5:8" x14ac:dyDescent="0.25">
      <c r="E1102" t="str">
        <f>""</f>
        <v/>
      </c>
      <c r="F1102" t="str">
        <f>""</f>
        <v/>
      </c>
      <c r="H1102" t="str">
        <f t="shared" si="13"/>
        <v>UNEMPLOYMENT QTR END 06/30/20</v>
      </c>
    </row>
    <row r="1103" spans="5:8" x14ac:dyDescent="0.25">
      <c r="E1103" t="str">
        <f>""</f>
        <v/>
      </c>
      <c r="F1103" t="str">
        <f>""</f>
        <v/>
      </c>
      <c r="H1103" t="str">
        <f t="shared" si="13"/>
        <v>UNEMPLOYMENT QTR END 06/30/20</v>
      </c>
    </row>
    <row r="1104" spans="5:8" x14ac:dyDescent="0.25">
      <c r="E1104" t="str">
        <f>""</f>
        <v/>
      </c>
      <c r="F1104" t="str">
        <f>""</f>
        <v/>
      </c>
      <c r="H1104" t="str">
        <f t="shared" si="13"/>
        <v>UNEMPLOYMENT QTR END 06/30/20</v>
      </c>
    </row>
    <row r="1105" spans="5:8" x14ac:dyDescent="0.25">
      <c r="E1105" t="str">
        <f>""</f>
        <v/>
      </c>
      <c r="F1105" t="str">
        <f>""</f>
        <v/>
      </c>
      <c r="H1105" t="str">
        <f t="shared" si="13"/>
        <v>UNEMPLOYMENT QTR END 06/30/20</v>
      </c>
    </row>
    <row r="1106" spans="5:8" x14ac:dyDescent="0.25">
      <c r="E1106" t="str">
        <f>""</f>
        <v/>
      </c>
      <c r="F1106" t="str">
        <f>""</f>
        <v/>
      </c>
      <c r="H1106" t="str">
        <f t="shared" si="13"/>
        <v>UNEMPLOYMENT QTR END 06/30/20</v>
      </c>
    </row>
    <row r="1107" spans="5:8" x14ac:dyDescent="0.25">
      <c r="E1107" t="str">
        <f>""</f>
        <v/>
      </c>
      <c r="F1107" t="str">
        <f>""</f>
        <v/>
      </c>
      <c r="H1107" t="str">
        <f t="shared" si="13"/>
        <v>UNEMPLOYMENT QTR END 06/30/20</v>
      </c>
    </row>
    <row r="1108" spans="5:8" x14ac:dyDescent="0.25">
      <c r="E1108" t="str">
        <f>""</f>
        <v/>
      </c>
      <c r="F1108" t="str">
        <f>""</f>
        <v/>
      </c>
      <c r="H1108" t="str">
        <f t="shared" si="13"/>
        <v>UNEMPLOYMENT QTR END 06/30/20</v>
      </c>
    </row>
    <row r="1109" spans="5:8" x14ac:dyDescent="0.25">
      <c r="E1109" t="str">
        <f>""</f>
        <v/>
      </c>
      <c r="F1109" t="str">
        <f>""</f>
        <v/>
      </c>
      <c r="H1109" t="str">
        <f t="shared" si="13"/>
        <v>UNEMPLOYMENT QTR END 06/30/20</v>
      </c>
    </row>
    <row r="1110" spans="5:8" x14ac:dyDescent="0.25">
      <c r="E1110" t="str">
        <f>""</f>
        <v/>
      </c>
      <c r="F1110" t="str">
        <f>""</f>
        <v/>
      </c>
      <c r="H1110" t="str">
        <f t="shared" si="13"/>
        <v>UNEMPLOYMENT QTR END 06/30/20</v>
      </c>
    </row>
    <row r="1111" spans="5:8" x14ac:dyDescent="0.25">
      <c r="E1111" t="str">
        <f>""</f>
        <v/>
      </c>
      <c r="F1111" t="str">
        <f>""</f>
        <v/>
      </c>
      <c r="H1111" t="str">
        <f t="shared" si="13"/>
        <v>UNEMPLOYMENT QTR END 06/30/20</v>
      </c>
    </row>
    <row r="1112" spans="5:8" x14ac:dyDescent="0.25">
      <c r="E1112" t="str">
        <f>""</f>
        <v/>
      </c>
      <c r="F1112" t="str">
        <f>""</f>
        <v/>
      </c>
      <c r="H1112" t="str">
        <f t="shared" si="13"/>
        <v>UNEMPLOYMENT QTR END 06/30/20</v>
      </c>
    </row>
    <row r="1113" spans="5:8" x14ac:dyDescent="0.25">
      <c r="E1113" t="str">
        <f>""</f>
        <v/>
      </c>
      <c r="F1113" t="str">
        <f>""</f>
        <v/>
      </c>
      <c r="H1113" t="str">
        <f t="shared" si="13"/>
        <v>UNEMPLOYMENT QTR END 06/30/20</v>
      </c>
    </row>
    <row r="1114" spans="5:8" x14ac:dyDescent="0.25">
      <c r="E1114" t="str">
        <f>""</f>
        <v/>
      </c>
      <c r="F1114" t="str">
        <f>""</f>
        <v/>
      </c>
      <c r="H1114" t="str">
        <f t="shared" si="13"/>
        <v>UNEMPLOYMENT QTR END 06/30/20</v>
      </c>
    </row>
    <row r="1115" spans="5:8" x14ac:dyDescent="0.25">
      <c r="E1115" t="str">
        <f>""</f>
        <v/>
      </c>
      <c r="F1115" t="str">
        <f>""</f>
        <v/>
      </c>
      <c r="H1115" t="str">
        <f t="shared" si="13"/>
        <v>UNEMPLOYMENT QTR END 06/30/20</v>
      </c>
    </row>
    <row r="1116" spans="5:8" x14ac:dyDescent="0.25">
      <c r="E1116" t="str">
        <f>""</f>
        <v/>
      </c>
      <c r="F1116" t="str">
        <f>""</f>
        <v/>
      </c>
      <c r="H1116" t="str">
        <f t="shared" si="13"/>
        <v>UNEMPLOYMENT QTR END 06/30/20</v>
      </c>
    </row>
    <row r="1117" spans="5:8" x14ac:dyDescent="0.25">
      <c r="E1117" t="str">
        <f>""</f>
        <v/>
      </c>
      <c r="F1117" t="str">
        <f>""</f>
        <v/>
      </c>
      <c r="H1117" t="str">
        <f t="shared" si="13"/>
        <v>UNEMPLOYMENT QTR END 06/30/20</v>
      </c>
    </row>
    <row r="1118" spans="5:8" x14ac:dyDescent="0.25">
      <c r="E1118" t="str">
        <f>""</f>
        <v/>
      </c>
      <c r="F1118" t="str">
        <f>""</f>
        <v/>
      </c>
      <c r="H1118" t="str">
        <f t="shared" si="13"/>
        <v>UNEMPLOYMENT QTR END 06/30/20</v>
      </c>
    </row>
    <row r="1119" spans="5:8" x14ac:dyDescent="0.25">
      <c r="E1119" t="str">
        <f>""</f>
        <v/>
      </c>
      <c r="F1119" t="str">
        <f>""</f>
        <v/>
      </c>
      <c r="H1119" t="str">
        <f t="shared" si="13"/>
        <v>UNEMPLOYMENT QTR END 06/30/20</v>
      </c>
    </row>
    <row r="1120" spans="5:8" x14ac:dyDescent="0.25">
      <c r="E1120" t="str">
        <f>""</f>
        <v/>
      </c>
      <c r="F1120" t="str">
        <f>""</f>
        <v/>
      </c>
      <c r="H1120" t="str">
        <f t="shared" si="13"/>
        <v>UNEMPLOYMENT QTR END 06/30/20</v>
      </c>
    </row>
    <row r="1121" spans="1:8" x14ac:dyDescent="0.25">
      <c r="E1121" t="str">
        <f>""</f>
        <v/>
      </c>
      <c r="F1121" t="str">
        <f>""</f>
        <v/>
      </c>
      <c r="H1121" t="str">
        <f t="shared" si="13"/>
        <v>UNEMPLOYMENT QTR END 06/30/20</v>
      </c>
    </row>
    <row r="1122" spans="1:8" x14ac:dyDescent="0.25">
      <c r="E1122" t="str">
        <f>""</f>
        <v/>
      </c>
      <c r="F1122" t="str">
        <f>""</f>
        <v/>
      </c>
      <c r="H1122" t="str">
        <f t="shared" si="13"/>
        <v>UNEMPLOYMENT QTR END 06/30/20</v>
      </c>
    </row>
    <row r="1123" spans="1:8" x14ac:dyDescent="0.25">
      <c r="E1123" t="str">
        <f>""</f>
        <v/>
      </c>
      <c r="F1123" t="str">
        <f>""</f>
        <v/>
      </c>
      <c r="H1123" t="str">
        <f t="shared" si="13"/>
        <v>UNEMPLOYMENT QTR END 06/30/20</v>
      </c>
    </row>
    <row r="1124" spans="1:8" x14ac:dyDescent="0.25">
      <c r="E1124" t="str">
        <f>""</f>
        <v/>
      </c>
      <c r="F1124" t="str">
        <f>""</f>
        <v/>
      </c>
      <c r="H1124" t="str">
        <f t="shared" si="13"/>
        <v>UNEMPLOYMENT QTR END 06/30/20</v>
      </c>
    </row>
    <row r="1125" spans="1:8" x14ac:dyDescent="0.25">
      <c r="E1125" t="str">
        <f>""</f>
        <v/>
      </c>
      <c r="F1125" t="str">
        <f>""</f>
        <v/>
      </c>
      <c r="H1125" t="str">
        <f t="shared" si="13"/>
        <v>UNEMPLOYMENT QTR END 06/30/20</v>
      </c>
    </row>
    <row r="1126" spans="1:8" x14ac:dyDescent="0.25">
      <c r="A1126" t="s">
        <v>277</v>
      </c>
      <c r="B1126">
        <v>132442</v>
      </c>
      <c r="C1126" s="2">
        <v>850</v>
      </c>
      <c r="D1126" s="1">
        <v>44025</v>
      </c>
      <c r="E1126" t="str">
        <f>"202007077673"</f>
        <v>202007077673</v>
      </c>
      <c r="F1126" t="str">
        <f>"TEXAS COMMISSION ON JAIL STAND"</f>
        <v>TEXAS COMMISSION ON JAIL STAND</v>
      </c>
      <c r="G1126" s="2">
        <v>850</v>
      </c>
      <c r="H1126" t="str">
        <f>""</f>
        <v/>
      </c>
    </row>
    <row r="1127" spans="1:8" x14ac:dyDescent="0.25">
      <c r="A1127" t="s">
        <v>278</v>
      </c>
      <c r="B1127">
        <v>132443</v>
      </c>
      <c r="C1127" s="2">
        <v>120</v>
      </c>
      <c r="D1127" s="1">
        <v>44025</v>
      </c>
      <c r="E1127" t="str">
        <f>"UI470890"</f>
        <v>UI470890</v>
      </c>
      <c r="F1127" t="str">
        <f>"Bond Receipts"</f>
        <v>Bond Receipts</v>
      </c>
      <c r="G1127" s="2">
        <v>120</v>
      </c>
      <c r="H1127" t="str">
        <f>"Bond Receipts"</f>
        <v>Bond Receipts</v>
      </c>
    </row>
    <row r="1128" spans="1:8" x14ac:dyDescent="0.25">
      <c r="A1128" t="s">
        <v>279</v>
      </c>
      <c r="B1128">
        <v>132444</v>
      </c>
      <c r="C1128" s="2">
        <v>23</v>
      </c>
      <c r="D1128" s="1">
        <v>44025</v>
      </c>
      <c r="E1128" t="str">
        <f>"CRS-202003-191621"</f>
        <v>CRS-202003-191621</v>
      </c>
      <c r="F1128" t="str">
        <f>"SECURE SITE CCH NAME SEARCH"</f>
        <v>SECURE SITE CCH NAME SEARCH</v>
      </c>
      <c r="G1128" s="2">
        <v>23</v>
      </c>
      <c r="H1128" t="str">
        <f>"SECURE SITE CCH NAME SEARCH"</f>
        <v>SECURE SITE CCH NAME SEARCH</v>
      </c>
    </row>
    <row r="1129" spans="1:8" x14ac:dyDescent="0.25">
      <c r="A1129" t="s">
        <v>280</v>
      </c>
      <c r="B1129">
        <v>132445</v>
      </c>
      <c r="C1129" s="2">
        <v>155</v>
      </c>
      <c r="D1129" s="1">
        <v>44025</v>
      </c>
      <c r="E1129" t="str">
        <f>"5463738"</f>
        <v>5463738</v>
      </c>
      <c r="F1129" t="str">
        <f>"CUST#1-238865/375 RIVERSIDE DR"</f>
        <v>CUST#1-238865/375 RIVERSIDE DR</v>
      </c>
      <c r="G1129" s="2">
        <v>155</v>
      </c>
      <c r="H1129" t="str">
        <f>"CUST#1-238865/375 RIVERSIDE DR"</f>
        <v>CUST#1-238865/375 RIVERSIDE DR</v>
      </c>
    </row>
    <row r="1130" spans="1:8" x14ac:dyDescent="0.25">
      <c r="A1130" t="s">
        <v>281</v>
      </c>
      <c r="B1130">
        <v>132558</v>
      </c>
      <c r="C1130" s="2">
        <v>12249</v>
      </c>
      <c r="D1130" s="1">
        <v>44039</v>
      </c>
      <c r="E1130" t="str">
        <f>"20-26095"</f>
        <v>20-26095</v>
      </c>
      <c r="F1130" t="str">
        <f>"2020 THLA MEMBERSHIP"</f>
        <v>2020 THLA MEMBERSHIP</v>
      </c>
      <c r="G1130" s="2">
        <v>12249</v>
      </c>
      <c r="H1130" t="str">
        <f>"2020 THLA MEMBERSHIP"</f>
        <v>2020 THLA MEMBERSHIP</v>
      </c>
    </row>
    <row r="1131" spans="1:8" x14ac:dyDescent="0.25">
      <c r="A1131" t="s">
        <v>282</v>
      </c>
      <c r="B1131">
        <v>132559</v>
      </c>
      <c r="C1131" s="2">
        <v>260</v>
      </c>
      <c r="D1131" s="1">
        <v>44039</v>
      </c>
      <c r="E1131" t="str">
        <f>"202007217962"</f>
        <v>202007217962</v>
      </c>
      <c r="F1131" t="str">
        <f>"REFUND - REGISTRATION FEES"</f>
        <v>REFUND - REGISTRATION FEES</v>
      </c>
      <c r="G1131" s="2">
        <v>260</v>
      </c>
      <c r="H1131" t="str">
        <f>"REFUND - REGISTRATION FEES"</f>
        <v>REFUND - REGISTRATION FEES</v>
      </c>
    </row>
    <row r="1132" spans="1:8" x14ac:dyDescent="0.25">
      <c r="A1132" t="s">
        <v>284</v>
      </c>
      <c r="B1132">
        <v>132446</v>
      </c>
      <c r="C1132" s="2">
        <v>3547.75</v>
      </c>
      <c r="D1132" s="1">
        <v>44025</v>
      </c>
      <c r="E1132" t="str">
        <f>"1CO-1833-12"</f>
        <v>1CO-1833-12</v>
      </c>
      <c r="F1132" t="str">
        <f>"A8041039 - B. MONCADA"</f>
        <v>A8041039 - B. MONCADA</v>
      </c>
      <c r="G1132" s="2">
        <v>157.25</v>
      </c>
      <c r="H1132" t="str">
        <f>"A8041039 - K. BISHOP"</f>
        <v>A8041039 - K. BISHOP</v>
      </c>
    </row>
    <row r="1133" spans="1:8" x14ac:dyDescent="0.25">
      <c r="E1133" t="str">
        <f>"1CO-3266-19"</f>
        <v>1CO-3266-19</v>
      </c>
      <c r="F1133" t="str">
        <f>"A8286589 - K. WARREN"</f>
        <v>A8286589 - K. WARREN</v>
      </c>
      <c r="G1133" s="2">
        <v>114.75</v>
      </c>
      <c r="H1133" t="str">
        <f>"A8286589 - T. STOIKES"</f>
        <v>A8286589 - T. STOIKES</v>
      </c>
    </row>
    <row r="1134" spans="1:8" x14ac:dyDescent="0.25">
      <c r="E1134" t="str">
        <f>"20-0041J4"</f>
        <v>20-0041J4</v>
      </c>
      <c r="F1134" t="str">
        <f>"A8328446 - R. SESSIONS"</f>
        <v>A8328446 - R. SESSIONS</v>
      </c>
      <c r="G1134" s="2">
        <v>85.75</v>
      </c>
      <c r="H1134" t="str">
        <f>"A8328446 - R. SESSIONS"</f>
        <v>A8328446 - R. SESSIONS</v>
      </c>
    </row>
    <row r="1135" spans="1:8" x14ac:dyDescent="0.25">
      <c r="E1135" t="str">
        <f>"20-0534J4"</f>
        <v>20-0534J4</v>
      </c>
      <c r="F1135" t="str">
        <f>"A8329815 - G. A. TORRES"</f>
        <v>A8329815 - G. A. TORRES</v>
      </c>
      <c r="G1135" s="2">
        <v>119.75</v>
      </c>
      <c r="H1135" t="str">
        <f>"A8329815 - G. A. TORRES"</f>
        <v>A8329815 - G. A. TORRES</v>
      </c>
    </row>
    <row r="1136" spans="1:8" x14ac:dyDescent="0.25">
      <c r="E1136" t="str">
        <f>"J2-24911"</f>
        <v>J2-24911</v>
      </c>
      <c r="F1136" t="str">
        <f>"A1036401 - J. CAVAZOS  JR"</f>
        <v>A1036401 - J. CAVAZOS  JR</v>
      </c>
      <c r="G1136" s="2">
        <v>80.75</v>
      </c>
      <c r="H1136" t="str">
        <f>"A1036401 - J. CAVAZOS  JR"</f>
        <v>A1036401 - J. CAVAZOS  JR</v>
      </c>
    </row>
    <row r="1137" spans="5:8" x14ac:dyDescent="0.25">
      <c r="E1137" t="str">
        <f>"J2-38459"</f>
        <v>J2-38459</v>
      </c>
      <c r="F1137" t="str">
        <f>"A8017070 - J.L. SCHNEIDER"</f>
        <v>A8017070 - J.L. SCHNEIDER</v>
      </c>
      <c r="G1137" s="2">
        <v>114.75</v>
      </c>
      <c r="H1137" t="str">
        <f>"A8017070 - J.L. SCHNEIDER"</f>
        <v>A8017070 - J.L. SCHNEIDER</v>
      </c>
    </row>
    <row r="1138" spans="5:8" x14ac:dyDescent="0.25">
      <c r="E1138" t="str">
        <f>"J2-47406"</f>
        <v>J2-47406</v>
      </c>
      <c r="F1138" t="str">
        <f>"A8210915 - S.K. WELDON"</f>
        <v>A8210915 - S.K. WELDON</v>
      </c>
      <c r="G1138" s="2">
        <v>114.75</v>
      </c>
      <c r="H1138" t="str">
        <f>"A8210915 - S.K. WELDON"</f>
        <v>A8210915 - S.K. WELDON</v>
      </c>
    </row>
    <row r="1139" spans="5:8" x14ac:dyDescent="0.25">
      <c r="E1139" t="str">
        <f>"J2-48918"</f>
        <v>J2-48918</v>
      </c>
      <c r="F1139" t="str">
        <f>"A8210932 - D.R. HAWKINS"</f>
        <v>A8210932 - D.R. HAWKINS</v>
      </c>
      <c r="G1139" s="2">
        <v>425</v>
      </c>
      <c r="H1139" t="str">
        <f>"A8210932 - D.R. HAWKINS"</f>
        <v>A8210932 - D.R. HAWKINS</v>
      </c>
    </row>
    <row r="1140" spans="5:8" x14ac:dyDescent="0.25">
      <c r="E1140" t="str">
        <f>"J2-49085"</f>
        <v>J2-49085</v>
      </c>
      <c r="F1140" t="str">
        <f>"A10640 - M.E. GAVARRETE"</f>
        <v>A10640 - M.E. GAVARRETE</v>
      </c>
      <c r="G1140" s="2">
        <v>81</v>
      </c>
      <c r="H1140" t="str">
        <f>"A10640 - M.E. GAVARRETE"</f>
        <v>A10640 - M.E. GAVARRETE</v>
      </c>
    </row>
    <row r="1141" spans="5:8" x14ac:dyDescent="0.25">
      <c r="E1141" t="str">
        <f>"J2-57193"</f>
        <v>J2-57193</v>
      </c>
      <c r="F1141" t="str">
        <f>"A8245823 - R.C. GONZALES"</f>
        <v>A8245823 - R.C. GONZALES</v>
      </c>
      <c r="G1141" s="2">
        <v>114.75</v>
      </c>
      <c r="H1141" t="str">
        <f>"J2-57193 - R.C. GONZALES"</f>
        <v>J2-57193 - R.C. GONZALES</v>
      </c>
    </row>
    <row r="1142" spans="5:8" x14ac:dyDescent="0.25">
      <c r="E1142" t="str">
        <f>"J2-63098"</f>
        <v>J2-63098</v>
      </c>
      <c r="F1142" t="str">
        <f>"A8303641 - L. GAMBOA"</f>
        <v>A8303641 - L. GAMBOA</v>
      </c>
      <c r="G1142" s="2">
        <v>114.75</v>
      </c>
      <c r="H1142" t="str">
        <f>"A8303641 - L. GAMBOA"</f>
        <v>A8303641 - L. GAMBOA</v>
      </c>
    </row>
    <row r="1143" spans="5:8" x14ac:dyDescent="0.25">
      <c r="E1143" t="str">
        <f>"J2-63761"</f>
        <v>J2-63761</v>
      </c>
      <c r="F1143" t="str">
        <f>"A8303660 - D. W. WILLARD"</f>
        <v>A8303660 - D. W. WILLARD</v>
      </c>
      <c r="G1143" s="2">
        <v>114.75</v>
      </c>
      <c r="H1143" t="str">
        <f>"A8303660 - D. WAYNE"</f>
        <v>A8303660 - D. WAYNE</v>
      </c>
    </row>
    <row r="1144" spans="5:8" x14ac:dyDescent="0.25">
      <c r="E1144" t="str">
        <f>"J2-64886"</f>
        <v>J2-64886</v>
      </c>
      <c r="F1144" t="str">
        <f>"A8270606 - E.J. GURROLA"</f>
        <v>A8270606 - E.J. GURROLA</v>
      </c>
      <c r="G1144" s="2">
        <v>114.75</v>
      </c>
      <c r="H1144" t="str">
        <f>"A8270606 - E.J. GURROLA"</f>
        <v>A8270606 - E.J. GURROLA</v>
      </c>
    </row>
    <row r="1145" spans="5:8" x14ac:dyDescent="0.25">
      <c r="E1145" t="str">
        <f>"J2-65683"</f>
        <v>J2-65683</v>
      </c>
      <c r="F1145" t="str">
        <f>"A8286585 - J.C. PHILLIPS"</f>
        <v>A8286585 - J.C. PHILLIPS</v>
      </c>
      <c r="G1145" s="2">
        <v>80.75</v>
      </c>
      <c r="H1145" t="str">
        <f>"A8286585 - J.C. PHILLIPS"</f>
        <v>A8286585 - J.C. PHILLIPS</v>
      </c>
    </row>
    <row r="1146" spans="5:8" x14ac:dyDescent="0.25">
      <c r="E1146" t="str">
        <f>"J2-67306"</f>
        <v>J2-67306</v>
      </c>
      <c r="F1146" t="str">
        <f>"A8329212 - R.A. GARZA"</f>
        <v>A8329212 - R.A. GARZA</v>
      </c>
      <c r="G1146" s="2">
        <v>157.25</v>
      </c>
      <c r="H1146" t="str">
        <f>"A8329212 - R.A. GARZA"</f>
        <v>A8329212 - R.A. GARZA</v>
      </c>
    </row>
    <row r="1147" spans="5:8" x14ac:dyDescent="0.25">
      <c r="E1147" t="str">
        <f>"J2-67668"</f>
        <v>J2-67668</v>
      </c>
      <c r="F1147" t="str">
        <f>"A8303712 - G.A. CRUZ"</f>
        <v>A8303712 - G.A. CRUZ</v>
      </c>
      <c r="G1147" s="2">
        <v>114.75</v>
      </c>
      <c r="H1147" t="str">
        <f>"A8303712 - G.A. CRUZ"</f>
        <v>A8303712 - G.A. CRUZ</v>
      </c>
    </row>
    <row r="1148" spans="5:8" x14ac:dyDescent="0.25">
      <c r="E1148" t="str">
        <f>"J2-67973"</f>
        <v>J2-67973</v>
      </c>
      <c r="F1148" t="str">
        <f>"A-13149 - S.C. DAMORA"</f>
        <v>A-13149 - S.C. DAMORA</v>
      </c>
      <c r="G1148" s="2">
        <v>81</v>
      </c>
      <c r="H1148" t="str">
        <f>"A-13149 - S.C. DAMORA"</f>
        <v>A-13149 - S.C. DAMORA</v>
      </c>
    </row>
    <row r="1149" spans="5:8" x14ac:dyDescent="0.25">
      <c r="E1149" t="str">
        <f>"J2-68004"</f>
        <v>J2-68004</v>
      </c>
      <c r="F1149" t="str">
        <f>"A8286516 - F.F. FRIEDEL"</f>
        <v>A8286516 - F.F. FRIEDEL</v>
      </c>
      <c r="G1149" s="2">
        <v>170</v>
      </c>
      <c r="H1149" t="str">
        <f>"A8286516 - F.F. FRIEDEL"</f>
        <v>A8286516 - F.F. FRIEDEL</v>
      </c>
    </row>
    <row r="1150" spans="5:8" x14ac:dyDescent="0.25">
      <c r="E1150" t="str">
        <f>"J2-68041"</f>
        <v>J2-68041</v>
      </c>
      <c r="F1150" t="str">
        <f>"A8322359 - K.M. HURTA"</f>
        <v>A8322359 - K.M. HURTA</v>
      </c>
      <c r="G1150" s="2">
        <v>114.75</v>
      </c>
      <c r="H1150" t="str">
        <f>"A8322359 - K.M. HURTA"</f>
        <v>A8322359 - K.M. HURTA</v>
      </c>
    </row>
    <row r="1151" spans="5:8" x14ac:dyDescent="0.25">
      <c r="E1151" t="str">
        <f>"J2-68042"</f>
        <v>J2-68042</v>
      </c>
      <c r="F1151" t="str">
        <f>"A8359802 - D.J. DAWSON"</f>
        <v>A8359802 - D.J. DAWSON</v>
      </c>
      <c r="G1151" s="2">
        <v>170</v>
      </c>
      <c r="H1151" t="str">
        <f>"A8359802 - D.J. DAWSON"</f>
        <v>A8359802 - D.J. DAWSON</v>
      </c>
    </row>
    <row r="1152" spans="5:8" x14ac:dyDescent="0.25">
      <c r="E1152" t="str">
        <f>"J2-68045"</f>
        <v>J2-68045</v>
      </c>
      <c r="F1152" t="str">
        <f>"A-16284 - D.E. TURNER"</f>
        <v>A-16284 - D.E. TURNER</v>
      </c>
      <c r="G1152" s="2">
        <v>81</v>
      </c>
      <c r="H1152" t="str">
        <f>"A-16284 - D.E. TURNER"</f>
        <v>A-16284 - D.E. TURNER</v>
      </c>
    </row>
    <row r="1153" spans="1:8" x14ac:dyDescent="0.25">
      <c r="E1153" t="str">
        <f>"J2-68065"</f>
        <v>J2-68065</v>
      </c>
      <c r="F1153" t="str">
        <f>"A-16287 - ELIZAR OLMEDO"</f>
        <v>A-16287 - ELIZAR OLMEDO</v>
      </c>
      <c r="G1153" s="2">
        <v>114.75</v>
      </c>
      <c r="H1153" t="str">
        <f>"A-16287 - ELIZAR OLMEDO"</f>
        <v>A-16287 - ELIZAR OLMEDO</v>
      </c>
    </row>
    <row r="1154" spans="1:8" x14ac:dyDescent="0.25">
      <c r="E1154" t="str">
        <f>"J2-68115"</f>
        <v>J2-68115</v>
      </c>
      <c r="F1154" t="str">
        <f>"A-12623 - S.P. MANZ"</f>
        <v>A-12623 - S.P. MANZ</v>
      </c>
      <c r="G1154" s="2">
        <v>81</v>
      </c>
      <c r="H1154" t="str">
        <f>"A-12623 - S.P. MANZ"</f>
        <v>A-12623 - S.P. MANZ</v>
      </c>
    </row>
    <row r="1155" spans="1:8" x14ac:dyDescent="0.25">
      <c r="E1155" t="str">
        <f>"J2-68121"</f>
        <v>J2-68121</v>
      </c>
      <c r="F1155" t="str">
        <f>"A12617 - A.M.K. JASO"</f>
        <v>A12617 - A.M.K. JASO</v>
      </c>
      <c r="G1155" s="2">
        <v>81</v>
      </c>
      <c r="H1155" t="str">
        <f>"A12617 - A.M.K. JASO"</f>
        <v>A12617 - A.M.K. JASO</v>
      </c>
    </row>
    <row r="1156" spans="1:8" x14ac:dyDescent="0.25">
      <c r="E1156" t="str">
        <f>"J2-68126"</f>
        <v>J2-68126</v>
      </c>
      <c r="F1156" t="str">
        <f>"A-12618 - T. BUTTS"</f>
        <v>A-12618 - T. BUTTS</v>
      </c>
      <c r="G1156" s="2">
        <v>81</v>
      </c>
      <c r="H1156" t="str">
        <f>"A-12618 - T. BUTTS"</f>
        <v>A-12618 - T. BUTTS</v>
      </c>
    </row>
    <row r="1157" spans="1:8" x14ac:dyDescent="0.25">
      <c r="E1157" t="str">
        <f>"J2-68143"</f>
        <v>J2-68143</v>
      </c>
      <c r="F1157" t="str">
        <f>"A8286542 - C.N. RUSSEL"</f>
        <v>A8286542 - C.N. RUSSEL</v>
      </c>
      <c r="G1157" s="2">
        <v>114.75</v>
      </c>
      <c r="H1157" t="str">
        <f>"A8286542 - C.N. RUSSEL"</f>
        <v>A8286542 - C.N. RUSSEL</v>
      </c>
    </row>
    <row r="1158" spans="1:8" x14ac:dyDescent="0.25">
      <c r="E1158" t="str">
        <f>"J2-68178"</f>
        <v>J2-68178</v>
      </c>
      <c r="F1158" t="str">
        <f>"TRANSPORT - K.G. MILLER"</f>
        <v>TRANSPORT - K.G. MILLER</v>
      </c>
      <c r="G1158" s="2">
        <v>114.75</v>
      </c>
      <c r="H1158" t="str">
        <f>"TRANSPORT - K.G. MILLER"</f>
        <v>TRANSPORT - K.G. MILLER</v>
      </c>
    </row>
    <row r="1159" spans="1:8" x14ac:dyDescent="0.25">
      <c r="E1159" t="str">
        <f>"J2-68181"</f>
        <v>J2-68181</v>
      </c>
      <c r="F1159" t="str">
        <f>"A-13150 - D.P. FORBERT"</f>
        <v>A-13150 - D.P. FORBERT</v>
      </c>
      <c r="G1159" s="2">
        <v>81</v>
      </c>
      <c r="H1159" t="str">
        <f>"A-13150 - D.P. FORBERT"</f>
        <v>A-13150 - D.P. FORBERT</v>
      </c>
    </row>
    <row r="1160" spans="1:8" x14ac:dyDescent="0.25">
      <c r="E1160" t="str">
        <f>"J2-68199"</f>
        <v>J2-68199</v>
      </c>
      <c r="F1160" t="str">
        <f>"A8286546 - G. CARMONA"</f>
        <v>A8286546 - G. CARMONA</v>
      </c>
      <c r="G1160" s="2">
        <v>157.25</v>
      </c>
      <c r="H1160" t="str">
        <f>"A8286546 - G. CARMONA"</f>
        <v>A8286546 - G. CARMONA</v>
      </c>
    </row>
    <row r="1161" spans="1:8" x14ac:dyDescent="0.25">
      <c r="A1161" t="s">
        <v>284</v>
      </c>
      <c r="B1161">
        <v>132560</v>
      </c>
      <c r="C1161" s="2">
        <v>851.9</v>
      </c>
      <c r="D1161" s="1">
        <v>44039</v>
      </c>
      <c r="E1161" t="str">
        <f>"1CO-2924-20"</f>
        <v>1CO-2924-20</v>
      </c>
      <c r="F1161" t="str">
        <f>"A8329846 - M. TYSON"</f>
        <v>A8329846 - M. TYSON</v>
      </c>
      <c r="G1161" s="2">
        <v>81</v>
      </c>
      <c r="H1161" t="str">
        <f>"A8329846 - M. TYSON"</f>
        <v>A8329846 - M. TYSON</v>
      </c>
    </row>
    <row r="1162" spans="1:8" x14ac:dyDescent="0.25">
      <c r="E1162" t="str">
        <f>"1CO-3637-19"</f>
        <v>1CO-3637-19</v>
      </c>
      <c r="F1162" t="str">
        <f>"A8286490 - M. HOMESLEY"</f>
        <v>A8286490 - M. HOMESLEY</v>
      </c>
      <c r="G1162" s="2">
        <v>114.75</v>
      </c>
      <c r="H1162" t="str">
        <f>"A8286490 - M. HOMESLEY"</f>
        <v>A8286490 - M. HOMESLEY</v>
      </c>
    </row>
    <row r="1163" spans="1:8" x14ac:dyDescent="0.25">
      <c r="E1163" t="str">
        <f>"J2-67609"</f>
        <v>J2-67609</v>
      </c>
      <c r="F1163" t="str">
        <f>"A8303710 - J.D. VARA"</f>
        <v>A8303710 - J.D. VARA</v>
      </c>
      <c r="G1163" s="2">
        <v>114.75</v>
      </c>
      <c r="H1163" t="str">
        <f>"A8303710 - J.D. VARA"</f>
        <v>A8303710 - J.D. VARA</v>
      </c>
    </row>
    <row r="1164" spans="1:8" x14ac:dyDescent="0.25">
      <c r="E1164" t="str">
        <f>"J2-68210"</f>
        <v>J2-68210</v>
      </c>
      <c r="F1164" t="str">
        <f>"A-13202 - Y. JORGE"</f>
        <v>A-13202 - Y. JORGE</v>
      </c>
      <c r="G1164" s="2">
        <v>81</v>
      </c>
      <c r="H1164" t="str">
        <f>"A-13202 - Y. JORGE"</f>
        <v>A-13202 - Y. JORGE</v>
      </c>
    </row>
    <row r="1165" spans="1:8" x14ac:dyDescent="0.25">
      <c r="E1165" t="str">
        <f>"J2-68215"</f>
        <v>J2-68215</v>
      </c>
      <c r="F1165" t="str">
        <f>"A-12594 - B. REMINGTON"</f>
        <v>A-12594 - B. REMINGTON</v>
      </c>
      <c r="G1165" s="2">
        <v>81</v>
      </c>
      <c r="H1165" t="str">
        <f>"A-12594 - B. REMINGTON"</f>
        <v>A-12594 - B. REMINGTON</v>
      </c>
    </row>
    <row r="1166" spans="1:8" x14ac:dyDescent="0.25">
      <c r="E1166" t="str">
        <f>"J2-68218"</f>
        <v>J2-68218</v>
      </c>
      <c r="F1166" t="str">
        <f>"A-12593 - M. CRAFT"</f>
        <v>A-12593 - M. CRAFT</v>
      </c>
      <c r="G1166" s="2">
        <v>81</v>
      </c>
      <c r="H1166" t="str">
        <f>"A-12593 - M. CRAFT"</f>
        <v>A-12593 - M. CRAFT</v>
      </c>
    </row>
    <row r="1167" spans="1:8" x14ac:dyDescent="0.25">
      <c r="E1167" t="str">
        <f>"J2-68240"</f>
        <v>J2-68240</v>
      </c>
      <c r="F1167" t="str">
        <f>"A-12503 - G GARZA"</f>
        <v>A-12503 - G GARZA</v>
      </c>
      <c r="G1167" s="2">
        <v>128.4</v>
      </c>
      <c r="H1167" t="str">
        <f>"A-12503 - G GARZA"</f>
        <v>A-12503 - G GARZA</v>
      </c>
    </row>
    <row r="1168" spans="1:8" x14ac:dyDescent="0.25">
      <c r="E1168" t="str">
        <f>"J2-68292"</f>
        <v>J2-68292</v>
      </c>
      <c r="F1168" t="str">
        <f>"A-16290 - M MEANULTY"</f>
        <v>A-16290 - M MEANULTY</v>
      </c>
      <c r="G1168" s="2">
        <v>170</v>
      </c>
      <c r="H1168" t="str">
        <f>"A-16290 - M MEANULTY"</f>
        <v>A-16290 - M MEANULTY</v>
      </c>
    </row>
    <row r="1169" spans="1:8" x14ac:dyDescent="0.25">
      <c r="A1169" t="s">
        <v>285</v>
      </c>
      <c r="B1169">
        <v>132447</v>
      </c>
      <c r="C1169" s="2">
        <v>1916</v>
      </c>
      <c r="D1169" s="1">
        <v>44025</v>
      </c>
      <c r="E1169" t="str">
        <f>"164673"</f>
        <v>164673</v>
      </c>
      <c r="F1169" t="str">
        <f>"ACCT#188757/RD&amp; BRIDGE/SIGN SH"</f>
        <v>ACCT#188757/RD&amp; BRIDGE/SIGN SH</v>
      </c>
      <c r="G1169" s="2">
        <v>95</v>
      </c>
      <c r="H1169" t="str">
        <f>"ACCT#188757/RD&amp; BRIDGE/SIGN SH"</f>
        <v>ACCT#188757/RD&amp; BRIDGE/SIGN SH</v>
      </c>
    </row>
    <row r="1170" spans="1:8" x14ac:dyDescent="0.25">
      <c r="E1170" t="str">
        <f>"164678"</f>
        <v>164678</v>
      </c>
      <c r="F1170" t="str">
        <f>"ACCT#188757/JUVENILE BOOT CAMP"</f>
        <v>ACCT#188757/JUVENILE BOOT CAMP</v>
      </c>
      <c r="G1170" s="2">
        <v>118.5</v>
      </c>
      <c r="H1170" t="str">
        <f>"ACCT#188757/JUVENILE BOOT CAMP"</f>
        <v>ACCT#188757/JUVENILE BOOT CAMP</v>
      </c>
    </row>
    <row r="1171" spans="1:8" x14ac:dyDescent="0.25">
      <c r="E1171" t="str">
        <f>"164753"</f>
        <v>164753</v>
      </c>
      <c r="F1171" t="str">
        <f>"ACCT#188757/MIKE FISHER BLDG"</f>
        <v>ACCT#188757/MIKE FISHER BLDG</v>
      </c>
      <c r="G1171" s="2">
        <v>112</v>
      </c>
      <c r="H1171" t="str">
        <f>"ACCT#188757/MIKE FISHER BLDG"</f>
        <v>ACCT#188757/MIKE FISHER BLDG</v>
      </c>
    </row>
    <row r="1172" spans="1:8" x14ac:dyDescent="0.25">
      <c r="E1172" t="str">
        <f>"165299"</f>
        <v>165299</v>
      </c>
      <c r="F1172" t="str">
        <f>"ACCT#188757/TAX OFFICE"</f>
        <v>ACCT#188757/TAX OFFICE</v>
      </c>
      <c r="G1172" s="2">
        <v>102</v>
      </c>
      <c r="H1172" t="str">
        <f>"ACCT#188757/TAX OFFICE"</f>
        <v>ACCT#188757/TAX OFFICE</v>
      </c>
    </row>
    <row r="1173" spans="1:8" x14ac:dyDescent="0.25">
      <c r="E1173" t="str">
        <f>"165522"</f>
        <v>165522</v>
      </c>
      <c r="F1173" t="str">
        <f>"ACCT#188757/JUVENILE PROBATION"</f>
        <v>ACCT#188757/JUVENILE PROBATION</v>
      </c>
      <c r="G1173" s="2">
        <v>132</v>
      </c>
      <c r="H1173" t="str">
        <f>"ACCT#188757/JUVENILE PROBATION"</f>
        <v>ACCT#188757/JUVENILE PROBATION</v>
      </c>
    </row>
    <row r="1174" spans="1:8" x14ac:dyDescent="0.25">
      <c r="E1174" t="str">
        <f>"165543"</f>
        <v>165543</v>
      </c>
      <c r="F1174" t="str">
        <f>"ACCT#188757/COURTHOUSE"</f>
        <v>ACCT#188757/COURTHOUSE</v>
      </c>
      <c r="G1174" s="2">
        <v>137</v>
      </c>
      <c r="H1174" t="str">
        <f>"ACCT#188757/COURTHOUSE"</f>
        <v>ACCT#188757/COURTHOUSE</v>
      </c>
    </row>
    <row r="1175" spans="1:8" x14ac:dyDescent="0.25">
      <c r="E1175" t="str">
        <f>"165545"</f>
        <v>165545</v>
      </c>
      <c r="F1175" t="str">
        <f>"ACCT#188757/HISTORIC JAIL"</f>
        <v>ACCT#188757/HISTORIC JAIL</v>
      </c>
      <c r="G1175" s="2">
        <v>76</v>
      </c>
      <c r="H1175" t="str">
        <f>"ACCT#188757/HISTORIC JAIL"</f>
        <v>ACCT#188757/HISTORIC JAIL</v>
      </c>
    </row>
    <row r="1176" spans="1:8" x14ac:dyDescent="0.25">
      <c r="E1176" t="str">
        <f>"165552"</f>
        <v>165552</v>
      </c>
      <c r="F1176" t="str">
        <f>"ACCT#188757/EXT HABITAT OFFICE"</f>
        <v>ACCT#188757/EXT HABITAT OFFICE</v>
      </c>
      <c r="G1176" s="2">
        <v>89</v>
      </c>
      <c r="H1176" t="str">
        <f>"ACCT#188757/EXT HABITAT OFFICE"</f>
        <v>ACCT#188757/EXT HABITAT OFFICE</v>
      </c>
    </row>
    <row r="1177" spans="1:8" x14ac:dyDescent="0.25">
      <c r="E1177" t="str">
        <f>"165829"</f>
        <v>165829</v>
      </c>
      <c r="F1177" t="str">
        <f>"ACCT#188757/PCT#4 RD &amp; BRIDGE"</f>
        <v>ACCT#188757/PCT#4 RD &amp; BRIDGE</v>
      </c>
      <c r="G1177" s="2">
        <v>95.5</v>
      </c>
      <c r="H1177" t="str">
        <f>"ACCT#188757/PCT#4 RD &amp; BRIDGE"</f>
        <v>ACCT#188757/PCT#4 RD &amp; BRIDGE</v>
      </c>
    </row>
    <row r="1178" spans="1:8" x14ac:dyDescent="0.25">
      <c r="E1178" t="str">
        <f>"165837"</f>
        <v>165837</v>
      </c>
      <c r="F1178" t="str">
        <f>"ACCT#188757/LBJ BLDG/HLTH DPT"</f>
        <v>ACCT#188757/LBJ BLDG/HLTH DPT</v>
      </c>
      <c r="G1178" s="2">
        <v>69</v>
      </c>
      <c r="H1178" t="str">
        <f>"ACCT#188757/LBJ BLDG/HLTH DPT"</f>
        <v>ACCT#188757/LBJ BLDG/HLTH DPT</v>
      </c>
    </row>
    <row r="1179" spans="1:8" x14ac:dyDescent="0.25">
      <c r="E1179" t="str">
        <f>"165912"</f>
        <v>165912</v>
      </c>
      <c r="F1179" t="str">
        <f>"ACCT#188757/ANIMAL SHELTER"</f>
        <v>ACCT#188757/ANIMAL SHELTER</v>
      </c>
      <c r="G1179" s="2">
        <v>290</v>
      </c>
      <c r="H1179" t="str">
        <f>"ACCT#188757/ANIMAL SHELTER"</f>
        <v>ACCT#188757/ANIMAL SHELTER</v>
      </c>
    </row>
    <row r="1180" spans="1:8" x14ac:dyDescent="0.25">
      <c r="E1180" t="str">
        <f>"202007067644"</f>
        <v>202007067644</v>
      </c>
      <c r="F1180" t="str">
        <f>"ACCT#188757/COURTHOUSE"</f>
        <v>ACCT#188757/COURTHOUSE</v>
      </c>
      <c r="G1180" s="2">
        <v>600</v>
      </c>
      <c r="H1180" t="str">
        <f>"ACCT#188757/COURTHOUSE"</f>
        <v>ACCT#188757/COURTHOUSE</v>
      </c>
    </row>
    <row r="1181" spans="1:8" x14ac:dyDescent="0.25">
      <c r="A1181" t="s">
        <v>285</v>
      </c>
      <c r="B1181">
        <v>132561</v>
      </c>
      <c r="C1181" s="2">
        <v>408</v>
      </c>
      <c r="D1181" s="1">
        <v>44039</v>
      </c>
      <c r="E1181" t="str">
        <f>"169300"</f>
        <v>169300</v>
      </c>
      <c r="F1181" t="str">
        <f>"ACCT#188757/CEDAR CREEK PARK"</f>
        <v>ACCT#188757/CEDAR CREEK PARK</v>
      </c>
      <c r="G1181" s="2">
        <v>125</v>
      </c>
      <c r="H1181" t="str">
        <f>"ACCT#188757/CEDAR CREEK PARK"</f>
        <v>ACCT#188757/CEDAR CREEK PARK</v>
      </c>
    </row>
    <row r="1182" spans="1:8" x14ac:dyDescent="0.25">
      <c r="E1182" t="str">
        <f>"169514"</f>
        <v>169514</v>
      </c>
      <c r="F1182" t="str">
        <f>"ACCT#188757/DPS/TDL"</f>
        <v>ACCT#188757/DPS/TDL</v>
      </c>
      <c r="G1182" s="2">
        <v>76</v>
      </c>
      <c r="H1182" t="str">
        <f>"ACCT#188757/DPS/TDL"</f>
        <v>ACCT#188757/DPS/TDL</v>
      </c>
    </row>
    <row r="1183" spans="1:8" x14ac:dyDescent="0.25">
      <c r="E1183" t="str">
        <f>"169863"</f>
        <v>169863</v>
      </c>
      <c r="F1183" t="str">
        <f>"ACCT#188757/JP 3 TAX OFFICE"</f>
        <v>ACCT#188757/JP 3 TAX OFFICE</v>
      </c>
      <c r="G1183" s="2">
        <v>95</v>
      </c>
      <c r="H1183" t="str">
        <f>"ACCT#188757/JP 3 TAX OFFICE"</f>
        <v>ACCT#188757/JP 3 TAX OFFICE</v>
      </c>
    </row>
    <row r="1184" spans="1:8" x14ac:dyDescent="0.25">
      <c r="E1184" t="str">
        <f>"170059"</f>
        <v>170059</v>
      </c>
      <c r="F1184" t="str">
        <f>"ACCT#188757/MIKE FISHER BLDG"</f>
        <v>ACCT#188757/MIKE FISHER BLDG</v>
      </c>
      <c r="G1184" s="2">
        <v>112</v>
      </c>
      <c r="H1184" t="str">
        <f>"ACCT#188757/MIKE FISHER BLDG"</f>
        <v>ACCT#188757/MIKE FISHER BLDG</v>
      </c>
    </row>
    <row r="1185" spans="1:8" x14ac:dyDescent="0.25">
      <c r="A1185" t="s">
        <v>286</v>
      </c>
      <c r="B1185">
        <v>2804</v>
      </c>
      <c r="C1185" s="2">
        <v>250</v>
      </c>
      <c r="D1185" s="1">
        <v>44026</v>
      </c>
      <c r="E1185" t="str">
        <f>"202007087824"</f>
        <v>202007087824</v>
      </c>
      <c r="F1185" t="str">
        <f>"55 046"</f>
        <v>55 046</v>
      </c>
      <c r="G1185" s="2">
        <v>250</v>
      </c>
      <c r="H1185" t="str">
        <f>"55 046"</f>
        <v>55 046</v>
      </c>
    </row>
    <row r="1186" spans="1:8" x14ac:dyDescent="0.25">
      <c r="A1186" t="s">
        <v>287</v>
      </c>
      <c r="B1186">
        <v>2793</v>
      </c>
      <c r="C1186" s="2">
        <v>1200</v>
      </c>
      <c r="D1186" s="1">
        <v>44026</v>
      </c>
      <c r="E1186" t="str">
        <f>"202006237370"</f>
        <v>202006237370</v>
      </c>
      <c r="F1186" t="str">
        <f>"423-7300  43791642"</f>
        <v>423-7300  43791642</v>
      </c>
      <c r="G1186" s="2">
        <v>100</v>
      </c>
      <c r="H1186" t="str">
        <f>"423-7300  43791642"</f>
        <v>423-7300  43791642</v>
      </c>
    </row>
    <row r="1187" spans="1:8" x14ac:dyDescent="0.25">
      <c r="E1187" t="str">
        <f>"202006237371"</f>
        <v>202006237371</v>
      </c>
      <c r="F1187" t="str">
        <f>"1540-21  1545-335"</f>
        <v>1540-21  1545-335</v>
      </c>
      <c r="G1187" s="2">
        <v>200</v>
      </c>
      <c r="H1187" t="str">
        <f>"1540-21  1545-335"</f>
        <v>1540-21  1545-335</v>
      </c>
    </row>
    <row r="1188" spans="1:8" x14ac:dyDescent="0.25">
      <c r="E1188" t="str">
        <f>"202006237373"</f>
        <v>202006237373</v>
      </c>
      <c r="F1188" t="str">
        <f>"NO CAUSE # LISTED"</f>
        <v>NO CAUSE # LISTED</v>
      </c>
      <c r="G1188" s="2">
        <v>400</v>
      </c>
      <c r="H1188" t="str">
        <f>"NO CAUSE # LISTED"</f>
        <v>NO CAUSE # LISTED</v>
      </c>
    </row>
    <row r="1189" spans="1:8" x14ac:dyDescent="0.25">
      <c r="E1189" t="str">
        <f>"202006307478"</f>
        <v>202006307478</v>
      </c>
      <c r="F1189" t="str">
        <f>"JP102052020A"</f>
        <v>JP102052020A</v>
      </c>
      <c r="G1189" s="2">
        <v>250</v>
      </c>
      <c r="H1189" t="str">
        <f>"JP102052020A"</f>
        <v>JP102052020A</v>
      </c>
    </row>
    <row r="1190" spans="1:8" x14ac:dyDescent="0.25">
      <c r="E1190" t="str">
        <f>"202006307479"</f>
        <v>202006307479</v>
      </c>
      <c r="F1190" t="str">
        <f>"31211201818"</f>
        <v>31211201818</v>
      </c>
      <c r="G1190" s="2">
        <v>250</v>
      </c>
      <c r="H1190" t="str">
        <f>"31211201818"</f>
        <v>31211201818</v>
      </c>
    </row>
    <row r="1191" spans="1:8" x14ac:dyDescent="0.25">
      <c r="A1191" t="s">
        <v>287</v>
      </c>
      <c r="B1191">
        <v>2876</v>
      </c>
      <c r="C1191" s="2">
        <v>3100</v>
      </c>
      <c r="D1191" s="1">
        <v>44040</v>
      </c>
      <c r="E1191" t="str">
        <f>"202007177905"</f>
        <v>202007177905</v>
      </c>
      <c r="F1191" t="str">
        <f>"1513-335"</f>
        <v>1513-335</v>
      </c>
      <c r="G1191" s="2">
        <v>225</v>
      </c>
      <c r="H1191" t="str">
        <f>"1513-335"</f>
        <v>1513-335</v>
      </c>
    </row>
    <row r="1192" spans="1:8" x14ac:dyDescent="0.25">
      <c r="E1192" t="str">
        <f>"202007177906"</f>
        <v>202007177906</v>
      </c>
      <c r="F1192" t="str">
        <f>"16 755"</f>
        <v>16 755</v>
      </c>
      <c r="G1192" s="2">
        <v>300</v>
      </c>
      <c r="H1192" t="str">
        <f>"16 755"</f>
        <v>16 755</v>
      </c>
    </row>
    <row r="1193" spans="1:8" x14ac:dyDescent="0.25">
      <c r="E1193" t="str">
        <f>"202007177907"</f>
        <v>202007177907</v>
      </c>
      <c r="F1193" t="str">
        <f>"16 952"</f>
        <v>16 952</v>
      </c>
      <c r="G1193" s="2">
        <v>800</v>
      </c>
      <c r="H1193" t="str">
        <f>"16 952"</f>
        <v>16 952</v>
      </c>
    </row>
    <row r="1194" spans="1:8" x14ac:dyDescent="0.25">
      <c r="E1194" t="str">
        <f>"202007177908"</f>
        <v>202007177908</v>
      </c>
      <c r="F1194" t="str">
        <f>"17 152"</f>
        <v>17 152</v>
      </c>
      <c r="G1194" s="2">
        <v>900</v>
      </c>
      <c r="H1194" t="str">
        <f>"17 152"</f>
        <v>17 152</v>
      </c>
    </row>
    <row r="1195" spans="1:8" x14ac:dyDescent="0.25">
      <c r="E1195" t="str">
        <f>"202007177932"</f>
        <v>202007177932</v>
      </c>
      <c r="F1195" t="str">
        <f>"20-20259"</f>
        <v>20-20259</v>
      </c>
      <c r="G1195" s="2">
        <v>175</v>
      </c>
      <c r="H1195" t="str">
        <f>"20-20259"</f>
        <v>20-20259</v>
      </c>
    </row>
    <row r="1196" spans="1:8" x14ac:dyDescent="0.25">
      <c r="E1196" t="str">
        <f>"202007177933"</f>
        <v>202007177933</v>
      </c>
      <c r="F1196" t="str">
        <f>"20-20030"</f>
        <v>20-20030</v>
      </c>
      <c r="G1196" s="2">
        <v>375</v>
      </c>
      <c r="H1196" t="str">
        <f>"20-20030"</f>
        <v>20-20030</v>
      </c>
    </row>
    <row r="1197" spans="1:8" x14ac:dyDescent="0.25">
      <c r="E1197" t="str">
        <f>"202007177934"</f>
        <v>202007177934</v>
      </c>
      <c r="F1197" t="str">
        <f>"19-19711"</f>
        <v>19-19711</v>
      </c>
      <c r="G1197" s="2">
        <v>75</v>
      </c>
      <c r="H1197" t="str">
        <f>"19-19711"</f>
        <v>19-19711</v>
      </c>
    </row>
    <row r="1198" spans="1:8" x14ac:dyDescent="0.25">
      <c r="E1198" t="str">
        <f>"202007177935"</f>
        <v>202007177935</v>
      </c>
      <c r="F1198" t="str">
        <f>"19-19638"</f>
        <v>19-19638</v>
      </c>
      <c r="G1198" s="2">
        <v>250</v>
      </c>
      <c r="H1198" t="str">
        <f>"19-19638"</f>
        <v>19-19638</v>
      </c>
    </row>
    <row r="1199" spans="1:8" x14ac:dyDescent="0.25">
      <c r="A1199" t="s">
        <v>288</v>
      </c>
      <c r="B1199">
        <v>132448</v>
      </c>
      <c r="C1199" s="2">
        <v>572</v>
      </c>
      <c r="D1199" s="1">
        <v>44025</v>
      </c>
      <c r="E1199" t="str">
        <f>"842553459"</f>
        <v>842553459</v>
      </c>
      <c r="F1199" t="str">
        <f>"ACCT#1000648597/WEST INFO CHRG"</f>
        <v>ACCT#1000648597/WEST INFO CHRG</v>
      </c>
      <c r="G1199" s="2">
        <v>572</v>
      </c>
      <c r="H1199" t="str">
        <f>"ACCT#1000648597/WEST INFO CHRG"</f>
        <v>ACCT#1000648597/WEST INFO CHRG</v>
      </c>
    </row>
    <row r="1200" spans="1:8" x14ac:dyDescent="0.25">
      <c r="A1200" t="s">
        <v>288</v>
      </c>
      <c r="B1200">
        <v>132562</v>
      </c>
      <c r="C1200" s="2">
        <v>952</v>
      </c>
      <c r="D1200" s="1">
        <v>44039</v>
      </c>
      <c r="E1200" t="str">
        <f>"842564499"</f>
        <v>842564499</v>
      </c>
      <c r="F1200" t="str">
        <f>"ACCT#1000310962/WEST INFO CHRG"</f>
        <v>ACCT#1000310962/WEST INFO CHRG</v>
      </c>
      <c r="G1200" s="2">
        <v>952</v>
      </c>
      <c r="H1200" t="str">
        <f>"ACCT#1000310962/WEST INFO CHRG"</f>
        <v>ACCT#1000310962/WEST INFO CHRG</v>
      </c>
    </row>
    <row r="1201" spans="1:8" x14ac:dyDescent="0.25">
      <c r="A1201" t="s">
        <v>289</v>
      </c>
      <c r="B1201">
        <v>132449</v>
      </c>
      <c r="C1201" s="2">
        <v>722.33</v>
      </c>
      <c r="D1201" s="1">
        <v>44025</v>
      </c>
      <c r="E1201" t="str">
        <f>"029852"</f>
        <v>029852</v>
      </c>
      <c r="F1201" t="str">
        <f>"Inv# 029852"</f>
        <v>Inv# 029852</v>
      </c>
      <c r="G1201" s="2">
        <v>722.33</v>
      </c>
      <c r="H1201" t="str">
        <f>"1.012-070.0"</f>
        <v>1.012-070.0</v>
      </c>
    </row>
    <row r="1202" spans="1:8" x14ac:dyDescent="0.25">
      <c r="E1202" t="str">
        <f>""</f>
        <v/>
      </c>
      <c r="F1202" t="str">
        <f>""</f>
        <v/>
      </c>
      <c r="H1202" t="str">
        <f>"TK-5300CS"</f>
        <v>TK-5300CS</v>
      </c>
    </row>
    <row r="1203" spans="1:8" x14ac:dyDescent="0.25">
      <c r="E1203" t="str">
        <f>""</f>
        <v/>
      </c>
      <c r="F1203" t="str">
        <f>""</f>
        <v/>
      </c>
      <c r="H1203" t="str">
        <f>"freight"</f>
        <v>freight</v>
      </c>
    </row>
    <row r="1204" spans="1:8" x14ac:dyDescent="0.25">
      <c r="A1204" t="s">
        <v>290</v>
      </c>
      <c r="B1204">
        <v>132450</v>
      </c>
      <c r="C1204" s="2">
        <v>207.42</v>
      </c>
      <c r="D1204" s="1">
        <v>44025</v>
      </c>
      <c r="E1204" t="str">
        <f>"100640740 20039515"</f>
        <v>100640740 20039515</v>
      </c>
      <c r="F1204" t="str">
        <f>"acct# 6035301200160982"</f>
        <v>acct# 6035301200160982</v>
      </c>
      <c r="G1204" s="2">
        <v>207.42</v>
      </c>
      <c r="H1204" t="str">
        <f>"inv# 100640819"</f>
        <v>inv# 100640819</v>
      </c>
    </row>
    <row r="1205" spans="1:8" x14ac:dyDescent="0.25">
      <c r="E1205" t="str">
        <f>""</f>
        <v/>
      </c>
      <c r="F1205" t="str">
        <f>""</f>
        <v/>
      </c>
      <c r="H1205" t="str">
        <f>"inv# 100640740"</f>
        <v>inv# 100640740</v>
      </c>
    </row>
    <row r="1206" spans="1:8" x14ac:dyDescent="0.25">
      <c r="E1206" t="str">
        <f>""</f>
        <v/>
      </c>
      <c r="F1206" t="str">
        <f>""</f>
        <v/>
      </c>
      <c r="H1206" t="str">
        <f>"inv#200395153"</f>
        <v>inv#200395153</v>
      </c>
    </row>
    <row r="1207" spans="1:8" x14ac:dyDescent="0.25">
      <c r="E1207" t="str">
        <f>""</f>
        <v/>
      </c>
      <c r="F1207" t="str">
        <f>""</f>
        <v/>
      </c>
      <c r="H1207" t="str">
        <f>"inv# 200655037"</f>
        <v>inv# 200655037</v>
      </c>
    </row>
    <row r="1208" spans="1:8" x14ac:dyDescent="0.25">
      <c r="A1208" t="s">
        <v>291</v>
      </c>
      <c r="B1208">
        <v>132451</v>
      </c>
      <c r="C1208" s="2">
        <v>3072</v>
      </c>
      <c r="D1208" s="1">
        <v>44025</v>
      </c>
      <c r="E1208" t="str">
        <f>"310888224"</f>
        <v>310888224</v>
      </c>
      <c r="F1208" t="str">
        <f>"ACCT#2843373/CT HOUSE ANNEX"</f>
        <v>ACCT#2843373/CT HOUSE ANNEX</v>
      </c>
      <c r="G1208" s="2">
        <v>3072</v>
      </c>
      <c r="H1208" t="str">
        <f>"ACCT#2843373/CT HOUSE ANNEX"</f>
        <v>ACCT#2843373/CT HOUSE ANNEX</v>
      </c>
    </row>
    <row r="1209" spans="1:8" x14ac:dyDescent="0.25">
      <c r="A1209" t="s">
        <v>292</v>
      </c>
      <c r="B1209">
        <v>132452</v>
      </c>
      <c r="C1209" s="2">
        <v>682</v>
      </c>
      <c r="D1209" s="1">
        <v>44025</v>
      </c>
      <c r="E1209" t="str">
        <f>"13072  05/28/20"</f>
        <v>13072  05/28/20</v>
      </c>
      <c r="F1209" t="str">
        <f>"SERVICE"</f>
        <v>SERVICE</v>
      </c>
      <c r="G1209" s="2">
        <v>522</v>
      </c>
      <c r="H1209" t="str">
        <f>"SERVICE"</f>
        <v>SERVICE</v>
      </c>
    </row>
    <row r="1210" spans="1:8" x14ac:dyDescent="0.25">
      <c r="E1210" t="str">
        <f>"13397"</f>
        <v>13397</v>
      </c>
      <c r="F1210" t="str">
        <f>"SERVICE"</f>
        <v>SERVICE</v>
      </c>
      <c r="G1210" s="2">
        <v>80</v>
      </c>
      <c r="H1210" t="str">
        <f>"SERVICE"</f>
        <v>SERVICE</v>
      </c>
    </row>
    <row r="1211" spans="1:8" x14ac:dyDescent="0.25">
      <c r="E1211" t="str">
        <f>"13410"</f>
        <v>13410</v>
      </c>
      <c r="F1211" t="str">
        <f>"SERVICE"</f>
        <v>SERVICE</v>
      </c>
      <c r="G1211" s="2">
        <v>80</v>
      </c>
      <c r="H1211" t="str">
        <f>"SERVICE"</f>
        <v>SERVICE</v>
      </c>
    </row>
    <row r="1212" spans="1:8" x14ac:dyDescent="0.25">
      <c r="A1212" t="s">
        <v>293</v>
      </c>
      <c r="B1212">
        <v>132453</v>
      </c>
      <c r="C1212" s="2">
        <v>232.78</v>
      </c>
      <c r="D1212" s="1">
        <v>44025</v>
      </c>
      <c r="E1212" t="str">
        <f>"202007077670"</f>
        <v>202007077670</v>
      </c>
      <c r="F1212" t="str">
        <f>"JAIL MEDICAL"</f>
        <v>JAIL MEDICAL</v>
      </c>
      <c r="G1212" s="2">
        <v>232.78</v>
      </c>
      <c r="H1212" t="str">
        <f>"JAIL MEDICAL"</f>
        <v>JAIL MEDICAL</v>
      </c>
    </row>
    <row r="1213" spans="1:8" x14ac:dyDescent="0.25">
      <c r="A1213" t="s">
        <v>294</v>
      </c>
      <c r="B1213">
        <v>132454</v>
      </c>
      <c r="C1213" s="2">
        <v>29000</v>
      </c>
      <c r="D1213" s="1">
        <v>44025</v>
      </c>
      <c r="E1213" t="str">
        <f>"3300003509"</f>
        <v>3300003509</v>
      </c>
      <c r="F1213" t="str">
        <f>"CUST#100011/INV#3300003509"</f>
        <v>CUST#100011/INV#3300003509</v>
      </c>
      <c r="G1213" s="2">
        <v>8700</v>
      </c>
      <c r="H1213" t="str">
        <f>"CUST#100011/INV#3300003509"</f>
        <v>CUST#100011/INV#3300003509</v>
      </c>
    </row>
    <row r="1214" spans="1:8" x14ac:dyDescent="0.25">
      <c r="E1214" t="str">
        <f>"3300003518"</f>
        <v>3300003518</v>
      </c>
      <c r="F1214" t="str">
        <f>"CUST#100009/INV#3300003518"</f>
        <v>CUST#100009/INV#3300003518</v>
      </c>
      <c r="G1214" s="2">
        <v>5800</v>
      </c>
      <c r="H1214" t="str">
        <f>"CUST#100009/INV#3300003518"</f>
        <v>CUST#100009/INV#3300003518</v>
      </c>
    </row>
    <row r="1215" spans="1:8" x14ac:dyDescent="0.25">
      <c r="E1215" t="str">
        <f>"3300003548"</f>
        <v>3300003548</v>
      </c>
      <c r="F1215" t="str">
        <f>"CUST#100733/INV#3300003548"</f>
        <v>CUST#100733/INV#3300003548</v>
      </c>
      <c r="G1215" s="2">
        <v>11600</v>
      </c>
      <c r="H1215" t="str">
        <f>"CUST#100733/INV#3300003548"</f>
        <v>CUST#100733/INV#3300003548</v>
      </c>
    </row>
    <row r="1216" spans="1:8" x14ac:dyDescent="0.25">
      <c r="E1216" t="str">
        <f>"3300003558"</f>
        <v>3300003558</v>
      </c>
      <c r="F1216" t="str">
        <f>"CUST#100010/INV#3300003558"</f>
        <v>CUST#100010/INV#3300003558</v>
      </c>
      <c r="G1216" s="2">
        <v>2900</v>
      </c>
      <c r="H1216" t="str">
        <f>"CUST#100010/INV#3300003558"</f>
        <v>CUST#100010/INV#3300003558</v>
      </c>
    </row>
    <row r="1217" spans="1:8" x14ac:dyDescent="0.25">
      <c r="A1217" t="s">
        <v>294</v>
      </c>
      <c r="B1217">
        <v>132563</v>
      </c>
      <c r="C1217" s="2">
        <v>20300</v>
      </c>
      <c r="D1217" s="1">
        <v>44039</v>
      </c>
      <c r="E1217" t="str">
        <f>"3300003577"</f>
        <v>3300003577</v>
      </c>
      <c r="F1217" t="str">
        <f>"CUST#100733/INV#33000003577"</f>
        <v>CUST#100733/INV#33000003577</v>
      </c>
      <c r="G1217" s="2">
        <v>5800</v>
      </c>
      <c r="H1217" t="str">
        <f>"CUST#100733/INV#33000003577"</f>
        <v>CUST#100733/INV#33000003577</v>
      </c>
    </row>
    <row r="1218" spans="1:8" x14ac:dyDescent="0.25">
      <c r="E1218" t="str">
        <f>"3300003581"</f>
        <v>3300003581</v>
      </c>
      <c r="F1218" t="str">
        <f>"CUST#1000009/INV#33000003581"</f>
        <v>CUST#1000009/INV#33000003581</v>
      </c>
      <c r="G1218" s="2">
        <v>5800</v>
      </c>
      <c r="H1218" t="str">
        <f>"CUST#1000009/INV#33000003581"</f>
        <v>CUST#1000009/INV#33000003581</v>
      </c>
    </row>
    <row r="1219" spans="1:8" x14ac:dyDescent="0.25">
      <c r="E1219" t="str">
        <f>"3300003599"</f>
        <v>3300003599</v>
      </c>
      <c r="F1219" t="str">
        <f>"CUST#100010/INV#3300003599"</f>
        <v>CUST#100010/INV#3300003599</v>
      </c>
      <c r="G1219" s="2">
        <v>8700</v>
      </c>
      <c r="H1219" t="str">
        <f>"CUST#100010/INV#3300003599"</f>
        <v>CUST#100010/INV#3300003599</v>
      </c>
    </row>
    <row r="1220" spans="1:8" x14ac:dyDescent="0.25">
      <c r="A1220" t="s">
        <v>295</v>
      </c>
      <c r="B1220">
        <v>2795</v>
      </c>
      <c r="C1220" s="2">
        <v>250.32</v>
      </c>
      <c r="D1220" s="1">
        <v>44026</v>
      </c>
      <c r="E1220" t="str">
        <f>"814016"</f>
        <v>814016</v>
      </c>
      <c r="F1220" t="str">
        <f>"INV 814016 / TRAILERS"</f>
        <v>INV 814016 / TRAILERS</v>
      </c>
      <c r="G1220" s="2">
        <v>250.32</v>
      </c>
      <c r="H1220" t="str">
        <f>"INV 814016/ TRAILERS"</f>
        <v>INV 814016/ TRAILERS</v>
      </c>
    </row>
    <row r="1221" spans="1:8" x14ac:dyDescent="0.25">
      <c r="A1221" t="s">
        <v>296</v>
      </c>
      <c r="B1221">
        <v>132564</v>
      </c>
      <c r="C1221" s="2">
        <v>180.56</v>
      </c>
      <c r="D1221" s="1">
        <v>44039</v>
      </c>
      <c r="E1221" t="str">
        <f>"202007217989"</f>
        <v>202007217989</v>
      </c>
      <c r="F1221" t="str">
        <f>"INDIGENT HEALTH"</f>
        <v>INDIGENT HEALTH</v>
      </c>
      <c r="G1221" s="2">
        <v>180.56</v>
      </c>
      <c r="H1221" t="str">
        <f>"INDIGENT HEALTH"</f>
        <v>INDIGENT HEALTH</v>
      </c>
    </row>
    <row r="1222" spans="1:8" x14ac:dyDescent="0.25">
      <c r="A1222" t="s">
        <v>297</v>
      </c>
      <c r="B1222">
        <v>132565</v>
      </c>
      <c r="C1222" s="2">
        <v>475</v>
      </c>
      <c r="D1222" s="1">
        <v>44039</v>
      </c>
      <c r="E1222" t="str">
        <f>"00005941"</f>
        <v>00005941</v>
      </c>
      <c r="F1222" t="str">
        <f>"JOB ID:AUS002983/CUST:BASTROPC"</f>
        <v>JOB ID:AUS002983/CUST:BASTROPC</v>
      </c>
      <c r="G1222" s="2">
        <v>475</v>
      </c>
      <c r="H1222" t="str">
        <f>"JOB ID:AUS002983/CUST:BASTROPC"</f>
        <v>JOB ID:AUS002983/CUST:BASTROPC</v>
      </c>
    </row>
    <row r="1223" spans="1:8" x14ac:dyDescent="0.25">
      <c r="A1223" t="s">
        <v>298</v>
      </c>
      <c r="B1223">
        <v>2858</v>
      </c>
      <c r="C1223" s="2">
        <v>200</v>
      </c>
      <c r="D1223" s="1">
        <v>44026</v>
      </c>
      <c r="E1223" t="str">
        <f>"202007027517"</f>
        <v>202007027517</v>
      </c>
      <c r="F1223" t="str">
        <f>"1550-21"</f>
        <v>1550-21</v>
      </c>
      <c r="G1223" s="2">
        <v>100</v>
      </c>
      <c r="H1223" t="str">
        <f>"1550-21"</f>
        <v>1550-21</v>
      </c>
    </row>
    <row r="1224" spans="1:8" x14ac:dyDescent="0.25">
      <c r="E1224" t="str">
        <f>"202007027518"</f>
        <v>202007027518</v>
      </c>
      <c r="F1224" t="str">
        <f>"1555-335"</f>
        <v>1555-335</v>
      </c>
      <c r="G1224" s="2">
        <v>100</v>
      </c>
      <c r="H1224" t="str">
        <f>"1555-335"</f>
        <v>1555-335</v>
      </c>
    </row>
    <row r="1225" spans="1:8" x14ac:dyDescent="0.25">
      <c r="A1225" t="s">
        <v>298</v>
      </c>
      <c r="B1225">
        <v>2927</v>
      </c>
      <c r="C1225" s="2">
        <v>600</v>
      </c>
      <c r="D1225" s="1">
        <v>44040</v>
      </c>
      <c r="E1225" t="str">
        <f>"202007157858"</f>
        <v>202007157858</v>
      </c>
      <c r="F1225" t="str">
        <f>"423-7325"</f>
        <v>423-7325</v>
      </c>
      <c r="G1225" s="2">
        <v>100</v>
      </c>
      <c r="H1225" t="str">
        <f>"423-7325"</f>
        <v>423-7325</v>
      </c>
    </row>
    <row r="1226" spans="1:8" x14ac:dyDescent="0.25">
      <c r="E1226" t="str">
        <f>"202007157860"</f>
        <v>202007157860</v>
      </c>
      <c r="F1226" t="str">
        <f>"311192019A"</f>
        <v>311192019A</v>
      </c>
      <c r="G1226" s="2">
        <v>400</v>
      </c>
      <c r="H1226" t="str">
        <f>"311192019A"</f>
        <v>311192019A</v>
      </c>
    </row>
    <row r="1227" spans="1:8" x14ac:dyDescent="0.25">
      <c r="E1227" t="str">
        <f>"202007228013"</f>
        <v>202007228013</v>
      </c>
      <c r="F1227" t="str">
        <f>"4042020-2"</f>
        <v>4042020-2</v>
      </c>
      <c r="G1227" s="2">
        <v>100</v>
      </c>
      <c r="H1227" t="str">
        <f>"4042020-2"</f>
        <v>4042020-2</v>
      </c>
    </row>
    <row r="1228" spans="1:8" x14ac:dyDescent="0.25">
      <c r="A1228" t="s">
        <v>299</v>
      </c>
      <c r="B1228">
        <v>2872</v>
      </c>
      <c r="C1228" s="2">
        <v>57</v>
      </c>
      <c r="D1228" s="1">
        <v>44040</v>
      </c>
      <c r="E1228" t="str">
        <f>"IV:20192:0524"</f>
        <v>IV:20192:0524</v>
      </c>
      <c r="F1228" t="str">
        <f>"REF#C201920507/ACCT#33036"</f>
        <v>REF#C201920507/ACCT#33036</v>
      </c>
      <c r="G1228" s="2">
        <v>57</v>
      </c>
      <c r="H1228" t="str">
        <f>"REF#C201920507/ACCT#33036"</f>
        <v>REF#C201920507/ACCT#33036</v>
      </c>
    </row>
    <row r="1229" spans="1:8" x14ac:dyDescent="0.25">
      <c r="A1229" t="s">
        <v>300</v>
      </c>
      <c r="B1229">
        <v>132455</v>
      </c>
      <c r="C1229" s="2">
        <v>3820.16</v>
      </c>
      <c r="D1229" s="1">
        <v>44025</v>
      </c>
      <c r="E1229" t="str">
        <f>"130-14586"</f>
        <v>130-14586</v>
      </c>
      <c r="F1229" t="str">
        <f>"CUST#42161/ORD#10539"</f>
        <v>CUST#42161/ORD#10539</v>
      </c>
      <c r="G1229" s="2">
        <v>3820.16</v>
      </c>
      <c r="H1229" t="str">
        <f>"CUST#42161/ORD#10539"</f>
        <v>CUST#42161/ORD#10539</v>
      </c>
    </row>
    <row r="1230" spans="1:8" x14ac:dyDescent="0.25">
      <c r="E1230" t="str">
        <f>""</f>
        <v/>
      </c>
      <c r="F1230" t="str">
        <f>""</f>
        <v/>
      </c>
      <c r="H1230" t="str">
        <f>"CUST#42161/ORD#10539"</f>
        <v>CUST#42161/ORD#10539</v>
      </c>
    </row>
    <row r="1231" spans="1:8" x14ac:dyDescent="0.25">
      <c r="A1231" t="s">
        <v>301</v>
      </c>
      <c r="B1231">
        <v>2790</v>
      </c>
      <c r="C1231" s="2">
        <v>1402.05</v>
      </c>
      <c r="D1231" s="1">
        <v>44026</v>
      </c>
      <c r="E1231" t="str">
        <f>"11029307"</f>
        <v>11029307</v>
      </c>
      <c r="F1231" t="str">
        <f>"ACCT#38052/PCT#4"</f>
        <v>ACCT#38052/PCT#4</v>
      </c>
      <c r="G1231" s="2">
        <v>-5.1100000000000003</v>
      </c>
      <c r="H1231" t="str">
        <f>"ACCT#38052/PCT#4"</f>
        <v>ACCT#38052/PCT#4</v>
      </c>
    </row>
    <row r="1232" spans="1:8" x14ac:dyDescent="0.25">
      <c r="E1232" t="str">
        <f>"11001240"</f>
        <v>11001240</v>
      </c>
      <c r="F1232" t="str">
        <f>"ACCT#38052/PURCHASING"</f>
        <v>ACCT#38052/PURCHASING</v>
      </c>
      <c r="G1232" s="2">
        <v>187.99</v>
      </c>
      <c r="H1232" t="str">
        <f>"ACCT#38052/PURCHASING"</f>
        <v>ACCT#38052/PURCHASING</v>
      </c>
    </row>
    <row r="1233" spans="1:8" x14ac:dyDescent="0.25">
      <c r="E1233" t="str">
        <f>"11034594"</f>
        <v>11034594</v>
      </c>
      <c r="F1233" t="str">
        <f>"ACCT#38052/PCT#4"</f>
        <v>ACCT#38052/PCT#4</v>
      </c>
      <c r="G1233" s="2">
        <v>666.11</v>
      </c>
      <c r="H1233" t="str">
        <f>"ACCT#38052/PCT#4"</f>
        <v>ACCT#38052/PCT#4</v>
      </c>
    </row>
    <row r="1234" spans="1:8" x14ac:dyDescent="0.25">
      <c r="E1234" t="str">
        <f>"11042980"</f>
        <v>11042980</v>
      </c>
      <c r="F1234" t="str">
        <f>"ACCT#38049/PCT#4"</f>
        <v>ACCT#38049/PCT#4</v>
      </c>
      <c r="G1234" s="2">
        <v>553.05999999999995</v>
      </c>
      <c r="H1234" t="str">
        <f>"ACCT#38049/PCT#4"</f>
        <v>ACCT#38049/PCT#4</v>
      </c>
    </row>
    <row r="1235" spans="1:8" x14ac:dyDescent="0.25">
      <c r="A1235" t="s">
        <v>302</v>
      </c>
      <c r="B1235">
        <v>2824</v>
      </c>
      <c r="C1235" s="2">
        <v>1400</v>
      </c>
      <c r="D1235" s="1">
        <v>44026</v>
      </c>
      <c r="E1235" t="str">
        <f>"177"</f>
        <v>177</v>
      </c>
      <c r="F1235" t="str">
        <f>"IT SERVICES"</f>
        <v>IT SERVICES</v>
      </c>
      <c r="G1235" s="2">
        <v>1400</v>
      </c>
      <c r="H1235" t="str">
        <f>"IT SERVICES"</f>
        <v>IT SERVICES</v>
      </c>
    </row>
    <row r="1236" spans="1:8" x14ac:dyDescent="0.25">
      <c r="A1236" t="s">
        <v>303</v>
      </c>
      <c r="B1236">
        <v>132456</v>
      </c>
      <c r="C1236" s="2">
        <v>566.5</v>
      </c>
      <c r="D1236" s="1">
        <v>44025</v>
      </c>
      <c r="E1236" t="str">
        <f>"0037009"</f>
        <v>0037009</v>
      </c>
      <c r="F1236" t="str">
        <f>"INV 0037009"</f>
        <v>INV 0037009</v>
      </c>
      <c r="G1236" s="2">
        <v>566.5</v>
      </c>
      <c r="H1236" t="str">
        <f>"INV 0037009"</f>
        <v>INV 0037009</v>
      </c>
    </row>
    <row r="1237" spans="1:8" x14ac:dyDescent="0.25">
      <c r="A1237" t="s">
        <v>304</v>
      </c>
      <c r="B1237">
        <v>132566</v>
      </c>
      <c r="C1237" s="2">
        <v>155.55000000000001</v>
      </c>
      <c r="D1237" s="1">
        <v>44039</v>
      </c>
      <c r="E1237" t="str">
        <f>"2011178"</f>
        <v>2011178</v>
      </c>
      <c r="F1237" t="str">
        <f>"ACCT#17460002268 003/JUNE 2020"</f>
        <v>ACCT#17460002268 003/JUNE 2020</v>
      </c>
      <c r="G1237" s="2">
        <v>155.55000000000001</v>
      </c>
      <c r="H1237" t="str">
        <f>"ACCT#17460002268 003/JUNE 2020"</f>
        <v>ACCT#17460002268 003/JUNE 2020</v>
      </c>
    </row>
    <row r="1238" spans="1:8" x14ac:dyDescent="0.25">
      <c r="A1238" t="s">
        <v>305</v>
      </c>
      <c r="B1238">
        <v>132457</v>
      </c>
      <c r="C1238" s="2">
        <v>31013.57</v>
      </c>
      <c r="D1238" s="1">
        <v>44025</v>
      </c>
      <c r="E1238" t="str">
        <f>"869395921"</f>
        <v>869395921</v>
      </c>
      <c r="F1238" t="str">
        <f>"acct# 869395921"</f>
        <v>acct# 869395921</v>
      </c>
      <c r="G1238" s="2">
        <v>31013.57</v>
      </c>
      <c r="H1238" t="str">
        <f>"fuel"</f>
        <v>fuel</v>
      </c>
    </row>
    <row r="1239" spans="1:8" x14ac:dyDescent="0.25">
      <c r="E1239" t="str">
        <f>""</f>
        <v/>
      </c>
      <c r="F1239" t="str">
        <f>""</f>
        <v/>
      </c>
      <c r="H1239" t="str">
        <f>"tax"</f>
        <v>tax</v>
      </c>
    </row>
    <row r="1240" spans="1:8" x14ac:dyDescent="0.25">
      <c r="E1240" t="str">
        <f>""</f>
        <v/>
      </c>
      <c r="F1240" t="str">
        <f>""</f>
        <v/>
      </c>
      <c r="H1240" t="str">
        <f>"fuel"</f>
        <v>fuel</v>
      </c>
    </row>
    <row r="1241" spans="1:8" x14ac:dyDescent="0.25">
      <c r="E1241" t="str">
        <f>""</f>
        <v/>
      </c>
      <c r="F1241" t="str">
        <f>""</f>
        <v/>
      </c>
      <c r="H1241" t="str">
        <f>"tax"</f>
        <v>tax</v>
      </c>
    </row>
    <row r="1242" spans="1:8" x14ac:dyDescent="0.25">
      <c r="E1242" t="str">
        <f>""</f>
        <v/>
      </c>
      <c r="F1242" t="str">
        <f>""</f>
        <v/>
      </c>
      <c r="H1242" t="str">
        <f>"maintenace"</f>
        <v>maintenace</v>
      </c>
    </row>
    <row r="1243" spans="1:8" x14ac:dyDescent="0.25">
      <c r="E1243" t="str">
        <f>""</f>
        <v/>
      </c>
      <c r="F1243" t="str">
        <f>""</f>
        <v/>
      </c>
      <c r="H1243" t="str">
        <f>"fuel"</f>
        <v>fuel</v>
      </c>
    </row>
    <row r="1244" spans="1:8" x14ac:dyDescent="0.25">
      <c r="E1244" t="str">
        <f>""</f>
        <v/>
      </c>
      <c r="F1244" t="str">
        <f>""</f>
        <v/>
      </c>
      <c r="H1244" t="str">
        <f>"tax"</f>
        <v>tax</v>
      </c>
    </row>
    <row r="1245" spans="1:8" x14ac:dyDescent="0.25">
      <c r="E1245" t="str">
        <f>""</f>
        <v/>
      </c>
      <c r="F1245" t="str">
        <f>""</f>
        <v/>
      </c>
      <c r="H1245" t="str">
        <f>"fuel"</f>
        <v>fuel</v>
      </c>
    </row>
    <row r="1246" spans="1:8" x14ac:dyDescent="0.25">
      <c r="E1246" t="str">
        <f>""</f>
        <v/>
      </c>
      <c r="F1246" t="str">
        <f>""</f>
        <v/>
      </c>
      <c r="H1246" t="str">
        <f>"tax"</f>
        <v>tax</v>
      </c>
    </row>
    <row r="1247" spans="1:8" x14ac:dyDescent="0.25">
      <c r="E1247" t="str">
        <f>""</f>
        <v/>
      </c>
      <c r="F1247" t="str">
        <f>""</f>
        <v/>
      </c>
      <c r="H1247" t="str">
        <f>"maintenace"</f>
        <v>maintenace</v>
      </c>
    </row>
    <row r="1248" spans="1:8" x14ac:dyDescent="0.25">
      <c r="E1248" t="str">
        <f>""</f>
        <v/>
      </c>
      <c r="F1248" t="str">
        <f>""</f>
        <v/>
      </c>
      <c r="H1248" t="str">
        <f>"fuel"</f>
        <v>fuel</v>
      </c>
    </row>
    <row r="1249" spans="1:8" x14ac:dyDescent="0.25">
      <c r="E1249" t="str">
        <f>""</f>
        <v/>
      </c>
      <c r="F1249" t="str">
        <f>""</f>
        <v/>
      </c>
      <c r="H1249" t="str">
        <f>"tax"</f>
        <v>tax</v>
      </c>
    </row>
    <row r="1250" spans="1:8" x14ac:dyDescent="0.25">
      <c r="E1250" t="str">
        <f>""</f>
        <v/>
      </c>
      <c r="F1250" t="str">
        <f>""</f>
        <v/>
      </c>
      <c r="H1250" t="str">
        <f>"maintenance"</f>
        <v>maintenance</v>
      </c>
    </row>
    <row r="1251" spans="1:8" x14ac:dyDescent="0.25">
      <c r="E1251" t="str">
        <f>""</f>
        <v/>
      </c>
      <c r="F1251" t="str">
        <f>""</f>
        <v/>
      </c>
      <c r="H1251" t="str">
        <f>"fuel"</f>
        <v>fuel</v>
      </c>
    </row>
    <row r="1252" spans="1:8" x14ac:dyDescent="0.25">
      <c r="E1252" t="str">
        <f>""</f>
        <v/>
      </c>
      <c r="F1252" t="str">
        <f>""</f>
        <v/>
      </c>
      <c r="H1252" t="str">
        <f>"maintenace"</f>
        <v>maintenace</v>
      </c>
    </row>
    <row r="1253" spans="1:8" x14ac:dyDescent="0.25">
      <c r="E1253" t="str">
        <f>""</f>
        <v/>
      </c>
      <c r="F1253" t="str">
        <f>""</f>
        <v/>
      </c>
      <c r="H1253" t="str">
        <f>"Fuel"</f>
        <v>Fuel</v>
      </c>
    </row>
    <row r="1254" spans="1:8" x14ac:dyDescent="0.25">
      <c r="E1254" t="str">
        <f>""</f>
        <v/>
      </c>
      <c r="F1254" t="str">
        <f>""</f>
        <v/>
      </c>
      <c r="H1254" t="str">
        <f>"tax"</f>
        <v>tax</v>
      </c>
    </row>
    <row r="1255" spans="1:8" x14ac:dyDescent="0.25">
      <c r="E1255" t="str">
        <f>""</f>
        <v/>
      </c>
      <c r="F1255" t="str">
        <f>""</f>
        <v/>
      </c>
      <c r="H1255" t="str">
        <f>"fuel"</f>
        <v>fuel</v>
      </c>
    </row>
    <row r="1256" spans="1:8" x14ac:dyDescent="0.25">
      <c r="E1256" t="str">
        <f>""</f>
        <v/>
      </c>
      <c r="F1256" t="str">
        <f>""</f>
        <v/>
      </c>
      <c r="H1256" t="str">
        <f>"tax"</f>
        <v>tax</v>
      </c>
    </row>
    <row r="1257" spans="1:8" x14ac:dyDescent="0.25">
      <c r="E1257" t="str">
        <f>""</f>
        <v/>
      </c>
      <c r="F1257" t="str">
        <f>""</f>
        <v/>
      </c>
      <c r="H1257" t="str">
        <f>"maintenace"</f>
        <v>maintenace</v>
      </c>
    </row>
    <row r="1258" spans="1:8" x14ac:dyDescent="0.25">
      <c r="E1258" t="str">
        <f>""</f>
        <v/>
      </c>
      <c r="F1258" t="str">
        <f>""</f>
        <v/>
      </c>
      <c r="H1258" t="str">
        <f>"fuel"</f>
        <v>fuel</v>
      </c>
    </row>
    <row r="1259" spans="1:8" x14ac:dyDescent="0.25">
      <c r="E1259" t="str">
        <f>""</f>
        <v/>
      </c>
      <c r="F1259" t="str">
        <f>""</f>
        <v/>
      </c>
      <c r="H1259" t="str">
        <f>"tax"</f>
        <v>tax</v>
      </c>
    </row>
    <row r="1260" spans="1:8" x14ac:dyDescent="0.25">
      <c r="E1260" t="str">
        <f>""</f>
        <v/>
      </c>
      <c r="F1260" t="str">
        <f>""</f>
        <v/>
      </c>
      <c r="H1260" t="str">
        <f>"maintenance"</f>
        <v>maintenance</v>
      </c>
    </row>
    <row r="1261" spans="1:8" x14ac:dyDescent="0.25">
      <c r="E1261" t="str">
        <f>""</f>
        <v/>
      </c>
      <c r="F1261" t="str">
        <f>""</f>
        <v/>
      </c>
      <c r="H1261" t="str">
        <f>"fuel"</f>
        <v>fuel</v>
      </c>
    </row>
    <row r="1262" spans="1:8" x14ac:dyDescent="0.25">
      <c r="E1262" t="str">
        <f>""</f>
        <v/>
      </c>
      <c r="F1262" t="str">
        <f>""</f>
        <v/>
      </c>
      <c r="H1262" t="str">
        <f>"tax"</f>
        <v>tax</v>
      </c>
    </row>
    <row r="1263" spans="1:8" x14ac:dyDescent="0.25">
      <c r="E1263" t="str">
        <f>""</f>
        <v/>
      </c>
      <c r="F1263" t="str">
        <f>""</f>
        <v/>
      </c>
      <c r="H1263" t="str">
        <f>"maintenace"</f>
        <v>maintenace</v>
      </c>
    </row>
    <row r="1264" spans="1:8" x14ac:dyDescent="0.25">
      <c r="A1264" t="s">
        <v>306</v>
      </c>
      <c r="B1264">
        <v>132458</v>
      </c>
      <c r="C1264" s="2">
        <v>90</v>
      </c>
      <c r="D1264" s="1">
        <v>44025</v>
      </c>
      <c r="E1264" t="str">
        <f>"10325316"</f>
        <v>10325316</v>
      </c>
      <c r="F1264" t="str">
        <f>"ACCT#00010699-4/PCT#3"</f>
        <v>ACCT#00010699-4/PCT#3</v>
      </c>
      <c r="G1264" s="2">
        <v>90</v>
      </c>
      <c r="H1264" t="str">
        <f>"ACCT#00010699-4/PCT#3"</f>
        <v>ACCT#00010699-4/PCT#3</v>
      </c>
    </row>
    <row r="1265" spans="1:8" x14ac:dyDescent="0.25">
      <c r="A1265" t="s">
        <v>307</v>
      </c>
      <c r="B1265">
        <v>2800</v>
      </c>
      <c r="C1265" s="2">
        <v>2648.03</v>
      </c>
      <c r="D1265" s="1">
        <v>44026</v>
      </c>
      <c r="E1265" t="str">
        <f>"19038"</f>
        <v>19038</v>
      </c>
      <c r="F1265" t="str">
        <f>"COLD MIX/FREIGHT/PCT#4"</f>
        <v>COLD MIX/FREIGHT/PCT#4</v>
      </c>
      <c r="G1265" s="2">
        <v>2648.03</v>
      </c>
      <c r="H1265" t="str">
        <f>"COLD MIX/FREIGHT/PCT#4"</f>
        <v>COLD MIX/FREIGHT/PCT#4</v>
      </c>
    </row>
    <row r="1266" spans="1:8" x14ac:dyDescent="0.25">
      <c r="A1266" t="s">
        <v>308</v>
      </c>
      <c r="B1266">
        <v>2849</v>
      </c>
      <c r="C1266" s="2">
        <v>640.11</v>
      </c>
      <c r="D1266" s="1">
        <v>44026</v>
      </c>
      <c r="E1266" t="str">
        <f>"SCAUS0064328"</f>
        <v>SCAUS0064328</v>
      </c>
      <c r="F1266" t="str">
        <f>"CUST ID:BASPR1/PCT#3"</f>
        <v>CUST ID:BASPR1/PCT#3</v>
      </c>
      <c r="G1266" s="2">
        <v>640.11</v>
      </c>
      <c r="H1266" t="str">
        <f>"CUST ID:BASPR1/PCT#3"</f>
        <v>CUST ID:BASPR1/PCT#3</v>
      </c>
    </row>
    <row r="1267" spans="1:8" x14ac:dyDescent="0.25">
      <c r="A1267" t="s">
        <v>308</v>
      </c>
      <c r="B1267">
        <v>2918</v>
      </c>
      <c r="C1267" s="2">
        <v>338</v>
      </c>
      <c r="D1267" s="1">
        <v>44040</v>
      </c>
      <c r="E1267" t="str">
        <f>"SCAUS0064209"</f>
        <v>SCAUS0064209</v>
      </c>
      <c r="F1267" t="str">
        <f>"CUST ID:BASPR4/PCT#4"</f>
        <v>CUST ID:BASPR4/PCT#4</v>
      </c>
      <c r="G1267" s="2">
        <v>338</v>
      </c>
      <c r="H1267" t="str">
        <f>"CUST ID:BASPR4/PCT#4"</f>
        <v>CUST ID:BASPR4/PCT#4</v>
      </c>
    </row>
    <row r="1268" spans="1:8" x14ac:dyDescent="0.25">
      <c r="A1268" t="s">
        <v>309</v>
      </c>
      <c r="B1268">
        <v>132319</v>
      </c>
      <c r="C1268" s="2">
        <v>3341.2</v>
      </c>
      <c r="D1268" s="1">
        <v>44021</v>
      </c>
      <c r="E1268" t="str">
        <f>"10598762"</f>
        <v>10598762</v>
      </c>
      <c r="F1268" t="str">
        <f>"ACCT#5150-005117630/07012020"</f>
        <v>ACCT#5150-005117630/07012020</v>
      </c>
      <c r="G1268" s="2">
        <v>262.81</v>
      </c>
      <c r="H1268" t="str">
        <f>"ACCT#5150-005117630/07012020"</f>
        <v>ACCT#5150-005117630/07012020</v>
      </c>
    </row>
    <row r="1269" spans="1:8" x14ac:dyDescent="0.25">
      <c r="E1269" t="str">
        <f>"10598769"</f>
        <v>10598769</v>
      </c>
      <c r="F1269" t="str">
        <f>"ACCT#5150-005117766/07012020"</f>
        <v>ACCT#5150-005117766/07012020</v>
      </c>
      <c r="G1269" s="2">
        <v>115.36</v>
      </c>
      <c r="H1269" t="str">
        <f>"ACCT#5150-005117766/07012020"</f>
        <v>ACCT#5150-005117766/07012020</v>
      </c>
    </row>
    <row r="1270" spans="1:8" x14ac:dyDescent="0.25">
      <c r="E1270" t="str">
        <f>"10598773"</f>
        <v>10598773</v>
      </c>
      <c r="F1270" t="str">
        <f>"ACCT#5150-005117838/07012020"</f>
        <v>ACCT#5150-005117838/07012020</v>
      </c>
      <c r="G1270" s="2">
        <v>106.76</v>
      </c>
      <c r="H1270" t="str">
        <f>"ACCT#5150-005117838/07012020"</f>
        <v>ACCT#5150-005117838/07012020</v>
      </c>
    </row>
    <row r="1271" spans="1:8" x14ac:dyDescent="0.25">
      <c r="E1271" t="str">
        <f>"10598775"</f>
        <v>10598775</v>
      </c>
      <c r="F1271" t="str">
        <f>"ACCT#5150-005117882/07012020"</f>
        <v>ACCT#5150-005117882/07012020</v>
      </c>
      <c r="G1271" s="2">
        <v>144.19</v>
      </c>
      <c r="H1271" t="str">
        <f>"ACCT#5150-005117882/07012020"</f>
        <v>ACCT#5150-005117882/07012020</v>
      </c>
    </row>
    <row r="1272" spans="1:8" x14ac:dyDescent="0.25">
      <c r="E1272" t="str">
        <f>"10598783"</f>
        <v>10598783</v>
      </c>
      <c r="F1272" t="str">
        <f>"ACCT#5150-005118183/07012020"</f>
        <v>ACCT#5150-005118183/07012020</v>
      </c>
      <c r="G1272" s="2">
        <v>618.96</v>
      </c>
      <c r="H1272" t="str">
        <f>"ACCT#5150-005118183/07012020"</f>
        <v>ACCT#5150-005118183/07012020</v>
      </c>
    </row>
    <row r="1273" spans="1:8" x14ac:dyDescent="0.25">
      <c r="E1273" t="str">
        <f>"10598817"</f>
        <v>10598817</v>
      </c>
      <c r="F1273" t="str">
        <f>"ACCT#5150-005129483/07012020"</f>
        <v>ACCT#5150-005129483/07012020</v>
      </c>
      <c r="G1273" s="2">
        <v>565.29999999999995</v>
      </c>
      <c r="H1273" t="str">
        <f>"ACCT#5150-005129483/07012020"</f>
        <v>ACCT#5150-005129483/07012020</v>
      </c>
    </row>
    <row r="1274" spans="1:8" x14ac:dyDescent="0.25">
      <c r="E1274" t="str">
        <f>"10599265"</f>
        <v>10599265</v>
      </c>
      <c r="F1274" t="str">
        <f>"ACCT#5150-005081765/07012020"</f>
        <v>ACCT#5150-005081765/07012020</v>
      </c>
      <c r="G1274" s="2">
        <v>1415.45</v>
      </c>
      <c r="H1274" t="str">
        <f>"ACCT#5150-005081765/07012020"</f>
        <v>ACCT#5150-005081765/07012020</v>
      </c>
    </row>
    <row r="1275" spans="1:8" x14ac:dyDescent="0.25">
      <c r="E1275" t="str">
        <f>"10603163"</f>
        <v>10603163</v>
      </c>
      <c r="F1275" t="str">
        <f>"ACCT#5150-16203415/07012020"</f>
        <v>ACCT#5150-16203415/07012020</v>
      </c>
      <c r="G1275" s="2">
        <v>83.48</v>
      </c>
      <c r="H1275" t="str">
        <f>"ACCT#5150-16203415/07012020"</f>
        <v>ACCT#5150-16203415/07012020</v>
      </c>
    </row>
    <row r="1276" spans="1:8" x14ac:dyDescent="0.25">
      <c r="E1276" t="str">
        <f>"10603164"</f>
        <v>10603164</v>
      </c>
      <c r="F1276" t="str">
        <f>"ACCT#5150-16203417/07012020"</f>
        <v>ACCT#5150-16203417/07012020</v>
      </c>
      <c r="G1276" s="2">
        <v>28.89</v>
      </c>
      <c r="H1276" t="str">
        <f>"ACCT#5150-16203417/07012020"</f>
        <v>ACCT#5150-16203417/07012020</v>
      </c>
    </row>
    <row r="1277" spans="1:8" x14ac:dyDescent="0.25">
      <c r="A1277" t="s">
        <v>309</v>
      </c>
      <c r="B1277">
        <v>132567</v>
      </c>
      <c r="C1277" s="2">
        <v>1567.65</v>
      </c>
      <c r="D1277" s="1">
        <v>44039</v>
      </c>
      <c r="E1277" t="str">
        <f>"10599733"</f>
        <v>10599733</v>
      </c>
      <c r="F1277" t="str">
        <f>"ACCT#5150-16214912/PCT#2"</f>
        <v>ACCT#5150-16214912/PCT#2</v>
      </c>
      <c r="G1277" s="2">
        <v>1567.65</v>
      </c>
      <c r="H1277" t="str">
        <f>"ACCT#5150-16214912/PCT#2"</f>
        <v>ACCT#5150-16214912/PCT#2</v>
      </c>
    </row>
    <row r="1278" spans="1:8" x14ac:dyDescent="0.25">
      <c r="A1278" t="s">
        <v>310</v>
      </c>
      <c r="B1278">
        <v>132459</v>
      </c>
      <c r="C1278" s="2">
        <v>4221.97</v>
      </c>
      <c r="D1278" s="1">
        <v>44025</v>
      </c>
      <c r="E1278" t="str">
        <f>"0027749-2161-9"</f>
        <v>0027749-2161-9</v>
      </c>
      <c r="F1278" t="str">
        <f>"CUST ID:2-57060-55062/PCT#4"</f>
        <v>CUST ID:2-57060-55062/PCT#4</v>
      </c>
      <c r="G1278" s="2">
        <v>3676.81</v>
      </c>
      <c r="H1278" t="str">
        <f>"CUST ID:2-57060-55062/PCT#4"</f>
        <v>CUST ID:2-57060-55062/PCT#4</v>
      </c>
    </row>
    <row r="1279" spans="1:8" x14ac:dyDescent="0.25">
      <c r="E1279" t="str">
        <f>"0040932-2162-2"</f>
        <v>0040932-2162-2</v>
      </c>
      <c r="F1279" t="str">
        <f>"CUST ID:16-27603-83003"</f>
        <v>CUST ID:16-27603-83003</v>
      </c>
      <c r="G1279" s="2">
        <v>115.47</v>
      </c>
      <c r="H1279" t="str">
        <f>"CUST ID:16-27603-83003"</f>
        <v>CUST ID:16-27603-83003</v>
      </c>
    </row>
    <row r="1280" spans="1:8" x14ac:dyDescent="0.25">
      <c r="E1280" t="str">
        <f>"0087489-2161-9"</f>
        <v>0087489-2161-9</v>
      </c>
      <c r="F1280" t="str">
        <f>"CUST#2-56581-95066/ANIMAL CONT"</f>
        <v>CUST#2-56581-95066/ANIMAL CONT</v>
      </c>
      <c r="G1280" s="2">
        <v>429.69</v>
      </c>
      <c r="H1280" t="str">
        <f>"CUST#2-56581-95066/ANIMAL CONT"</f>
        <v>CUST#2-56581-95066/ANIMAL CONT</v>
      </c>
    </row>
    <row r="1281" spans="1:9" x14ac:dyDescent="0.25">
      <c r="A1281" t="s">
        <v>311</v>
      </c>
      <c r="B1281">
        <v>2814</v>
      </c>
      <c r="C1281" s="2">
        <v>646</v>
      </c>
      <c r="D1281" s="1">
        <v>44026</v>
      </c>
      <c r="E1281" t="str">
        <f>"5266"</f>
        <v>5266</v>
      </c>
      <c r="F1281" t="str">
        <f>"EMBROIDERY/PCT#4"</f>
        <v>EMBROIDERY/PCT#4</v>
      </c>
      <c r="G1281" s="2">
        <v>396</v>
      </c>
      <c r="H1281" t="str">
        <f>"EMBROIDERY/PCT#4"</f>
        <v>EMBROIDERY/PCT#4</v>
      </c>
    </row>
    <row r="1282" spans="1:9" x14ac:dyDescent="0.25">
      <c r="E1282" t="str">
        <f>"5302"</f>
        <v>5302</v>
      </c>
      <c r="F1282" t="str">
        <f>"TRUCKER CAP/PCT#3"</f>
        <v>TRUCKER CAP/PCT#3</v>
      </c>
      <c r="G1282" s="2">
        <v>250</v>
      </c>
      <c r="H1282" t="str">
        <f>"TRUCKER CAP/PCT#3"</f>
        <v>TRUCKER CAP/PCT#3</v>
      </c>
    </row>
    <row r="1283" spans="1:9" x14ac:dyDescent="0.25">
      <c r="A1283" t="s">
        <v>311</v>
      </c>
      <c r="B1283">
        <v>2888</v>
      </c>
      <c r="C1283" s="2">
        <v>910</v>
      </c>
      <c r="D1283" s="1">
        <v>44040</v>
      </c>
      <c r="E1283" t="str">
        <f>"5389"</f>
        <v>5389</v>
      </c>
      <c r="F1283" t="str">
        <f>"EMBROIDERY SERVICE/PCT#2"</f>
        <v>EMBROIDERY SERVICE/PCT#2</v>
      </c>
      <c r="G1283" s="2">
        <v>910</v>
      </c>
      <c r="H1283" t="str">
        <f>"EMBROIDERY SERVICE/PCT#2"</f>
        <v>EMBROIDERY SERVICE/PCT#2</v>
      </c>
    </row>
    <row r="1284" spans="1:9" x14ac:dyDescent="0.25">
      <c r="A1284" t="s">
        <v>312</v>
      </c>
      <c r="B1284">
        <v>132460</v>
      </c>
      <c r="C1284" s="2">
        <v>77.39</v>
      </c>
      <c r="D1284" s="1">
        <v>44025</v>
      </c>
      <c r="E1284" t="str">
        <f>"202007077674"</f>
        <v>202007077674</v>
      </c>
      <c r="F1284" t="str">
        <f>"WEI-ANN LIN (REIMBURSEMENTS ON"</f>
        <v>WEI-ANN LIN (REIMBURSEMENTS ON</v>
      </c>
      <c r="G1284" s="2">
        <v>77.39</v>
      </c>
      <c r="H1284" t="str">
        <f>""</f>
        <v/>
      </c>
    </row>
    <row r="1285" spans="1:9" x14ac:dyDescent="0.25">
      <c r="A1285" t="s">
        <v>313</v>
      </c>
      <c r="B1285">
        <v>2884</v>
      </c>
      <c r="C1285" s="2">
        <v>15661.44</v>
      </c>
      <c r="D1285" s="1">
        <v>44040</v>
      </c>
      <c r="E1285" t="str">
        <f>"25039"</f>
        <v>25039</v>
      </c>
      <c r="F1285" t="str">
        <f>"INV 25039"</f>
        <v>INV 25039</v>
      </c>
      <c r="G1285" s="2">
        <v>15661.44</v>
      </c>
      <c r="H1285" t="str">
        <f>"INV 25039"</f>
        <v>INV 25039</v>
      </c>
    </row>
    <row r="1286" spans="1:9" x14ac:dyDescent="0.25">
      <c r="A1286" t="s">
        <v>314</v>
      </c>
      <c r="B1286">
        <v>132461</v>
      </c>
      <c r="C1286" s="2">
        <v>70</v>
      </c>
      <c r="D1286" s="1">
        <v>44025</v>
      </c>
      <c r="E1286" t="s">
        <v>315</v>
      </c>
      <c r="F1286" t="s">
        <v>316</v>
      </c>
      <c r="G1286" s="2" t="str">
        <f>"SERVICE"</f>
        <v>SERVICE</v>
      </c>
      <c r="H1286" t="str">
        <f>"995-4110"</f>
        <v>995-4110</v>
      </c>
      <c r="I1286" t="str">
        <f>""</f>
        <v/>
      </c>
    </row>
    <row r="1287" spans="1:9" x14ac:dyDescent="0.25">
      <c r="A1287" t="s">
        <v>317</v>
      </c>
      <c r="B1287">
        <v>132462</v>
      </c>
      <c r="C1287" s="2">
        <v>11420.83</v>
      </c>
      <c r="D1287" s="1">
        <v>44025</v>
      </c>
      <c r="E1287" t="str">
        <f>"81699"</f>
        <v>81699</v>
      </c>
      <c r="F1287" t="str">
        <f>"Pipe for Sharp Driveway"</f>
        <v>Pipe for Sharp Driveway</v>
      </c>
      <c r="G1287" s="2">
        <v>3724.75</v>
      </c>
      <c r="H1287" t="str">
        <f>"36X30 HDPE Pipe"</f>
        <v>36X30 HDPE Pipe</v>
      </c>
    </row>
    <row r="1288" spans="1:9" x14ac:dyDescent="0.25">
      <c r="E1288" t="str">
        <f>""</f>
        <v/>
      </c>
      <c r="F1288" t="str">
        <f>""</f>
        <v/>
      </c>
      <c r="H1288" t="str">
        <f>"36  HDPE Couplers"</f>
        <v>36  HDPE Couplers</v>
      </c>
    </row>
    <row r="1289" spans="1:9" x14ac:dyDescent="0.25">
      <c r="E1289" t="str">
        <f>""</f>
        <v/>
      </c>
      <c r="F1289" t="str">
        <f>""</f>
        <v/>
      </c>
      <c r="H1289" t="str">
        <f>"Drop Ship Fee"</f>
        <v>Drop Ship Fee</v>
      </c>
    </row>
    <row r="1290" spans="1:9" x14ac:dyDescent="0.25">
      <c r="E1290" t="str">
        <f>"81719"</f>
        <v>81719</v>
      </c>
      <c r="F1290" t="str">
        <f>"ARCH/DIMPLE BAND/PCT#3"</f>
        <v>ARCH/DIMPLE BAND/PCT#3</v>
      </c>
      <c r="G1290" s="2">
        <v>1852.08</v>
      </c>
      <c r="H1290" t="str">
        <f>"ARCH/DIMPLE BAND/PCT#3"</f>
        <v>ARCH/DIMPLE BAND/PCT#3</v>
      </c>
    </row>
    <row r="1291" spans="1:9" x14ac:dyDescent="0.25">
      <c r="E1291" t="str">
        <f>"81722"</f>
        <v>81722</v>
      </c>
      <c r="F1291" t="str">
        <f>"ARCH/PCT#3"</f>
        <v>ARCH/PCT#3</v>
      </c>
      <c r="G1291" s="2">
        <v>5844</v>
      </c>
      <c r="H1291" t="str">
        <f>"ARCH/PCT#3"</f>
        <v>ARCH/PCT#3</v>
      </c>
    </row>
    <row r="1292" spans="1:9" x14ac:dyDescent="0.25">
      <c r="A1292" t="s">
        <v>318</v>
      </c>
      <c r="B1292">
        <v>132568</v>
      </c>
      <c r="C1292" s="2">
        <v>248.17</v>
      </c>
      <c r="D1292" s="1">
        <v>44039</v>
      </c>
      <c r="E1292" t="str">
        <f>"510457"</f>
        <v>510457</v>
      </c>
      <c r="F1292" t="str">
        <f>"INV 510457"</f>
        <v>INV 510457</v>
      </c>
      <c r="G1292" s="2">
        <v>248.17</v>
      </c>
      <c r="H1292" t="str">
        <f>"INV 510457"</f>
        <v>INV 510457</v>
      </c>
    </row>
    <row r="1293" spans="1:9" x14ac:dyDescent="0.25">
      <c r="A1293" t="s">
        <v>319</v>
      </c>
      <c r="B1293">
        <v>132463</v>
      </c>
      <c r="C1293" s="2">
        <v>7958.6</v>
      </c>
      <c r="D1293" s="1">
        <v>44025</v>
      </c>
      <c r="E1293" t="str">
        <f>"9010693840"</f>
        <v>9010693840</v>
      </c>
      <c r="F1293" t="str">
        <f>"CUST#1000113183/ANIMAL SVCS"</f>
        <v>CUST#1000113183/ANIMAL SVCS</v>
      </c>
      <c r="G1293" s="2">
        <v>257.60000000000002</v>
      </c>
      <c r="H1293" t="str">
        <f>"CUST#1000113183/ANIMAL SVCS"</f>
        <v>CUST#1000113183/ANIMAL SVCS</v>
      </c>
    </row>
    <row r="1294" spans="1:9" x14ac:dyDescent="0.25">
      <c r="E1294" t="str">
        <f>"9010709374"</f>
        <v>9010709374</v>
      </c>
      <c r="F1294" t="str">
        <f>"CUST#1000113183/ANIMAL SVCS"</f>
        <v>CUST#1000113183/ANIMAL SVCS</v>
      </c>
      <c r="G1294" s="2">
        <v>492.8</v>
      </c>
      <c r="H1294" t="str">
        <f>"CUST#1000113183/ANIMAL SVCS"</f>
        <v>CUST#1000113183/ANIMAL SVCS</v>
      </c>
    </row>
    <row r="1295" spans="1:9" x14ac:dyDescent="0.25">
      <c r="E1295" t="str">
        <f>"9010754659"</f>
        <v>9010754659</v>
      </c>
      <c r="F1295" t="str">
        <f>"CUST#1000113183/ORD#1009030590"</f>
        <v>CUST#1000113183/ORD#1009030590</v>
      </c>
      <c r="G1295" s="2">
        <v>4352.3999999999996</v>
      </c>
      <c r="H1295" t="str">
        <f>"CUST#1000113183/ORD#1009030590"</f>
        <v>CUST#1000113183/ORD#1009030590</v>
      </c>
    </row>
    <row r="1296" spans="1:9" x14ac:dyDescent="0.25">
      <c r="E1296" t="str">
        <f>"9010763802"</f>
        <v>9010763802</v>
      </c>
      <c r="F1296" t="str">
        <f>"CUST#1000113183/ANIMAL SVCS"</f>
        <v>CUST#1000113183/ANIMAL SVCS</v>
      </c>
      <c r="G1296" s="2">
        <v>426</v>
      </c>
      <c r="H1296" t="str">
        <f>"CUST#1000113183/ANIMAL SVCS"</f>
        <v>CUST#1000113183/ANIMAL SVCS</v>
      </c>
    </row>
    <row r="1297" spans="1:8" x14ac:dyDescent="0.25">
      <c r="E1297" t="str">
        <f>"9010812611"</f>
        <v>9010812611</v>
      </c>
      <c r="F1297" t="str">
        <f>"CUST#1000113183/ANIMAL SHELTER"</f>
        <v>CUST#1000113183/ANIMAL SHELTER</v>
      </c>
      <c r="G1297" s="2">
        <v>910.25</v>
      </c>
      <c r="H1297" t="str">
        <f>"CUST#1000113183/ANIMAL SHELTER"</f>
        <v>CUST#1000113183/ANIMAL SHELTER</v>
      </c>
    </row>
    <row r="1298" spans="1:8" x14ac:dyDescent="0.25">
      <c r="E1298" t="str">
        <f>"9010843267"</f>
        <v>9010843267</v>
      </c>
      <c r="F1298" t="str">
        <f>"CUST#1000113183/ANIMAL SHELTER"</f>
        <v>CUST#1000113183/ANIMAL SHELTER</v>
      </c>
      <c r="G1298" s="2">
        <v>1519.55</v>
      </c>
      <c r="H1298" t="str">
        <f>"CUST#1000113183/ANIMAL SHELTER"</f>
        <v>CUST#1000113183/ANIMAL SHELTER</v>
      </c>
    </row>
    <row r="1299" spans="1:8" x14ac:dyDescent="0.25">
      <c r="A1299" t="s">
        <v>319</v>
      </c>
      <c r="B1299">
        <v>132569</v>
      </c>
      <c r="C1299" s="2">
        <v>648.04</v>
      </c>
      <c r="D1299" s="1">
        <v>44039</v>
      </c>
      <c r="E1299" t="str">
        <f>"9010855700"</f>
        <v>9010855700</v>
      </c>
      <c r="F1299" t="str">
        <f>"CUST#1000113183/ORD#1009115820"</f>
        <v>CUST#1000113183/ORD#1009115820</v>
      </c>
      <c r="G1299" s="2">
        <v>181.75</v>
      </c>
      <c r="H1299" t="str">
        <f>"CUST#1000113183/ORD#1009115820"</f>
        <v>CUST#1000113183/ORD#1009115820</v>
      </c>
    </row>
    <row r="1300" spans="1:8" x14ac:dyDescent="0.25">
      <c r="E1300" t="str">
        <f>"9010927019"</f>
        <v>9010927019</v>
      </c>
      <c r="F1300" t="str">
        <f>"CUST#1000113183/ORD#1009189184"</f>
        <v>CUST#1000113183/ORD#1009189184</v>
      </c>
      <c r="G1300" s="2">
        <v>147.54</v>
      </c>
      <c r="H1300" t="str">
        <f>"CUST#1000113183/ORD#1009189184"</f>
        <v>CUST#1000113183/ORD#1009189184</v>
      </c>
    </row>
    <row r="1301" spans="1:8" x14ac:dyDescent="0.25">
      <c r="E1301" t="str">
        <f>"9010938196"</f>
        <v>9010938196</v>
      </c>
      <c r="F1301" t="str">
        <f>"CUST#1000113183/ORD#1009201888"</f>
        <v>CUST#1000113183/ORD#1009201888</v>
      </c>
      <c r="G1301" s="2">
        <v>318.75</v>
      </c>
      <c r="H1301" t="str">
        <f>"CUST#1000113183/ORD#1009201888"</f>
        <v>CUST#1000113183/ORD#1009201888</v>
      </c>
    </row>
    <row r="1302" spans="1:8" x14ac:dyDescent="0.25">
      <c r="A1302" t="s">
        <v>320</v>
      </c>
      <c r="B1302">
        <v>2783</v>
      </c>
      <c r="C1302" s="2">
        <v>108000</v>
      </c>
      <c r="D1302" s="1">
        <v>44018</v>
      </c>
      <c r="E1302" t="str">
        <f>"688090"</f>
        <v>688090</v>
      </c>
      <c r="F1302" t="str">
        <f>"COVID-19 Test Processing"</f>
        <v>COVID-19 Test Processing</v>
      </c>
      <c r="G1302" s="2">
        <v>108000</v>
      </c>
      <c r="H1302" t="str">
        <f>"Test Kits/Shipping"</f>
        <v>Test Kits/Shipping</v>
      </c>
    </row>
    <row r="1303" spans="1:8" x14ac:dyDescent="0.25">
      <c r="A1303" t="s">
        <v>320</v>
      </c>
      <c r="B1303">
        <v>2867</v>
      </c>
      <c r="C1303" s="2">
        <v>108000</v>
      </c>
      <c r="D1303" s="1">
        <v>44029</v>
      </c>
      <c r="E1303" t="str">
        <f>"710332"</f>
        <v>710332</v>
      </c>
      <c r="F1303" t="str">
        <f>"inv# 710332"</f>
        <v>inv# 710332</v>
      </c>
      <c r="G1303" s="2">
        <v>108000</v>
      </c>
      <c r="H1303" t="str">
        <f>"Test Kits"</f>
        <v>Test Kits</v>
      </c>
    </row>
    <row r="1304" spans="1:8" x14ac:dyDescent="0.25">
      <c r="A1304" t="s">
        <v>320</v>
      </c>
      <c r="B1304">
        <v>2929</v>
      </c>
      <c r="C1304" s="2">
        <v>450000</v>
      </c>
      <c r="D1304" s="1">
        <v>44040</v>
      </c>
      <c r="E1304" t="str">
        <f>"202007228015"</f>
        <v>202007228015</v>
      </c>
      <c r="F1304" t="str">
        <f>"AMERICAN INSTITUTE OF TOXICOLO"</f>
        <v>AMERICAN INSTITUTE OF TOXICOLO</v>
      </c>
      <c r="G1304" s="2">
        <v>450000</v>
      </c>
      <c r="H1304" t="str">
        <f>"COVID 19 Testing"</f>
        <v>COVID 19 Testing</v>
      </c>
    </row>
    <row r="1305" spans="1:8" x14ac:dyDescent="0.25">
      <c r="A1305" t="s">
        <v>18</v>
      </c>
      <c r="B1305">
        <v>2859</v>
      </c>
      <c r="C1305" s="2">
        <v>42.6</v>
      </c>
      <c r="D1305" s="1">
        <v>44026</v>
      </c>
      <c r="E1305" t="str">
        <f>"1CFK-LGTQ-41TY"</f>
        <v>1CFK-LGTQ-41TY</v>
      </c>
      <c r="F1305" t="str">
        <f>"PPE"</f>
        <v>PPE</v>
      </c>
      <c r="G1305" s="2">
        <v>42.6</v>
      </c>
      <c r="H1305" t="str">
        <f>"Blue Painters Tape"</f>
        <v>Blue Painters Tape</v>
      </c>
    </row>
    <row r="1306" spans="1:8" x14ac:dyDescent="0.25">
      <c r="A1306" t="s">
        <v>18</v>
      </c>
      <c r="B1306">
        <v>2928</v>
      </c>
      <c r="C1306" s="2">
        <v>2216.19</v>
      </c>
      <c r="D1306" s="1">
        <v>44040</v>
      </c>
      <c r="E1306" t="str">
        <f>"13CP-MDY4-FDCT"</f>
        <v>13CP-MDY4-FDCT</v>
      </c>
      <c r="F1306" t="str">
        <f>"THERMOMETERS"</f>
        <v>THERMOMETERS</v>
      </c>
      <c r="G1306" s="2">
        <v>2216.19</v>
      </c>
      <c r="H1306" t="str">
        <f>"THERMOMETERS"</f>
        <v>THERMOMETERS</v>
      </c>
    </row>
    <row r="1307" spans="1:8" x14ac:dyDescent="0.25">
      <c r="E1307" t="str">
        <f>""</f>
        <v/>
      </c>
      <c r="F1307" t="str">
        <f>""</f>
        <v/>
      </c>
      <c r="H1307" t="str">
        <f>"SHIPPING"</f>
        <v>SHIPPING</v>
      </c>
    </row>
    <row r="1308" spans="1:8" x14ac:dyDescent="0.25">
      <c r="A1308" t="s">
        <v>25</v>
      </c>
      <c r="B1308">
        <v>132464</v>
      </c>
      <c r="C1308" s="2">
        <v>18</v>
      </c>
      <c r="D1308" s="1">
        <v>44025</v>
      </c>
      <c r="E1308" t="str">
        <f>"202007017511"</f>
        <v>202007017511</v>
      </c>
      <c r="F1308" t="str">
        <f>"ACCT#015397/JUVENILE BOOT CAMP"</f>
        <v>ACCT#015397/JUVENILE BOOT CAMP</v>
      </c>
      <c r="G1308" s="2">
        <v>18</v>
      </c>
      <c r="H1308" t="str">
        <f>"ACCT#015397/JUVENILE BOOT CAMP"</f>
        <v>ACCT#015397/JUVENILE BOOT CAMP</v>
      </c>
    </row>
    <row r="1309" spans="1:8" x14ac:dyDescent="0.25">
      <c r="A1309" t="s">
        <v>29</v>
      </c>
      <c r="B1309">
        <v>132465</v>
      </c>
      <c r="C1309" s="2">
        <v>581.22</v>
      </c>
      <c r="D1309" s="1">
        <v>44025</v>
      </c>
      <c r="E1309" t="str">
        <f>"287290524359X"</f>
        <v>287290524359X</v>
      </c>
      <c r="F1309" t="str">
        <f>"ACCT#287290524359/FAN#58143538"</f>
        <v>ACCT#287290524359/FAN#58143538</v>
      </c>
      <c r="G1309" s="2">
        <v>581.22</v>
      </c>
      <c r="H1309" t="str">
        <f>"ACCT#287290524359/FAN#58143538"</f>
        <v>ACCT#287290524359/FAN#58143538</v>
      </c>
    </row>
    <row r="1310" spans="1:8" x14ac:dyDescent="0.25">
      <c r="A1310" t="s">
        <v>321</v>
      </c>
      <c r="B1310">
        <v>132570</v>
      </c>
      <c r="C1310" s="2">
        <v>303</v>
      </c>
      <c r="D1310" s="1">
        <v>44039</v>
      </c>
      <c r="E1310" t="str">
        <f>"17"</f>
        <v>17</v>
      </c>
      <c r="F1310" t="str">
        <f>"CUST STAFF/SANITATION/DISINFEC"</f>
        <v>CUST STAFF/SANITATION/DISINFEC</v>
      </c>
      <c r="G1310" s="2">
        <v>303</v>
      </c>
      <c r="H1310" t="str">
        <f>"CUST STAFF/SANITATION/DISINFEC"</f>
        <v>CUST STAFF/SANITATION/DISINFEC</v>
      </c>
    </row>
    <row r="1311" spans="1:8" x14ac:dyDescent="0.25">
      <c r="A1311" t="s">
        <v>54</v>
      </c>
      <c r="B1311">
        <v>132474</v>
      </c>
      <c r="C1311" s="2">
        <v>253.37</v>
      </c>
      <c r="D1311" s="1">
        <v>44028</v>
      </c>
      <c r="E1311" t="str">
        <f>"202007167886"</f>
        <v>202007167886</v>
      </c>
      <c r="F1311" t="str">
        <f>"ACCT#5000057374 / 07072020"</f>
        <v>ACCT#5000057374 / 07072020</v>
      </c>
      <c r="G1311" s="2">
        <v>253.37</v>
      </c>
      <c r="H1311" t="str">
        <f>"ACCT#5000057374 / 07072020"</f>
        <v>ACCT#5000057374 / 07072020</v>
      </c>
    </row>
    <row r="1312" spans="1:8" x14ac:dyDescent="0.25">
      <c r="A1312" t="s">
        <v>60</v>
      </c>
      <c r="B1312">
        <v>591</v>
      </c>
      <c r="C1312" s="2">
        <v>418.98</v>
      </c>
      <c r="D1312" s="1">
        <v>44025</v>
      </c>
      <c r="E1312" t="str">
        <f>"202007087797"</f>
        <v>202007087797</v>
      </c>
      <c r="F1312" t="str">
        <f>"acct# 0058"</f>
        <v>acct# 0058</v>
      </c>
      <c r="G1312" s="2">
        <v>418.98</v>
      </c>
      <c r="H1312" t="str">
        <f>"Lowes"</f>
        <v>Lowes</v>
      </c>
    </row>
    <row r="1313" spans="1:8" x14ac:dyDescent="0.25">
      <c r="E1313" t="str">
        <f>""</f>
        <v/>
      </c>
      <c r="F1313" t="str">
        <f>""</f>
        <v/>
      </c>
      <c r="H1313" t="str">
        <f>"walmart"</f>
        <v>walmart</v>
      </c>
    </row>
    <row r="1314" spans="1:8" x14ac:dyDescent="0.25">
      <c r="A1314" t="s">
        <v>61</v>
      </c>
      <c r="B1314">
        <v>2863</v>
      </c>
      <c r="C1314" s="2">
        <v>402.87</v>
      </c>
      <c r="D1314" s="1">
        <v>44026</v>
      </c>
      <c r="E1314" t="str">
        <f>"ZCT8803"</f>
        <v>ZCT8803</v>
      </c>
      <c r="F1314" t="str">
        <f>"inv# ZCT8803"</f>
        <v>inv# ZCT8803</v>
      </c>
      <c r="G1314" s="2">
        <v>178.19</v>
      </c>
      <c r="H1314" t="str">
        <f>"CO 2017"</f>
        <v>CO 2017</v>
      </c>
    </row>
    <row r="1315" spans="1:8" x14ac:dyDescent="0.25">
      <c r="E1315" t="str">
        <f>"ZCT8803 - 2"</f>
        <v>ZCT8803 - 2</v>
      </c>
      <c r="F1315" t="str">
        <f>"inv# ZCT8803"</f>
        <v>inv# ZCT8803</v>
      </c>
      <c r="G1315" s="2">
        <v>224.68</v>
      </c>
      <c r="H1315" t="str">
        <f>"CO 2018"</f>
        <v>CO 2018</v>
      </c>
    </row>
    <row r="1316" spans="1:8" x14ac:dyDescent="0.25">
      <c r="A1316" t="s">
        <v>322</v>
      </c>
      <c r="B1316">
        <v>132466</v>
      </c>
      <c r="C1316" s="2">
        <v>398050</v>
      </c>
      <c r="D1316" s="1">
        <v>44025</v>
      </c>
      <c r="E1316" t="str">
        <f>"202007077657"</f>
        <v>202007077657</v>
      </c>
      <c r="F1316" t="str">
        <f>"APP#5/PROJ#20-19073"</f>
        <v>APP#5/PROJ#20-19073</v>
      </c>
      <c r="G1316" s="2">
        <v>398050</v>
      </c>
      <c r="H1316" t="str">
        <f>"APP#5/PROJ#20-19073"</f>
        <v>APP#5/PROJ#20-19073</v>
      </c>
    </row>
    <row r="1317" spans="1:8" x14ac:dyDescent="0.25">
      <c r="A1317" t="s">
        <v>72</v>
      </c>
      <c r="B1317">
        <v>132303</v>
      </c>
      <c r="C1317" s="2">
        <v>10638.04</v>
      </c>
      <c r="D1317" s="1">
        <v>44013</v>
      </c>
      <c r="E1317" t="str">
        <f>"202007017510"</f>
        <v>202007017510</v>
      </c>
      <c r="F1317" t="str">
        <f>"ACCT#72-5613 / 06032020"</f>
        <v>ACCT#72-5613 / 06032020</v>
      </c>
      <c r="G1317" s="2">
        <v>10638.04</v>
      </c>
      <c r="H1317" t="str">
        <f>"ACCT#72-5613 / 06032020"</f>
        <v>ACCT#72-5613 / 06032020</v>
      </c>
    </row>
    <row r="1318" spans="1:8" x14ac:dyDescent="0.25">
      <c r="A1318" t="s">
        <v>72</v>
      </c>
      <c r="B1318">
        <v>132476</v>
      </c>
      <c r="C1318" s="2">
        <v>5561.32</v>
      </c>
      <c r="D1318" s="1">
        <v>44032</v>
      </c>
      <c r="E1318" t="str">
        <f>"202007167889"</f>
        <v>202007167889</v>
      </c>
      <c r="F1318" t="str">
        <f>"ACCT#72-5613 / 07032020"</f>
        <v>ACCT#72-5613 / 07032020</v>
      </c>
      <c r="G1318" s="2">
        <v>5561.32</v>
      </c>
      <c r="H1318" t="str">
        <f>"ACCT#72-5613 / 07032020"</f>
        <v>ACCT#72-5613 / 07032020</v>
      </c>
    </row>
    <row r="1319" spans="1:8" x14ac:dyDescent="0.25">
      <c r="A1319" t="s">
        <v>73</v>
      </c>
      <c r="B1319">
        <v>132571</v>
      </c>
      <c r="C1319" s="2">
        <v>17089.650000000001</v>
      </c>
      <c r="D1319" s="1">
        <v>44039</v>
      </c>
      <c r="E1319" t="str">
        <f>"INV-00004269"</f>
        <v>INV-00004269</v>
      </c>
      <c r="F1319" t="str">
        <f>"BUILDING PERMIT FEE"</f>
        <v>BUILDING PERMIT FEE</v>
      </c>
      <c r="G1319" s="2">
        <v>17089.650000000001</v>
      </c>
      <c r="H1319" t="str">
        <f>"BUILDING PERMIT FEE"</f>
        <v>BUILDING PERMIT FEE</v>
      </c>
    </row>
    <row r="1320" spans="1:8" x14ac:dyDescent="0.25">
      <c r="A1320" t="s">
        <v>75</v>
      </c>
      <c r="B1320">
        <v>2862</v>
      </c>
      <c r="C1320" s="2">
        <v>8890</v>
      </c>
      <c r="D1320" s="1">
        <v>44026</v>
      </c>
      <c r="E1320" t="str">
        <f>"202005 -0"</f>
        <v>202005 -0</v>
      </c>
      <c r="F1320" t="str">
        <f>"ACCT#254472"</f>
        <v>ACCT#254472</v>
      </c>
      <c r="G1320" s="2">
        <v>8890</v>
      </c>
      <c r="H1320" t="str">
        <f>"ACCT#254472"</f>
        <v>ACCT#254472</v>
      </c>
    </row>
    <row r="1321" spans="1:8" x14ac:dyDescent="0.25">
      <c r="A1321" t="s">
        <v>323</v>
      </c>
      <c r="B1321">
        <v>132572</v>
      </c>
      <c r="C1321" s="2">
        <v>2000</v>
      </c>
      <c r="D1321" s="1">
        <v>44039</v>
      </c>
      <c r="E1321" t="str">
        <f>"202007167884"</f>
        <v>202007167884</v>
      </c>
      <c r="F1321" t="str">
        <f>"19-20028"</f>
        <v>19-20028</v>
      </c>
      <c r="G1321" s="2">
        <v>2000</v>
      </c>
      <c r="H1321" t="str">
        <f>"19-20028"</f>
        <v>19-20028</v>
      </c>
    </row>
    <row r="1322" spans="1:8" x14ac:dyDescent="0.25">
      <c r="A1322" t="s">
        <v>324</v>
      </c>
      <c r="B1322">
        <v>2860</v>
      </c>
      <c r="C1322" s="2">
        <v>3597.5</v>
      </c>
      <c r="D1322" s="1">
        <v>44026</v>
      </c>
      <c r="E1322" t="str">
        <f>"1004"</f>
        <v>1004</v>
      </c>
      <c r="F1322" t="str">
        <f>"inv# 1004"</f>
        <v>inv# 1004</v>
      </c>
      <c r="G1322" s="2">
        <v>3597.5</v>
      </c>
      <c r="H1322" t="str">
        <f>"mask"</f>
        <v>mask</v>
      </c>
    </row>
    <row r="1323" spans="1:8" x14ac:dyDescent="0.25">
      <c r="E1323" t="str">
        <f>""</f>
        <v/>
      </c>
      <c r="F1323" t="str">
        <f>""</f>
        <v/>
      </c>
      <c r="H1323" t="str">
        <f>"Gowns"</f>
        <v>Gowns</v>
      </c>
    </row>
    <row r="1324" spans="1:8" x14ac:dyDescent="0.25">
      <c r="E1324" t="str">
        <f>""</f>
        <v/>
      </c>
      <c r="F1324" t="str">
        <f>""</f>
        <v/>
      </c>
      <c r="H1324" t="str">
        <f>"1st PAID"</f>
        <v>1st PAID</v>
      </c>
    </row>
    <row r="1325" spans="1:8" x14ac:dyDescent="0.25">
      <c r="A1325" t="s">
        <v>91</v>
      </c>
      <c r="B1325">
        <v>132573</v>
      </c>
      <c r="C1325" s="2">
        <v>2438</v>
      </c>
      <c r="D1325" s="1">
        <v>44039</v>
      </c>
      <c r="E1325" t="str">
        <f>"10403908966"</f>
        <v>10403908966</v>
      </c>
      <c r="F1325" t="str">
        <f>"Docks &amp; Monitors for Audi"</f>
        <v>Docks &amp; Monitors for Audi</v>
      </c>
      <c r="G1325" s="2">
        <v>2438</v>
      </c>
      <c r="H1325" t="str">
        <f>"Dell Part# : 452-BBP"</f>
        <v>Dell Part# : 452-BBP</v>
      </c>
    </row>
    <row r="1326" spans="1:8" x14ac:dyDescent="0.25">
      <c r="E1326" t="str">
        <f>""</f>
        <v/>
      </c>
      <c r="F1326" t="str">
        <f>""</f>
        <v/>
      </c>
      <c r="H1326" t="str">
        <f>"Discount"</f>
        <v>Discount</v>
      </c>
    </row>
    <row r="1327" spans="1:8" x14ac:dyDescent="0.25">
      <c r="E1327" t="str">
        <f>""</f>
        <v/>
      </c>
      <c r="F1327" t="str">
        <f>""</f>
        <v/>
      </c>
      <c r="H1327" t="str">
        <f>"P2319H"</f>
        <v>P2319H</v>
      </c>
    </row>
    <row r="1328" spans="1:8" x14ac:dyDescent="0.25">
      <c r="E1328" t="str">
        <f>""</f>
        <v/>
      </c>
      <c r="F1328" t="str">
        <f>""</f>
        <v/>
      </c>
      <c r="H1328" t="str">
        <f>"Discount"</f>
        <v>Discount</v>
      </c>
    </row>
    <row r="1329" spans="1:8" x14ac:dyDescent="0.25">
      <c r="A1329" t="s">
        <v>325</v>
      </c>
      <c r="B1329">
        <v>132467</v>
      </c>
      <c r="C1329" s="2">
        <v>15000</v>
      </c>
      <c r="D1329" s="1">
        <v>44025</v>
      </c>
      <c r="E1329" t="str">
        <f>"202006237380"</f>
        <v>202006237380</v>
      </c>
      <c r="F1329" t="str">
        <f>"05/17/20-6/16/20 MEDICAL ADVIC"</f>
        <v>05/17/20-6/16/20 MEDICAL ADVIC</v>
      </c>
      <c r="G1329" s="2">
        <v>15000</v>
      </c>
      <c r="H1329" t="str">
        <f>"05/17/20-6/16/20 MEDICAL ADVIC"</f>
        <v>05/17/20-6/16/20 MEDICAL ADVIC</v>
      </c>
    </row>
    <row r="1330" spans="1:8" x14ac:dyDescent="0.25">
      <c r="A1330" t="s">
        <v>326</v>
      </c>
      <c r="B1330">
        <v>592</v>
      </c>
      <c r="C1330" s="2">
        <v>371775</v>
      </c>
      <c r="D1330" s="1">
        <v>44025</v>
      </c>
      <c r="E1330" t="str">
        <f>"252-2294103"</f>
        <v>252-2294103</v>
      </c>
      <c r="F1330" t="str">
        <f>"DEBT SERVICE PMT - SERIES 2015"</f>
        <v>DEBT SERVICE PMT - SERIES 2015</v>
      </c>
      <c r="G1330" s="2">
        <v>750</v>
      </c>
      <c r="H1330" t="str">
        <f>"DEBT SERVICE PMT - SERIES 2015"</f>
        <v>DEBT SERVICE PMT - SERIES 2015</v>
      </c>
    </row>
    <row r="1331" spans="1:8" x14ac:dyDescent="0.25">
      <c r="E1331" t="str">
        <f>"LOAN #: BASREF15"</f>
        <v>LOAN #: BASREF15</v>
      </c>
      <c r="F1331" t="str">
        <f>"DEBT SERVICE PMT - SERIES 2015"</f>
        <v>DEBT SERVICE PMT - SERIES 2015</v>
      </c>
      <c r="G1331" s="2">
        <v>371025</v>
      </c>
      <c r="H1331" t="str">
        <f>"DEBT SERVICE PMT - SERIES 2015"</f>
        <v>DEBT SERVICE PMT - SERIES 2015</v>
      </c>
    </row>
    <row r="1332" spans="1:8" x14ac:dyDescent="0.25">
      <c r="E1332" t="str">
        <f>""</f>
        <v/>
      </c>
      <c r="F1332" t="str">
        <f>""</f>
        <v/>
      </c>
      <c r="H1332" t="str">
        <f>"DEBT SERVICE PMT - SERIES 2015"</f>
        <v>DEBT SERVICE PMT - SERIES 2015</v>
      </c>
    </row>
    <row r="1333" spans="1:8" x14ac:dyDescent="0.25">
      <c r="A1333" t="s">
        <v>326</v>
      </c>
      <c r="B1333">
        <v>636</v>
      </c>
      <c r="C1333" s="2">
        <v>2263056.2599999998</v>
      </c>
      <c r="D1333" s="1">
        <v>44039</v>
      </c>
      <c r="E1333" t="str">
        <f>" BASTROPTXR10"</f>
        <v xml:space="preserve"> BASTROPTXR10</v>
      </c>
      <c r="F1333" t="str">
        <f>"DEBT SERVICE PMT - SERIES 2010"</f>
        <v>DEBT SERVICE PMT - SERIES 2010</v>
      </c>
      <c r="G1333" s="2">
        <v>646818.75</v>
      </c>
      <c r="H1333" t="str">
        <f>"DEBT SERVICE PMT - SERIES 2010"</f>
        <v>DEBT SERVICE PMT - SERIES 2010</v>
      </c>
    </row>
    <row r="1334" spans="1:8" x14ac:dyDescent="0.25">
      <c r="E1334" t="str">
        <f>""</f>
        <v/>
      </c>
      <c r="F1334" t="str">
        <f>""</f>
        <v/>
      </c>
      <c r="H1334" t="str">
        <f>"DEBT SERVICE PMT - SERIES 2010"</f>
        <v>DEBT SERVICE PMT - SERIES 2010</v>
      </c>
    </row>
    <row r="1335" spans="1:8" x14ac:dyDescent="0.25">
      <c r="E1335" t="str">
        <f>""</f>
        <v/>
      </c>
      <c r="F1335" t="str">
        <f>""</f>
        <v/>
      </c>
      <c r="H1335" t="str">
        <f>"DEBT SERVICE PMT - SERIES 2010"</f>
        <v>DEBT SERVICE PMT - SERIES 2010</v>
      </c>
    </row>
    <row r="1336" spans="1:8" x14ac:dyDescent="0.25">
      <c r="E1336" t="str">
        <f>"1615719"</f>
        <v>1615719</v>
      </c>
      <c r="F1336" t="str">
        <f>"DEBT SERVICE PMT - SERIES 2017"</f>
        <v>DEBT SERVICE PMT - SERIES 2017</v>
      </c>
      <c r="G1336" s="2">
        <v>543425</v>
      </c>
      <c r="H1336" t="str">
        <f>"DEBT SERVICE PMT - SERIES 2017"</f>
        <v>DEBT SERVICE PMT - SERIES 2017</v>
      </c>
    </row>
    <row r="1337" spans="1:8" x14ac:dyDescent="0.25">
      <c r="E1337" t="str">
        <f>""</f>
        <v/>
      </c>
      <c r="F1337" t="str">
        <f>""</f>
        <v/>
      </c>
      <c r="H1337" t="str">
        <f>"DEBT SERVICE PMT - SERIES 2017"</f>
        <v>DEBT SERVICE PMT - SERIES 2017</v>
      </c>
    </row>
    <row r="1338" spans="1:8" x14ac:dyDescent="0.25">
      <c r="E1338" t="str">
        <f>"1615728"</f>
        <v>1615728</v>
      </c>
      <c r="F1338" t="str">
        <f>"DEBT SERVICE PMT - SERIES 2014"</f>
        <v>DEBT SERVICE PMT - SERIES 2014</v>
      </c>
      <c r="G1338" s="2">
        <v>572843.75</v>
      </c>
      <c r="H1338" t="str">
        <f>"DEBT SERVICE PMT - SERIES 2014"</f>
        <v>DEBT SERVICE PMT - SERIES 2014</v>
      </c>
    </row>
    <row r="1339" spans="1:8" x14ac:dyDescent="0.25">
      <c r="E1339" t="str">
        <f>""</f>
        <v/>
      </c>
      <c r="F1339" t="str">
        <f>""</f>
        <v/>
      </c>
      <c r="H1339" t="str">
        <f>"DEBT SERVICE PMT - SERIES 2014"</f>
        <v>DEBT SERVICE PMT - SERIES 2014</v>
      </c>
    </row>
    <row r="1340" spans="1:8" x14ac:dyDescent="0.25">
      <c r="E1340" t="str">
        <f>"1615732"</f>
        <v>1615732</v>
      </c>
      <c r="F1340" t="str">
        <f>"DEBT SERVICE PMT - SERIES 2018"</f>
        <v>DEBT SERVICE PMT - SERIES 2018</v>
      </c>
      <c r="G1340" s="2">
        <v>499968.76</v>
      </c>
      <c r="H1340" t="str">
        <f>"DEBT SERVICE PMT - SERIES 2018"</f>
        <v>DEBT SERVICE PMT - SERIES 2018</v>
      </c>
    </row>
    <row r="1341" spans="1:8" x14ac:dyDescent="0.25">
      <c r="E1341" t="str">
        <f>""</f>
        <v/>
      </c>
      <c r="F1341" t="str">
        <f>""</f>
        <v/>
      </c>
      <c r="H1341" t="str">
        <f>"DEBT SERVICE PMT - SERIES 2018"</f>
        <v>DEBT SERVICE PMT - SERIES 2018</v>
      </c>
    </row>
    <row r="1342" spans="1:8" x14ac:dyDescent="0.25">
      <c r="A1342" t="s">
        <v>138</v>
      </c>
      <c r="B1342">
        <v>2864</v>
      </c>
      <c r="C1342" s="2">
        <v>8756</v>
      </c>
      <c r="D1342" s="1">
        <v>44026</v>
      </c>
      <c r="E1342" t="str">
        <f>"104651"</f>
        <v>104651</v>
      </c>
      <c r="F1342" t="str">
        <f>"Sprayers for R&amp;B"</f>
        <v>Sprayers for R&amp;B</v>
      </c>
      <c r="G1342" s="2">
        <v>8756</v>
      </c>
      <c r="H1342" t="str">
        <f>"73.7011"</f>
        <v>73.7011</v>
      </c>
    </row>
    <row r="1343" spans="1:8" x14ac:dyDescent="0.25">
      <c r="E1343" t="str">
        <f>""</f>
        <v/>
      </c>
      <c r="F1343" t="str">
        <f>""</f>
        <v/>
      </c>
      <c r="H1343" t="str">
        <f>"86971120"</f>
        <v>86971120</v>
      </c>
    </row>
    <row r="1344" spans="1:8" x14ac:dyDescent="0.25">
      <c r="A1344" t="s">
        <v>327</v>
      </c>
      <c r="B1344">
        <v>132468</v>
      </c>
      <c r="C1344" s="2">
        <v>266.25</v>
      </c>
      <c r="D1344" s="1">
        <v>44025</v>
      </c>
      <c r="E1344" t="str">
        <f>"206424621"</f>
        <v>206424621</v>
      </c>
      <c r="F1344" t="str">
        <f>"inv# 206424621"</f>
        <v>inv# 206424621</v>
      </c>
      <c r="G1344" s="2">
        <v>266.25</v>
      </c>
      <c r="H1344" t="str">
        <f>"inv# 206424621"</f>
        <v>inv# 206424621</v>
      </c>
    </row>
    <row r="1345" spans="1:8" x14ac:dyDescent="0.25">
      <c r="A1345" t="s">
        <v>328</v>
      </c>
      <c r="B1345">
        <v>132469</v>
      </c>
      <c r="C1345" s="2">
        <v>15000</v>
      </c>
      <c r="D1345" s="1">
        <v>44025</v>
      </c>
      <c r="E1345" t="str">
        <f>"94-1807"</f>
        <v>94-1807</v>
      </c>
      <c r="F1345" t="str">
        <f>"ACCT#6909/SVCS JUNE 16 18&amp;19"</f>
        <v>ACCT#6909/SVCS JUNE 16 18&amp;19</v>
      </c>
      <c r="G1345" s="2">
        <v>7500</v>
      </c>
      <c r="H1345" t="str">
        <f>"ACCT#6909/SVCS JUNE 16 18&amp;19"</f>
        <v>ACCT#6909/SVCS JUNE 16 18&amp;19</v>
      </c>
    </row>
    <row r="1346" spans="1:8" x14ac:dyDescent="0.25">
      <c r="E1346" t="str">
        <f>"94-1808"</f>
        <v>94-1808</v>
      </c>
      <c r="F1346" t="str">
        <f>"ACCT#6909/SVCS JUNE 23  25&amp;26"</f>
        <v>ACCT#6909/SVCS JUNE 23  25&amp;26</v>
      </c>
      <c r="G1346" s="2">
        <v>7500</v>
      </c>
      <c r="H1346" t="str">
        <f>"ACCT#6909/SVCS JUNE 23  25&amp;26"</f>
        <v>ACCT#6909/SVCS JUNE 23  25&amp;26</v>
      </c>
    </row>
    <row r="1347" spans="1:8" x14ac:dyDescent="0.25">
      <c r="A1347" t="s">
        <v>328</v>
      </c>
      <c r="B1347">
        <v>132574</v>
      </c>
      <c r="C1347" s="2">
        <v>2500</v>
      </c>
      <c r="D1347" s="1">
        <v>44039</v>
      </c>
      <c r="E1347" t="str">
        <f>"94-2136"</f>
        <v>94-2136</v>
      </c>
      <c r="F1347" t="str">
        <f>"PER DAY TESTERS-07/09/2020"</f>
        <v>PER DAY TESTERS-07/09/2020</v>
      </c>
      <c r="G1347" s="2">
        <v>2500</v>
      </c>
      <c r="H1347" t="str">
        <f>"PER DAY TESTERS-07/09/2020"</f>
        <v>PER DAY TESTERS-07/09/2020</v>
      </c>
    </row>
    <row r="1348" spans="1:8" x14ac:dyDescent="0.25">
      <c r="A1348" t="s">
        <v>260</v>
      </c>
      <c r="B1348">
        <v>132470</v>
      </c>
      <c r="C1348" s="2">
        <v>1166.23</v>
      </c>
      <c r="D1348" s="1">
        <v>44025</v>
      </c>
      <c r="E1348" t="str">
        <f>"3449027185/187"</f>
        <v>3449027185/187</v>
      </c>
      <c r="F1348" t="str">
        <f>"sum# 80587111592"</f>
        <v>sum# 80587111592</v>
      </c>
      <c r="G1348" s="2">
        <v>1166.23</v>
      </c>
      <c r="H1348" t="str">
        <f>"Inv# 3449027185"</f>
        <v>Inv# 3449027185</v>
      </c>
    </row>
    <row r="1349" spans="1:8" x14ac:dyDescent="0.25">
      <c r="E1349" t="str">
        <f>""</f>
        <v/>
      </c>
      <c r="F1349" t="str">
        <f>""</f>
        <v/>
      </c>
      <c r="H1349" t="str">
        <f>"Inv# 3449027187"</f>
        <v>Inv# 3449027187</v>
      </c>
    </row>
    <row r="1350" spans="1:8" x14ac:dyDescent="0.25">
      <c r="A1350" t="s">
        <v>276</v>
      </c>
      <c r="B1350">
        <v>132301</v>
      </c>
      <c r="C1350" s="2">
        <v>32.21</v>
      </c>
      <c r="D1350" s="1">
        <v>44013</v>
      </c>
      <c r="E1350" t="str">
        <f>"D-2020-3-0110-APTF"</f>
        <v>D-2020-3-0110-APTF</v>
      </c>
      <c r="F1350" t="str">
        <f>"UNEMPLOYMENT QTR END 06/30/20"</f>
        <v>UNEMPLOYMENT QTR END 06/30/20</v>
      </c>
      <c r="G1350" s="2">
        <v>32.21</v>
      </c>
      <c r="H1350" t="str">
        <f>"UNEMPLOYMENT QTR END 06/30/20"</f>
        <v>UNEMPLOYMENT QTR END 06/30/20</v>
      </c>
    </row>
    <row r="1351" spans="1:8" x14ac:dyDescent="0.25">
      <c r="A1351" t="s">
        <v>283</v>
      </c>
      <c r="B1351">
        <v>132471</v>
      </c>
      <c r="C1351" s="2">
        <v>33322.17</v>
      </c>
      <c r="D1351" s="1">
        <v>44025</v>
      </c>
      <c r="E1351" t="str">
        <f>"9-4115"</f>
        <v>9-4115</v>
      </c>
      <c r="F1351" t="str">
        <f>"inv# 9-4115"</f>
        <v>inv# 9-4115</v>
      </c>
      <c r="G1351" s="2">
        <v>33322.17</v>
      </c>
      <c r="H1351" t="str">
        <f>"inv# 9-4115"</f>
        <v>inv# 9-4115</v>
      </c>
    </row>
    <row r="1352" spans="1:8" x14ac:dyDescent="0.25">
      <c r="A1352" t="s">
        <v>329</v>
      </c>
      <c r="B1352">
        <v>2861</v>
      </c>
      <c r="C1352" s="2">
        <v>10350</v>
      </c>
      <c r="D1352" s="1">
        <v>44026</v>
      </c>
      <c r="E1352" t="str">
        <f>"V2-CV-#1842"</f>
        <v>V2-CV-#1842</v>
      </c>
      <c r="F1352" t="str">
        <f>"PPE Restock"</f>
        <v>PPE Restock</v>
      </c>
      <c r="G1352" s="2">
        <v>10350</v>
      </c>
      <c r="H1352" t="str">
        <f>"N95 Mask"</f>
        <v>N95 Mask</v>
      </c>
    </row>
    <row r="1353" spans="1:8" x14ac:dyDescent="0.25">
      <c r="E1353" t="str">
        <f>""</f>
        <v/>
      </c>
      <c r="F1353" t="str">
        <f>""</f>
        <v/>
      </c>
      <c r="H1353" t="str">
        <f>"3-Ply"</f>
        <v>3-Ply</v>
      </c>
    </row>
    <row r="1354" spans="1:8" x14ac:dyDescent="0.25">
      <c r="A1354" t="s">
        <v>330</v>
      </c>
      <c r="B1354">
        <v>132472</v>
      </c>
      <c r="C1354" s="2">
        <v>452.64</v>
      </c>
      <c r="D1354" s="1">
        <v>44025</v>
      </c>
      <c r="E1354" t="str">
        <f>"INV7791703"</f>
        <v>INV7791703</v>
      </c>
      <c r="F1354" t="str">
        <f>"PPE"</f>
        <v>PPE</v>
      </c>
      <c r="G1354" s="2">
        <v>452.64</v>
      </c>
      <c r="H1354" t="str">
        <f>"Isopropyl Alcohol"</f>
        <v>Isopropyl Alcohol</v>
      </c>
    </row>
    <row r="1355" spans="1:8" x14ac:dyDescent="0.25">
      <c r="A1355" t="s">
        <v>331</v>
      </c>
      <c r="B1355">
        <v>643</v>
      </c>
      <c r="C1355" s="2">
        <v>4909.0200000000004</v>
      </c>
      <c r="D1355" s="1">
        <v>44040</v>
      </c>
      <c r="E1355" t="str">
        <f>"AS 202007087798"</f>
        <v>AS 202007087798</v>
      </c>
      <c r="F1355" t="str">
        <f t="shared" ref="F1355:F1368" si="14">"ALLSTATE"</f>
        <v>ALLSTATE</v>
      </c>
      <c r="G1355" s="2">
        <v>478.93</v>
      </c>
      <c r="H1355" t="str">
        <f t="shared" ref="H1355:H1368" si="15">"ALLSTATE"</f>
        <v>ALLSTATE</v>
      </c>
    </row>
    <row r="1356" spans="1:8" x14ac:dyDescent="0.25">
      <c r="E1356" t="str">
        <f>"AS 202007087799"</f>
        <v>AS 202007087799</v>
      </c>
      <c r="F1356" t="str">
        <f t="shared" si="14"/>
        <v>ALLSTATE</v>
      </c>
      <c r="G1356" s="2">
        <v>27.14</v>
      </c>
      <c r="H1356" t="str">
        <f t="shared" si="15"/>
        <v>ALLSTATE</v>
      </c>
    </row>
    <row r="1357" spans="1:8" x14ac:dyDescent="0.25">
      <c r="E1357" t="str">
        <f>"AS 202007228005"</f>
        <v>AS 202007228005</v>
      </c>
      <c r="F1357" t="str">
        <f t="shared" si="14"/>
        <v>ALLSTATE</v>
      </c>
      <c r="G1357" s="2">
        <v>478.93</v>
      </c>
      <c r="H1357" t="str">
        <f t="shared" si="15"/>
        <v>ALLSTATE</v>
      </c>
    </row>
    <row r="1358" spans="1:8" x14ac:dyDescent="0.25">
      <c r="E1358" t="str">
        <f>"AS 202007228006"</f>
        <v>AS 202007228006</v>
      </c>
      <c r="F1358" t="str">
        <f t="shared" si="14"/>
        <v>ALLSTATE</v>
      </c>
      <c r="G1358" s="2">
        <v>27.14</v>
      </c>
      <c r="H1358" t="str">
        <f t="shared" si="15"/>
        <v>ALLSTATE</v>
      </c>
    </row>
    <row r="1359" spans="1:8" x14ac:dyDescent="0.25">
      <c r="E1359" t="str">
        <f>"ASD202007087798"</f>
        <v>ASD202007087798</v>
      </c>
      <c r="F1359" t="str">
        <f t="shared" si="14"/>
        <v>ALLSTATE</v>
      </c>
      <c r="G1359" s="2">
        <v>170.21</v>
      </c>
      <c r="H1359" t="str">
        <f t="shared" si="15"/>
        <v>ALLSTATE</v>
      </c>
    </row>
    <row r="1360" spans="1:8" x14ac:dyDescent="0.25">
      <c r="E1360" t="str">
        <f>"ASD202007228005"</f>
        <v>ASD202007228005</v>
      </c>
      <c r="F1360" t="str">
        <f t="shared" si="14"/>
        <v>ALLSTATE</v>
      </c>
      <c r="G1360" s="2">
        <v>170.21</v>
      </c>
      <c r="H1360" t="str">
        <f t="shared" si="15"/>
        <v>ALLSTATE</v>
      </c>
    </row>
    <row r="1361" spans="1:8" x14ac:dyDescent="0.25">
      <c r="E1361" t="str">
        <f>"ASI202007087798"</f>
        <v>ASI202007087798</v>
      </c>
      <c r="F1361" t="str">
        <f t="shared" si="14"/>
        <v>ALLSTATE</v>
      </c>
      <c r="G1361" s="2">
        <v>592.16</v>
      </c>
      <c r="H1361" t="str">
        <f t="shared" si="15"/>
        <v>ALLSTATE</v>
      </c>
    </row>
    <row r="1362" spans="1:8" x14ac:dyDescent="0.25">
      <c r="E1362" t="str">
        <f>"ASI202007087799"</f>
        <v>ASI202007087799</v>
      </c>
      <c r="F1362" t="str">
        <f t="shared" si="14"/>
        <v>ALLSTATE</v>
      </c>
      <c r="G1362" s="2">
        <v>67.150000000000006</v>
      </c>
      <c r="H1362" t="str">
        <f t="shared" si="15"/>
        <v>ALLSTATE</v>
      </c>
    </row>
    <row r="1363" spans="1:8" x14ac:dyDescent="0.25">
      <c r="E1363" t="str">
        <f>"ASI202007228005"</f>
        <v>ASI202007228005</v>
      </c>
      <c r="F1363" t="str">
        <f t="shared" si="14"/>
        <v>ALLSTATE</v>
      </c>
      <c r="G1363" s="2">
        <v>592.16</v>
      </c>
      <c r="H1363" t="str">
        <f t="shared" si="15"/>
        <v>ALLSTATE</v>
      </c>
    </row>
    <row r="1364" spans="1:8" x14ac:dyDescent="0.25">
      <c r="E1364" t="str">
        <f>"ASI202007228006"</f>
        <v>ASI202007228006</v>
      </c>
      <c r="F1364" t="str">
        <f t="shared" si="14"/>
        <v>ALLSTATE</v>
      </c>
      <c r="G1364" s="2">
        <v>67.150000000000006</v>
      </c>
      <c r="H1364" t="str">
        <f t="shared" si="15"/>
        <v>ALLSTATE</v>
      </c>
    </row>
    <row r="1365" spans="1:8" x14ac:dyDescent="0.25">
      <c r="E1365" t="str">
        <f>"AST202007087798"</f>
        <v>AST202007087798</v>
      </c>
      <c r="F1365" t="str">
        <f t="shared" si="14"/>
        <v>ALLSTATE</v>
      </c>
      <c r="G1365" s="2">
        <v>1076.31</v>
      </c>
      <c r="H1365" t="str">
        <f t="shared" si="15"/>
        <v>ALLSTATE</v>
      </c>
    </row>
    <row r="1366" spans="1:8" x14ac:dyDescent="0.25">
      <c r="E1366" t="str">
        <f>"AST202007087799"</f>
        <v>AST202007087799</v>
      </c>
      <c r="F1366" t="str">
        <f t="shared" si="14"/>
        <v>ALLSTATE</v>
      </c>
      <c r="G1366" s="2">
        <v>42.61</v>
      </c>
      <c r="H1366" t="str">
        <f t="shared" si="15"/>
        <v>ALLSTATE</v>
      </c>
    </row>
    <row r="1367" spans="1:8" x14ac:dyDescent="0.25">
      <c r="E1367" t="str">
        <f>"AST202007228005"</f>
        <v>AST202007228005</v>
      </c>
      <c r="F1367" t="str">
        <f t="shared" si="14"/>
        <v>ALLSTATE</v>
      </c>
      <c r="G1367" s="2">
        <v>1076.31</v>
      </c>
      <c r="H1367" t="str">
        <f t="shared" si="15"/>
        <v>ALLSTATE</v>
      </c>
    </row>
    <row r="1368" spans="1:8" x14ac:dyDescent="0.25">
      <c r="E1368" t="str">
        <f>"AST202007228006"</f>
        <v>AST202007228006</v>
      </c>
      <c r="F1368" t="str">
        <f t="shared" si="14"/>
        <v>ALLSTATE</v>
      </c>
      <c r="G1368" s="2">
        <v>42.61</v>
      </c>
      <c r="H1368" t="str">
        <f t="shared" si="15"/>
        <v>ALLSTATE</v>
      </c>
    </row>
    <row r="1369" spans="1:8" x14ac:dyDescent="0.25">
      <c r="A1369" t="s">
        <v>331</v>
      </c>
      <c r="B1369">
        <v>644</v>
      </c>
      <c r="C1369" s="2">
        <v>0.04</v>
      </c>
      <c r="D1369" s="1">
        <v>44041</v>
      </c>
      <c r="E1369" t="str">
        <f>"202007288023"</f>
        <v>202007288023</v>
      </c>
      <c r="F1369" t="str">
        <f>"JULY 202 - ROUNDING"</f>
        <v>JULY 202 - ROUNDING</v>
      </c>
      <c r="G1369" s="2">
        <v>0.04</v>
      </c>
      <c r="H1369" t="str">
        <f>"JULY 202 - ROUNDING"</f>
        <v>JULY 202 - ROUNDING</v>
      </c>
    </row>
    <row r="1370" spans="1:8" x14ac:dyDescent="0.25">
      <c r="A1370" t="s">
        <v>332</v>
      </c>
      <c r="B1370">
        <v>638</v>
      </c>
      <c r="C1370" s="2">
        <v>28003.06</v>
      </c>
      <c r="D1370" s="1">
        <v>44041</v>
      </c>
      <c r="E1370" t="str">
        <f>"202007288022"</f>
        <v>202007288022</v>
      </c>
      <c r="F1370" t="str">
        <f>"JULY 2020"</f>
        <v>JULY 2020</v>
      </c>
      <c r="G1370" s="2">
        <v>28003.06</v>
      </c>
      <c r="H1370" t="str">
        <f>"JULY 2020"</f>
        <v>JULY 2020</v>
      </c>
    </row>
    <row r="1371" spans="1:8" x14ac:dyDescent="0.25">
      <c r="A1371" t="s">
        <v>333</v>
      </c>
      <c r="B1371">
        <v>585</v>
      </c>
      <c r="C1371" s="2">
        <v>2378.08</v>
      </c>
      <c r="D1371" s="1">
        <v>44022</v>
      </c>
      <c r="E1371" t="str">
        <f>"DHM202007087800"</f>
        <v>DHM202007087800</v>
      </c>
      <c r="F1371" t="str">
        <f>"AP - DENTAL HMO"</f>
        <v>AP - DENTAL HMO</v>
      </c>
      <c r="G1371" s="2">
        <v>45.09</v>
      </c>
      <c r="H1371" t="str">
        <f>"AP - DENTAL HMO"</f>
        <v>AP - DENTAL HMO</v>
      </c>
    </row>
    <row r="1372" spans="1:8" x14ac:dyDescent="0.25">
      <c r="E1372" t="str">
        <f>"DTX202007087800"</f>
        <v>DTX202007087800</v>
      </c>
      <c r="F1372" t="str">
        <f>"AP - TEXAS DENTAL"</f>
        <v>AP - TEXAS DENTAL</v>
      </c>
      <c r="G1372" s="2">
        <v>405.38</v>
      </c>
      <c r="H1372" t="str">
        <f>"AP - TEXAS DENTAL"</f>
        <v>AP - TEXAS DENTAL</v>
      </c>
    </row>
    <row r="1373" spans="1:8" x14ac:dyDescent="0.25">
      <c r="E1373" t="str">
        <f>"FD 202007087800"</f>
        <v>FD 202007087800</v>
      </c>
      <c r="F1373" t="str">
        <f>"AP - FT DEARBORN PRE-TAX"</f>
        <v>AP - FT DEARBORN PRE-TAX</v>
      </c>
      <c r="G1373" s="2">
        <v>80.09</v>
      </c>
      <c r="H1373" t="str">
        <f>"AP - FT DEARBORN PRE-TAX"</f>
        <v>AP - FT DEARBORN PRE-TAX</v>
      </c>
    </row>
    <row r="1374" spans="1:8" x14ac:dyDescent="0.25">
      <c r="E1374" t="str">
        <f>"FDT202007087800"</f>
        <v>FDT202007087800</v>
      </c>
      <c r="F1374" t="str">
        <f>"AP - FT DEARBORN AFTER TAX"</f>
        <v>AP - FT DEARBORN AFTER TAX</v>
      </c>
      <c r="G1374" s="2">
        <v>68.44</v>
      </c>
      <c r="H1374" t="str">
        <f>"AP - FT DEARBORN AFTER TAX"</f>
        <v>AP - FT DEARBORN AFTER TAX</v>
      </c>
    </row>
    <row r="1375" spans="1:8" x14ac:dyDescent="0.25">
      <c r="E1375" t="str">
        <f>"FLX202007087800"</f>
        <v>FLX202007087800</v>
      </c>
      <c r="F1375" t="str">
        <f>"AP - TEX FLEX"</f>
        <v>AP - TEX FLEX</v>
      </c>
      <c r="G1375" s="2">
        <v>80.5</v>
      </c>
      <c r="H1375" t="str">
        <f>"AP - TEX FLEX"</f>
        <v>AP - TEX FLEX</v>
      </c>
    </row>
    <row r="1376" spans="1:8" x14ac:dyDescent="0.25">
      <c r="E1376" t="str">
        <f>"HSA202007087800"</f>
        <v>HSA202007087800</v>
      </c>
      <c r="F1376" t="str">
        <f>"AP- HSA"</f>
        <v>AP- HSA</v>
      </c>
      <c r="G1376" s="2">
        <v>20</v>
      </c>
      <c r="H1376" t="str">
        <f>"AP- HSA"</f>
        <v>AP- HSA</v>
      </c>
    </row>
    <row r="1377" spans="1:8" x14ac:dyDescent="0.25">
      <c r="E1377" t="str">
        <f>"MHS202007087800"</f>
        <v>MHS202007087800</v>
      </c>
      <c r="F1377" t="str">
        <f>"AP - HEALTH SELECT MEDICAL"</f>
        <v>AP - HEALTH SELECT MEDICAL</v>
      </c>
      <c r="G1377" s="2">
        <v>1257.6500000000001</v>
      </c>
      <c r="H1377" t="str">
        <f>"AP - HEALTH SELECT MEDICAL"</f>
        <v>AP - HEALTH SELECT MEDICAL</v>
      </c>
    </row>
    <row r="1378" spans="1:8" x14ac:dyDescent="0.25">
      <c r="E1378" t="str">
        <f>"MSW202007087800"</f>
        <v>MSW202007087800</v>
      </c>
      <c r="F1378" t="str">
        <f>"AP - SCOTT &amp; WHITE MEDICAL"</f>
        <v>AP - SCOTT &amp; WHITE MEDICAL</v>
      </c>
      <c r="G1378" s="2">
        <v>372.9</v>
      </c>
      <c r="H1378" t="str">
        <f>"AP - SCOTT &amp; WHITE MEDICAL"</f>
        <v>AP - SCOTT &amp; WHITE MEDICAL</v>
      </c>
    </row>
    <row r="1379" spans="1:8" x14ac:dyDescent="0.25">
      <c r="E1379" t="str">
        <f>"SPE202007087800"</f>
        <v>SPE202007087800</v>
      </c>
      <c r="F1379" t="str">
        <f>"AP - STATE VISION"</f>
        <v>AP - STATE VISION</v>
      </c>
      <c r="G1379" s="2">
        <v>48.03</v>
      </c>
      <c r="H1379" t="str">
        <f>"AP - STATE VISION"</f>
        <v>AP - STATE VISION</v>
      </c>
    </row>
    <row r="1380" spans="1:8" x14ac:dyDescent="0.25">
      <c r="A1380" t="s">
        <v>333</v>
      </c>
      <c r="B1380">
        <v>630</v>
      </c>
      <c r="C1380" s="2">
        <v>2378.08</v>
      </c>
      <c r="D1380" s="1">
        <v>44036</v>
      </c>
      <c r="E1380" t="str">
        <f>"DHM202007228007"</f>
        <v>DHM202007228007</v>
      </c>
      <c r="F1380" t="str">
        <f>"AP - DENTAL HMO"</f>
        <v>AP - DENTAL HMO</v>
      </c>
      <c r="G1380" s="2">
        <v>45.09</v>
      </c>
      <c r="H1380" t="str">
        <f>"AP - DENTAL HMO"</f>
        <v>AP - DENTAL HMO</v>
      </c>
    </row>
    <row r="1381" spans="1:8" x14ac:dyDescent="0.25">
      <c r="E1381" t="str">
        <f>"DTX202007228007"</f>
        <v>DTX202007228007</v>
      </c>
      <c r="F1381" t="str">
        <f>"AP - TEXAS DENTAL"</f>
        <v>AP - TEXAS DENTAL</v>
      </c>
      <c r="G1381" s="2">
        <v>405.38</v>
      </c>
      <c r="H1381" t="str">
        <f>"AP - TEXAS DENTAL"</f>
        <v>AP - TEXAS DENTAL</v>
      </c>
    </row>
    <row r="1382" spans="1:8" x14ac:dyDescent="0.25">
      <c r="E1382" t="str">
        <f>"FD 202007228007"</f>
        <v>FD 202007228007</v>
      </c>
      <c r="F1382" t="str">
        <f>"AP - FT DEARBORN PRE-TAX"</f>
        <v>AP - FT DEARBORN PRE-TAX</v>
      </c>
      <c r="G1382" s="2">
        <v>80.09</v>
      </c>
      <c r="H1382" t="str">
        <f>"AP - FT DEARBORN PRE-TAX"</f>
        <v>AP - FT DEARBORN PRE-TAX</v>
      </c>
    </row>
    <row r="1383" spans="1:8" x14ac:dyDescent="0.25">
      <c r="E1383" t="str">
        <f>"FDT202007228007"</f>
        <v>FDT202007228007</v>
      </c>
      <c r="F1383" t="str">
        <f>"AP - FT DEARBORN AFTER TAX"</f>
        <v>AP - FT DEARBORN AFTER TAX</v>
      </c>
      <c r="G1383" s="2">
        <v>68.44</v>
      </c>
      <c r="H1383" t="str">
        <f>"AP - FT DEARBORN AFTER TAX"</f>
        <v>AP - FT DEARBORN AFTER TAX</v>
      </c>
    </row>
    <row r="1384" spans="1:8" x14ac:dyDescent="0.25">
      <c r="E1384" t="str">
        <f>"FLX202007228007"</f>
        <v>FLX202007228007</v>
      </c>
      <c r="F1384" t="str">
        <f>"AP - TEX FLEX"</f>
        <v>AP - TEX FLEX</v>
      </c>
      <c r="G1384" s="2">
        <v>80.5</v>
      </c>
      <c r="H1384" t="str">
        <f>"AP - TEX FLEX"</f>
        <v>AP - TEX FLEX</v>
      </c>
    </row>
    <row r="1385" spans="1:8" x14ac:dyDescent="0.25">
      <c r="E1385" t="str">
        <f>"HSA202007228007"</f>
        <v>HSA202007228007</v>
      </c>
      <c r="F1385" t="str">
        <f>"AP- HSA"</f>
        <v>AP- HSA</v>
      </c>
      <c r="G1385" s="2">
        <v>20</v>
      </c>
      <c r="H1385" t="str">
        <f>"AP- HSA"</f>
        <v>AP- HSA</v>
      </c>
    </row>
    <row r="1386" spans="1:8" x14ac:dyDescent="0.25">
      <c r="E1386" t="str">
        <f>"MHS202007228007"</f>
        <v>MHS202007228007</v>
      </c>
      <c r="F1386" t="str">
        <f>"AP - HEALTH SELECT MEDICAL"</f>
        <v>AP - HEALTH SELECT MEDICAL</v>
      </c>
      <c r="G1386" s="2">
        <v>1257.6500000000001</v>
      </c>
      <c r="H1386" t="str">
        <f>"AP - HEALTH SELECT MEDICAL"</f>
        <v>AP - HEALTH SELECT MEDICAL</v>
      </c>
    </row>
    <row r="1387" spans="1:8" x14ac:dyDescent="0.25">
      <c r="E1387" t="str">
        <f>"MSW202007228007"</f>
        <v>MSW202007228007</v>
      </c>
      <c r="F1387" t="str">
        <f>"AP - SCOTT &amp; WHITE MEDICAL"</f>
        <v>AP - SCOTT &amp; WHITE MEDICAL</v>
      </c>
      <c r="G1387" s="2">
        <v>372.9</v>
      </c>
      <c r="H1387" t="str">
        <f>"AP - SCOTT &amp; WHITE MEDICAL"</f>
        <v>AP - SCOTT &amp; WHITE MEDICAL</v>
      </c>
    </row>
    <row r="1388" spans="1:8" x14ac:dyDescent="0.25">
      <c r="E1388" t="str">
        <f>"SPE202007228007"</f>
        <v>SPE202007228007</v>
      </c>
      <c r="F1388" t="str">
        <f>"AP - STATE VISION"</f>
        <v>AP - STATE VISION</v>
      </c>
      <c r="G1388" s="2">
        <v>48.03</v>
      </c>
      <c r="H1388" t="str">
        <f>"AP - STATE VISION"</f>
        <v>AP - STATE VISION</v>
      </c>
    </row>
    <row r="1389" spans="1:8" x14ac:dyDescent="0.25">
      <c r="A1389" t="s">
        <v>334</v>
      </c>
      <c r="B1389">
        <v>645</v>
      </c>
      <c r="C1389" s="2">
        <v>4739.96</v>
      </c>
      <c r="D1389" s="1">
        <v>44040</v>
      </c>
      <c r="E1389" t="str">
        <f>"CL 202007087798"</f>
        <v>CL 202007087798</v>
      </c>
      <c r="F1389" t="str">
        <f t="shared" ref="F1389:F1408" si="16">"COLONIAL"</f>
        <v>COLONIAL</v>
      </c>
      <c r="G1389" s="2">
        <v>596.15</v>
      </c>
      <c r="H1389" t="str">
        <f t="shared" ref="H1389:H1408" si="17">"COLONIAL"</f>
        <v>COLONIAL</v>
      </c>
    </row>
    <row r="1390" spans="1:8" x14ac:dyDescent="0.25">
      <c r="E1390" t="str">
        <f>"CL 202007087799"</f>
        <v>CL 202007087799</v>
      </c>
      <c r="F1390" t="str">
        <f t="shared" si="16"/>
        <v>COLONIAL</v>
      </c>
      <c r="G1390" s="2">
        <v>14.49</v>
      </c>
      <c r="H1390" t="str">
        <f t="shared" si="17"/>
        <v>COLONIAL</v>
      </c>
    </row>
    <row r="1391" spans="1:8" x14ac:dyDescent="0.25">
      <c r="E1391" t="str">
        <f>"CL 202007228005"</f>
        <v>CL 202007228005</v>
      </c>
      <c r="F1391" t="str">
        <f t="shared" si="16"/>
        <v>COLONIAL</v>
      </c>
      <c r="G1391" s="2">
        <v>596.15</v>
      </c>
      <c r="H1391" t="str">
        <f t="shared" si="17"/>
        <v>COLONIAL</v>
      </c>
    </row>
    <row r="1392" spans="1:8" x14ac:dyDescent="0.25">
      <c r="E1392" t="str">
        <f>"CL 202007228006"</f>
        <v>CL 202007228006</v>
      </c>
      <c r="F1392" t="str">
        <f t="shared" si="16"/>
        <v>COLONIAL</v>
      </c>
      <c r="G1392" s="2">
        <v>14.49</v>
      </c>
      <c r="H1392" t="str">
        <f t="shared" si="17"/>
        <v>COLONIAL</v>
      </c>
    </row>
    <row r="1393" spans="5:8" x14ac:dyDescent="0.25">
      <c r="E1393" t="str">
        <f>"CLC202007087798"</f>
        <v>CLC202007087798</v>
      </c>
      <c r="F1393" t="str">
        <f t="shared" si="16"/>
        <v>COLONIAL</v>
      </c>
      <c r="G1393" s="2">
        <v>33.99</v>
      </c>
      <c r="H1393" t="str">
        <f t="shared" si="17"/>
        <v>COLONIAL</v>
      </c>
    </row>
    <row r="1394" spans="5:8" x14ac:dyDescent="0.25">
      <c r="E1394" t="str">
        <f>"CLC202007228005"</f>
        <v>CLC202007228005</v>
      </c>
      <c r="F1394" t="str">
        <f t="shared" si="16"/>
        <v>COLONIAL</v>
      </c>
      <c r="G1394" s="2">
        <v>33.99</v>
      </c>
      <c r="H1394" t="str">
        <f t="shared" si="17"/>
        <v>COLONIAL</v>
      </c>
    </row>
    <row r="1395" spans="5:8" x14ac:dyDescent="0.25">
      <c r="E1395" t="str">
        <f>"CLI202007087798"</f>
        <v>CLI202007087798</v>
      </c>
      <c r="F1395" t="str">
        <f t="shared" si="16"/>
        <v>COLONIAL</v>
      </c>
      <c r="G1395" s="2">
        <v>566.54999999999995</v>
      </c>
      <c r="H1395" t="str">
        <f t="shared" si="17"/>
        <v>COLONIAL</v>
      </c>
    </row>
    <row r="1396" spans="5:8" x14ac:dyDescent="0.25">
      <c r="E1396" t="str">
        <f>"CLI202007228005"</f>
        <v>CLI202007228005</v>
      </c>
      <c r="F1396" t="str">
        <f t="shared" si="16"/>
        <v>COLONIAL</v>
      </c>
      <c r="G1396" s="2">
        <v>566.54999999999995</v>
      </c>
      <c r="H1396" t="str">
        <f t="shared" si="17"/>
        <v>COLONIAL</v>
      </c>
    </row>
    <row r="1397" spans="5:8" x14ac:dyDescent="0.25">
      <c r="E1397" t="str">
        <f>"CLK202007087798"</f>
        <v>CLK202007087798</v>
      </c>
      <c r="F1397" t="str">
        <f t="shared" si="16"/>
        <v>COLONIAL</v>
      </c>
      <c r="G1397" s="2">
        <v>27.09</v>
      </c>
      <c r="H1397" t="str">
        <f t="shared" si="17"/>
        <v>COLONIAL</v>
      </c>
    </row>
    <row r="1398" spans="5:8" x14ac:dyDescent="0.25">
      <c r="E1398" t="str">
        <f>"CLK202007228005"</f>
        <v>CLK202007228005</v>
      </c>
      <c r="F1398" t="str">
        <f t="shared" si="16"/>
        <v>COLONIAL</v>
      </c>
      <c r="G1398" s="2">
        <v>27.09</v>
      </c>
      <c r="H1398" t="str">
        <f t="shared" si="17"/>
        <v>COLONIAL</v>
      </c>
    </row>
    <row r="1399" spans="5:8" x14ac:dyDescent="0.25">
      <c r="E1399" t="str">
        <f>"CLS202007087798"</f>
        <v>CLS202007087798</v>
      </c>
      <c r="F1399" t="str">
        <f t="shared" si="16"/>
        <v>COLONIAL</v>
      </c>
      <c r="G1399" s="2">
        <v>330.54</v>
      </c>
      <c r="H1399" t="str">
        <f t="shared" si="17"/>
        <v>COLONIAL</v>
      </c>
    </row>
    <row r="1400" spans="5:8" x14ac:dyDescent="0.25">
      <c r="E1400" t="str">
        <f>"CLS202007087799"</f>
        <v>CLS202007087799</v>
      </c>
      <c r="F1400" t="str">
        <f t="shared" si="16"/>
        <v>COLONIAL</v>
      </c>
      <c r="G1400" s="2">
        <v>15.73</v>
      </c>
      <c r="H1400" t="str">
        <f t="shared" si="17"/>
        <v>COLONIAL</v>
      </c>
    </row>
    <row r="1401" spans="5:8" x14ac:dyDescent="0.25">
      <c r="E1401" t="str">
        <f>"CLS202007228005"</f>
        <v>CLS202007228005</v>
      </c>
      <c r="F1401" t="str">
        <f t="shared" si="16"/>
        <v>COLONIAL</v>
      </c>
      <c r="G1401" s="2">
        <v>330.54</v>
      </c>
      <c r="H1401" t="str">
        <f t="shared" si="17"/>
        <v>COLONIAL</v>
      </c>
    </row>
    <row r="1402" spans="5:8" x14ac:dyDescent="0.25">
      <c r="E1402" t="str">
        <f>"CLS202007228006"</f>
        <v>CLS202007228006</v>
      </c>
      <c r="F1402" t="str">
        <f t="shared" si="16"/>
        <v>COLONIAL</v>
      </c>
      <c r="G1402" s="2">
        <v>15.73</v>
      </c>
      <c r="H1402" t="str">
        <f t="shared" si="17"/>
        <v>COLONIAL</v>
      </c>
    </row>
    <row r="1403" spans="5:8" x14ac:dyDescent="0.25">
      <c r="E1403" t="str">
        <f>"CLT202007087798"</f>
        <v>CLT202007087798</v>
      </c>
      <c r="F1403" t="str">
        <f t="shared" si="16"/>
        <v>COLONIAL</v>
      </c>
      <c r="G1403" s="2">
        <v>365.09</v>
      </c>
      <c r="H1403" t="str">
        <f t="shared" si="17"/>
        <v>COLONIAL</v>
      </c>
    </row>
    <row r="1404" spans="5:8" x14ac:dyDescent="0.25">
      <c r="E1404" t="str">
        <f>"CLT202007228005"</f>
        <v>CLT202007228005</v>
      </c>
      <c r="F1404" t="str">
        <f t="shared" si="16"/>
        <v>COLONIAL</v>
      </c>
      <c r="G1404" s="2">
        <v>365.09</v>
      </c>
      <c r="H1404" t="str">
        <f t="shared" si="17"/>
        <v>COLONIAL</v>
      </c>
    </row>
    <row r="1405" spans="5:8" x14ac:dyDescent="0.25">
      <c r="E1405" t="str">
        <f>"CLU202007087798"</f>
        <v>CLU202007087798</v>
      </c>
      <c r="F1405" t="str">
        <f t="shared" si="16"/>
        <v>COLONIAL</v>
      </c>
      <c r="G1405" s="2">
        <v>111.55</v>
      </c>
      <c r="H1405" t="str">
        <f t="shared" si="17"/>
        <v>COLONIAL</v>
      </c>
    </row>
    <row r="1406" spans="5:8" x14ac:dyDescent="0.25">
      <c r="E1406" t="str">
        <f>"CLU202007228005"</f>
        <v>CLU202007228005</v>
      </c>
      <c r="F1406" t="str">
        <f t="shared" si="16"/>
        <v>COLONIAL</v>
      </c>
      <c r="G1406" s="2">
        <v>111.55</v>
      </c>
      <c r="H1406" t="str">
        <f t="shared" si="17"/>
        <v>COLONIAL</v>
      </c>
    </row>
    <row r="1407" spans="5:8" x14ac:dyDescent="0.25">
      <c r="E1407" t="str">
        <f>"CLW202007087798"</f>
        <v>CLW202007087798</v>
      </c>
      <c r="F1407" t="str">
        <f t="shared" si="16"/>
        <v>COLONIAL</v>
      </c>
      <c r="G1407" s="2">
        <v>308.8</v>
      </c>
      <c r="H1407" t="str">
        <f t="shared" si="17"/>
        <v>COLONIAL</v>
      </c>
    </row>
    <row r="1408" spans="5:8" x14ac:dyDescent="0.25">
      <c r="E1408" t="str">
        <f>"CLW202007228005"</f>
        <v>CLW202007228005</v>
      </c>
      <c r="F1408" t="str">
        <f t="shared" si="16"/>
        <v>COLONIAL</v>
      </c>
      <c r="G1408" s="2">
        <v>308.8</v>
      </c>
      <c r="H1408" t="str">
        <f t="shared" si="17"/>
        <v>COLONIAL</v>
      </c>
    </row>
    <row r="1409" spans="1:8" x14ac:dyDescent="0.25">
      <c r="A1409" t="s">
        <v>334</v>
      </c>
      <c r="B1409">
        <v>646</v>
      </c>
      <c r="C1409" s="2">
        <v>0.44</v>
      </c>
      <c r="D1409" s="1">
        <v>44041</v>
      </c>
      <c r="E1409" t="str">
        <f>"202007288024"</f>
        <v>202007288024</v>
      </c>
      <c r="F1409" t="str">
        <f>"JULY 2020 - ROUNDING"</f>
        <v>JULY 2020 - ROUNDING</v>
      </c>
      <c r="G1409" s="2">
        <v>0.44</v>
      </c>
      <c r="H1409" t="str">
        <f>"JULY 2020 - ROUNDING"</f>
        <v>JULY 2020 - ROUNDING</v>
      </c>
    </row>
    <row r="1410" spans="1:8" x14ac:dyDescent="0.25">
      <c r="A1410" t="s">
        <v>335</v>
      </c>
      <c r="B1410">
        <v>586</v>
      </c>
      <c r="C1410" s="2">
        <v>7376.76</v>
      </c>
      <c r="D1410" s="1">
        <v>44022</v>
      </c>
      <c r="E1410" t="str">
        <f>"CPI202007087798"</f>
        <v>CPI202007087798</v>
      </c>
      <c r="F1410" t="str">
        <f>"DEFERRED COMP 457B PAYABLE"</f>
        <v>DEFERRED COMP 457B PAYABLE</v>
      </c>
      <c r="G1410" s="2">
        <v>7269.26</v>
      </c>
      <c r="H1410" t="str">
        <f>"DEFERRED COMP 457B PAYABLE"</f>
        <v>DEFERRED COMP 457B PAYABLE</v>
      </c>
    </row>
    <row r="1411" spans="1:8" x14ac:dyDescent="0.25">
      <c r="E1411" t="str">
        <f>"CPI202007087799"</f>
        <v>CPI202007087799</v>
      </c>
      <c r="F1411" t="str">
        <f>"DEFERRED COMP 457B PAYABLE"</f>
        <v>DEFERRED COMP 457B PAYABLE</v>
      </c>
      <c r="G1411" s="2">
        <v>107.5</v>
      </c>
      <c r="H1411" t="str">
        <f>"DEFERRED COMP 457B PAYABLE"</f>
        <v>DEFERRED COMP 457B PAYABLE</v>
      </c>
    </row>
    <row r="1412" spans="1:8" x14ac:dyDescent="0.25">
      <c r="A1412" t="s">
        <v>335</v>
      </c>
      <c r="B1412">
        <v>631</v>
      </c>
      <c r="C1412" s="2">
        <v>7291.9</v>
      </c>
      <c r="D1412" s="1">
        <v>44036</v>
      </c>
      <c r="E1412" t="str">
        <f>"CPI202007228005"</f>
        <v>CPI202007228005</v>
      </c>
      <c r="F1412" t="str">
        <f>"DEFERRED COMP 457B PAYABLE"</f>
        <v>DEFERRED COMP 457B PAYABLE</v>
      </c>
      <c r="G1412" s="2">
        <v>7184.4</v>
      </c>
      <c r="H1412" t="str">
        <f>"DEFERRED COMP 457B PAYABLE"</f>
        <v>DEFERRED COMP 457B PAYABLE</v>
      </c>
    </row>
    <row r="1413" spans="1:8" x14ac:dyDescent="0.25">
      <c r="E1413" t="str">
        <f>"CPI202007228006"</f>
        <v>CPI202007228006</v>
      </c>
      <c r="F1413" t="str">
        <f>"DEFERRED COMP 457B PAYABLE"</f>
        <v>DEFERRED COMP 457B PAYABLE</v>
      </c>
      <c r="G1413" s="2">
        <v>107.5</v>
      </c>
      <c r="H1413" t="str">
        <f>"DEFERRED COMP 457B PAYABLE"</f>
        <v>DEFERRED COMP 457B PAYABLE</v>
      </c>
    </row>
    <row r="1414" spans="1:8" x14ac:dyDescent="0.25">
      <c r="A1414" t="s">
        <v>336</v>
      </c>
      <c r="B1414">
        <v>639</v>
      </c>
      <c r="C1414" s="2">
        <v>38282.589999999997</v>
      </c>
      <c r="D1414" s="1">
        <v>44041</v>
      </c>
      <c r="E1414" t="str">
        <f>"ADC202007087798"</f>
        <v>ADC202007087798</v>
      </c>
      <c r="F1414" t="str">
        <f t="shared" ref="F1414:F1426" si="18">"GUARDIAN"</f>
        <v>GUARDIAN</v>
      </c>
      <c r="G1414" s="2">
        <v>4.55</v>
      </c>
      <c r="H1414" t="str">
        <f t="shared" ref="H1414:H1477" si="19">"GUARDIAN"</f>
        <v>GUARDIAN</v>
      </c>
    </row>
    <row r="1415" spans="1:8" x14ac:dyDescent="0.25">
      <c r="E1415" t="str">
        <f>"ADC202007087799"</f>
        <v>ADC202007087799</v>
      </c>
      <c r="F1415" t="str">
        <f t="shared" si="18"/>
        <v>GUARDIAN</v>
      </c>
      <c r="G1415" s="2">
        <v>0.16</v>
      </c>
      <c r="H1415" t="str">
        <f t="shared" si="19"/>
        <v>GUARDIAN</v>
      </c>
    </row>
    <row r="1416" spans="1:8" x14ac:dyDescent="0.25">
      <c r="E1416" t="str">
        <f>"ADC202007228005"</f>
        <v>ADC202007228005</v>
      </c>
      <c r="F1416" t="str">
        <f t="shared" si="18"/>
        <v>GUARDIAN</v>
      </c>
      <c r="G1416" s="2">
        <v>4.55</v>
      </c>
      <c r="H1416" t="str">
        <f t="shared" si="19"/>
        <v>GUARDIAN</v>
      </c>
    </row>
    <row r="1417" spans="1:8" x14ac:dyDescent="0.25">
      <c r="E1417" t="str">
        <f>"ADC202007228006"</f>
        <v>ADC202007228006</v>
      </c>
      <c r="F1417" t="str">
        <f t="shared" si="18"/>
        <v>GUARDIAN</v>
      </c>
      <c r="G1417" s="2">
        <v>0.16</v>
      </c>
      <c r="H1417" t="str">
        <f t="shared" si="19"/>
        <v>GUARDIAN</v>
      </c>
    </row>
    <row r="1418" spans="1:8" x14ac:dyDescent="0.25">
      <c r="E1418" t="str">
        <f>"ADE202007087798"</f>
        <v>ADE202007087798</v>
      </c>
      <c r="F1418" t="str">
        <f t="shared" si="18"/>
        <v>GUARDIAN</v>
      </c>
      <c r="G1418" s="2">
        <v>220.23</v>
      </c>
      <c r="H1418" t="str">
        <f t="shared" si="19"/>
        <v>GUARDIAN</v>
      </c>
    </row>
    <row r="1419" spans="1:8" x14ac:dyDescent="0.25">
      <c r="E1419" t="str">
        <f>"ADE202007087799"</f>
        <v>ADE202007087799</v>
      </c>
      <c r="F1419" t="str">
        <f t="shared" si="18"/>
        <v>GUARDIAN</v>
      </c>
      <c r="G1419" s="2">
        <v>6.3</v>
      </c>
      <c r="H1419" t="str">
        <f t="shared" si="19"/>
        <v>GUARDIAN</v>
      </c>
    </row>
    <row r="1420" spans="1:8" x14ac:dyDescent="0.25">
      <c r="E1420" t="str">
        <f>"ADE202007228005"</f>
        <v>ADE202007228005</v>
      </c>
      <c r="F1420" t="str">
        <f t="shared" si="18"/>
        <v>GUARDIAN</v>
      </c>
      <c r="G1420" s="2">
        <v>217.23</v>
      </c>
      <c r="H1420" t="str">
        <f t="shared" si="19"/>
        <v>GUARDIAN</v>
      </c>
    </row>
    <row r="1421" spans="1:8" x14ac:dyDescent="0.25">
      <c r="E1421" t="str">
        <f>"ADE202007228006"</f>
        <v>ADE202007228006</v>
      </c>
      <c r="F1421" t="str">
        <f t="shared" si="18"/>
        <v>GUARDIAN</v>
      </c>
      <c r="G1421" s="2">
        <v>6.3</v>
      </c>
      <c r="H1421" t="str">
        <f t="shared" si="19"/>
        <v>GUARDIAN</v>
      </c>
    </row>
    <row r="1422" spans="1:8" x14ac:dyDescent="0.25">
      <c r="E1422" t="str">
        <f>"ADS202007087798"</f>
        <v>ADS202007087798</v>
      </c>
      <c r="F1422" t="str">
        <f t="shared" si="18"/>
        <v>GUARDIAN</v>
      </c>
      <c r="G1422" s="2">
        <v>37.01</v>
      </c>
      <c r="H1422" t="str">
        <f t="shared" si="19"/>
        <v>GUARDIAN</v>
      </c>
    </row>
    <row r="1423" spans="1:8" x14ac:dyDescent="0.25">
      <c r="E1423" t="str">
        <f>"ADS202007087799"</f>
        <v>ADS202007087799</v>
      </c>
      <c r="F1423" t="str">
        <f t="shared" si="18"/>
        <v>GUARDIAN</v>
      </c>
      <c r="G1423" s="2">
        <v>0.53</v>
      </c>
      <c r="H1423" t="str">
        <f t="shared" si="19"/>
        <v>GUARDIAN</v>
      </c>
    </row>
    <row r="1424" spans="1:8" x14ac:dyDescent="0.25">
      <c r="E1424" t="str">
        <f>"ADS202007228005"</f>
        <v>ADS202007228005</v>
      </c>
      <c r="F1424" t="str">
        <f t="shared" si="18"/>
        <v>GUARDIAN</v>
      </c>
      <c r="G1424" s="2">
        <v>37.01</v>
      </c>
      <c r="H1424" t="str">
        <f t="shared" si="19"/>
        <v>GUARDIAN</v>
      </c>
    </row>
    <row r="1425" spans="5:8" x14ac:dyDescent="0.25">
      <c r="E1425" t="str">
        <f>"ADS202007228006"</f>
        <v>ADS202007228006</v>
      </c>
      <c r="F1425" t="str">
        <f t="shared" si="18"/>
        <v>GUARDIAN</v>
      </c>
      <c r="G1425" s="2">
        <v>0.53</v>
      </c>
      <c r="H1425" t="str">
        <f t="shared" si="19"/>
        <v>GUARDIAN</v>
      </c>
    </row>
    <row r="1426" spans="5:8" x14ac:dyDescent="0.25">
      <c r="E1426" t="str">
        <f>"GDC202007087798"</f>
        <v>GDC202007087798</v>
      </c>
      <c r="F1426" t="str">
        <f t="shared" si="18"/>
        <v>GUARDIAN</v>
      </c>
      <c r="G1426" s="2">
        <v>2818.68</v>
      </c>
      <c r="H1426" t="str">
        <f t="shared" si="19"/>
        <v>GUARDIAN</v>
      </c>
    </row>
    <row r="1427" spans="5:8" x14ac:dyDescent="0.25">
      <c r="E1427" t="str">
        <f>""</f>
        <v/>
      </c>
      <c r="F1427" t="str">
        <f>""</f>
        <v/>
      </c>
      <c r="H1427" t="str">
        <f t="shared" si="19"/>
        <v>GUARDIAN</v>
      </c>
    </row>
    <row r="1428" spans="5:8" x14ac:dyDescent="0.25">
      <c r="E1428" t="str">
        <f>""</f>
        <v/>
      </c>
      <c r="F1428" t="str">
        <f>""</f>
        <v/>
      </c>
      <c r="H1428" t="str">
        <f t="shared" si="19"/>
        <v>GUARDIAN</v>
      </c>
    </row>
    <row r="1429" spans="5:8" x14ac:dyDescent="0.25">
      <c r="E1429" t="str">
        <f>""</f>
        <v/>
      </c>
      <c r="F1429" t="str">
        <f>""</f>
        <v/>
      </c>
      <c r="H1429" t="str">
        <f t="shared" si="19"/>
        <v>GUARDIAN</v>
      </c>
    </row>
    <row r="1430" spans="5:8" x14ac:dyDescent="0.25">
      <c r="E1430" t="str">
        <f>""</f>
        <v/>
      </c>
      <c r="F1430" t="str">
        <f>""</f>
        <v/>
      </c>
      <c r="H1430" t="str">
        <f t="shared" si="19"/>
        <v>GUARDIAN</v>
      </c>
    </row>
    <row r="1431" spans="5:8" x14ac:dyDescent="0.25">
      <c r="E1431" t="str">
        <f>""</f>
        <v/>
      </c>
      <c r="F1431" t="str">
        <f>""</f>
        <v/>
      </c>
      <c r="H1431" t="str">
        <f t="shared" si="19"/>
        <v>GUARDIAN</v>
      </c>
    </row>
    <row r="1432" spans="5:8" x14ac:dyDescent="0.25">
      <c r="E1432" t="str">
        <f>""</f>
        <v/>
      </c>
      <c r="F1432" t="str">
        <f>""</f>
        <v/>
      </c>
      <c r="H1432" t="str">
        <f t="shared" si="19"/>
        <v>GUARDIAN</v>
      </c>
    </row>
    <row r="1433" spans="5:8" x14ac:dyDescent="0.25">
      <c r="E1433" t="str">
        <f>""</f>
        <v/>
      </c>
      <c r="F1433" t="str">
        <f>""</f>
        <v/>
      </c>
      <c r="H1433" t="str">
        <f t="shared" si="19"/>
        <v>GUARDIAN</v>
      </c>
    </row>
    <row r="1434" spans="5:8" x14ac:dyDescent="0.25">
      <c r="E1434" t="str">
        <f>""</f>
        <v/>
      </c>
      <c r="F1434" t="str">
        <f>""</f>
        <v/>
      </c>
      <c r="H1434" t="str">
        <f t="shared" si="19"/>
        <v>GUARDIAN</v>
      </c>
    </row>
    <row r="1435" spans="5:8" x14ac:dyDescent="0.25">
      <c r="E1435" t="str">
        <f>""</f>
        <v/>
      </c>
      <c r="F1435" t="str">
        <f>""</f>
        <v/>
      </c>
      <c r="H1435" t="str">
        <f t="shared" si="19"/>
        <v>GUARDIAN</v>
      </c>
    </row>
    <row r="1436" spans="5:8" x14ac:dyDescent="0.25">
      <c r="E1436" t="str">
        <f>""</f>
        <v/>
      </c>
      <c r="F1436" t="str">
        <f>""</f>
        <v/>
      </c>
      <c r="H1436" t="str">
        <f t="shared" si="19"/>
        <v>GUARDIAN</v>
      </c>
    </row>
    <row r="1437" spans="5:8" x14ac:dyDescent="0.25">
      <c r="E1437" t="str">
        <f>""</f>
        <v/>
      </c>
      <c r="F1437" t="str">
        <f>""</f>
        <v/>
      </c>
      <c r="H1437" t="str">
        <f t="shared" si="19"/>
        <v>GUARDIAN</v>
      </c>
    </row>
    <row r="1438" spans="5:8" x14ac:dyDescent="0.25">
      <c r="E1438" t="str">
        <f>""</f>
        <v/>
      </c>
      <c r="F1438" t="str">
        <f>""</f>
        <v/>
      </c>
      <c r="H1438" t="str">
        <f t="shared" si="19"/>
        <v>GUARDIAN</v>
      </c>
    </row>
    <row r="1439" spans="5:8" x14ac:dyDescent="0.25">
      <c r="E1439" t="str">
        <f>""</f>
        <v/>
      </c>
      <c r="F1439" t="str">
        <f>""</f>
        <v/>
      </c>
      <c r="H1439" t="str">
        <f t="shared" si="19"/>
        <v>GUARDIAN</v>
      </c>
    </row>
    <row r="1440" spans="5:8" x14ac:dyDescent="0.25">
      <c r="E1440" t="str">
        <f>""</f>
        <v/>
      </c>
      <c r="F1440" t="str">
        <f>""</f>
        <v/>
      </c>
      <c r="H1440" t="str">
        <f t="shared" si="19"/>
        <v>GUARDIAN</v>
      </c>
    </row>
    <row r="1441" spans="5:8" x14ac:dyDescent="0.25">
      <c r="E1441" t="str">
        <f>""</f>
        <v/>
      </c>
      <c r="F1441" t="str">
        <f>""</f>
        <v/>
      </c>
      <c r="H1441" t="str">
        <f t="shared" si="19"/>
        <v>GUARDIAN</v>
      </c>
    </row>
    <row r="1442" spans="5:8" x14ac:dyDescent="0.25">
      <c r="E1442" t="str">
        <f>""</f>
        <v/>
      </c>
      <c r="F1442" t="str">
        <f>""</f>
        <v/>
      </c>
      <c r="H1442" t="str">
        <f t="shared" si="19"/>
        <v>GUARDIAN</v>
      </c>
    </row>
    <row r="1443" spans="5:8" x14ac:dyDescent="0.25">
      <c r="E1443" t="str">
        <f>""</f>
        <v/>
      </c>
      <c r="F1443" t="str">
        <f>""</f>
        <v/>
      </c>
      <c r="H1443" t="str">
        <f t="shared" si="19"/>
        <v>GUARDIAN</v>
      </c>
    </row>
    <row r="1444" spans="5:8" x14ac:dyDescent="0.25">
      <c r="E1444" t="str">
        <f>""</f>
        <v/>
      </c>
      <c r="F1444" t="str">
        <f>""</f>
        <v/>
      </c>
      <c r="H1444" t="str">
        <f t="shared" si="19"/>
        <v>GUARDIAN</v>
      </c>
    </row>
    <row r="1445" spans="5:8" x14ac:dyDescent="0.25">
      <c r="E1445" t="str">
        <f>""</f>
        <v/>
      </c>
      <c r="F1445" t="str">
        <f>""</f>
        <v/>
      </c>
      <c r="H1445" t="str">
        <f t="shared" si="19"/>
        <v>GUARDIAN</v>
      </c>
    </row>
    <row r="1446" spans="5:8" x14ac:dyDescent="0.25">
      <c r="E1446" t="str">
        <f>""</f>
        <v/>
      </c>
      <c r="F1446" t="str">
        <f>""</f>
        <v/>
      </c>
      <c r="H1446" t="str">
        <f t="shared" si="19"/>
        <v>GUARDIAN</v>
      </c>
    </row>
    <row r="1447" spans="5:8" x14ac:dyDescent="0.25">
      <c r="E1447" t="str">
        <f>""</f>
        <v/>
      </c>
      <c r="F1447" t="str">
        <f>""</f>
        <v/>
      </c>
      <c r="H1447" t="str">
        <f t="shared" si="19"/>
        <v>GUARDIAN</v>
      </c>
    </row>
    <row r="1448" spans="5:8" x14ac:dyDescent="0.25">
      <c r="E1448" t="str">
        <f>""</f>
        <v/>
      </c>
      <c r="F1448" t="str">
        <f>""</f>
        <v/>
      </c>
      <c r="H1448" t="str">
        <f t="shared" si="19"/>
        <v>GUARDIAN</v>
      </c>
    </row>
    <row r="1449" spans="5:8" x14ac:dyDescent="0.25">
      <c r="E1449" t="str">
        <f>""</f>
        <v/>
      </c>
      <c r="F1449" t="str">
        <f>""</f>
        <v/>
      </c>
      <c r="H1449" t="str">
        <f t="shared" si="19"/>
        <v>GUARDIAN</v>
      </c>
    </row>
    <row r="1450" spans="5:8" x14ac:dyDescent="0.25">
      <c r="E1450" t="str">
        <f>""</f>
        <v/>
      </c>
      <c r="F1450" t="str">
        <f>""</f>
        <v/>
      </c>
      <c r="H1450" t="str">
        <f t="shared" si="19"/>
        <v>GUARDIAN</v>
      </c>
    </row>
    <row r="1451" spans="5:8" x14ac:dyDescent="0.25">
      <c r="E1451" t="str">
        <f>""</f>
        <v/>
      </c>
      <c r="F1451" t="str">
        <f>""</f>
        <v/>
      </c>
      <c r="H1451" t="str">
        <f t="shared" si="19"/>
        <v>GUARDIAN</v>
      </c>
    </row>
    <row r="1452" spans="5:8" x14ac:dyDescent="0.25">
      <c r="E1452" t="str">
        <f>""</f>
        <v/>
      </c>
      <c r="F1452" t="str">
        <f>""</f>
        <v/>
      </c>
      <c r="H1452" t="str">
        <f t="shared" si="19"/>
        <v>GUARDIAN</v>
      </c>
    </row>
    <row r="1453" spans="5:8" x14ac:dyDescent="0.25">
      <c r="E1453" t="str">
        <f>""</f>
        <v/>
      </c>
      <c r="F1453" t="str">
        <f>""</f>
        <v/>
      </c>
      <c r="H1453" t="str">
        <f t="shared" si="19"/>
        <v>GUARDIAN</v>
      </c>
    </row>
    <row r="1454" spans="5:8" x14ac:dyDescent="0.25">
      <c r="E1454" t="str">
        <f>""</f>
        <v/>
      </c>
      <c r="F1454" t="str">
        <f>""</f>
        <v/>
      </c>
      <c r="H1454" t="str">
        <f t="shared" si="19"/>
        <v>GUARDIAN</v>
      </c>
    </row>
    <row r="1455" spans="5:8" x14ac:dyDescent="0.25">
      <c r="E1455" t="str">
        <f>"GDC202007087799"</f>
        <v>GDC202007087799</v>
      </c>
      <c r="F1455" t="str">
        <f>"GUARDIAN"</f>
        <v>GUARDIAN</v>
      </c>
      <c r="G1455" s="2">
        <v>135.84</v>
      </c>
      <c r="H1455" t="str">
        <f t="shared" si="19"/>
        <v>GUARDIAN</v>
      </c>
    </row>
    <row r="1456" spans="5:8" x14ac:dyDescent="0.25">
      <c r="E1456" t="str">
        <f>""</f>
        <v/>
      </c>
      <c r="F1456" t="str">
        <f>""</f>
        <v/>
      </c>
      <c r="H1456" t="str">
        <f t="shared" si="19"/>
        <v>GUARDIAN</v>
      </c>
    </row>
    <row r="1457" spans="5:8" x14ac:dyDescent="0.25">
      <c r="E1457" t="str">
        <f>"GDC202007228005"</f>
        <v>GDC202007228005</v>
      </c>
      <c r="F1457" t="str">
        <f>"GUARDIAN"</f>
        <v>GUARDIAN</v>
      </c>
      <c r="G1457" s="2">
        <v>2682.84</v>
      </c>
      <c r="H1457" t="str">
        <f t="shared" si="19"/>
        <v>GUARDIAN</v>
      </c>
    </row>
    <row r="1458" spans="5:8" x14ac:dyDescent="0.25">
      <c r="E1458" t="str">
        <f>""</f>
        <v/>
      </c>
      <c r="F1458" t="str">
        <f>""</f>
        <v/>
      </c>
      <c r="H1458" t="str">
        <f t="shared" si="19"/>
        <v>GUARDIAN</v>
      </c>
    </row>
    <row r="1459" spans="5:8" x14ac:dyDescent="0.25">
      <c r="E1459" t="str">
        <f>""</f>
        <v/>
      </c>
      <c r="F1459" t="str">
        <f>""</f>
        <v/>
      </c>
      <c r="H1459" t="str">
        <f t="shared" si="19"/>
        <v>GUARDIAN</v>
      </c>
    </row>
    <row r="1460" spans="5:8" x14ac:dyDescent="0.25">
      <c r="E1460" t="str">
        <f>""</f>
        <v/>
      </c>
      <c r="F1460" t="str">
        <f>""</f>
        <v/>
      </c>
      <c r="H1460" t="str">
        <f t="shared" si="19"/>
        <v>GUARDIAN</v>
      </c>
    </row>
    <row r="1461" spans="5:8" x14ac:dyDescent="0.25">
      <c r="E1461" t="str">
        <f>""</f>
        <v/>
      </c>
      <c r="F1461" t="str">
        <f>""</f>
        <v/>
      </c>
      <c r="H1461" t="str">
        <f t="shared" si="19"/>
        <v>GUARDIAN</v>
      </c>
    </row>
    <row r="1462" spans="5:8" x14ac:dyDescent="0.25">
      <c r="E1462" t="str">
        <f>""</f>
        <v/>
      </c>
      <c r="F1462" t="str">
        <f>""</f>
        <v/>
      </c>
      <c r="H1462" t="str">
        <f t="shared" si="19"/>
        <v>GUARDIAN</v>
      </c>
    </row>
    <row r="1463" spans="5:8" x14ac:dyDescent="0.25">
      <c r="E1463" t="str">
        <f>""</f>
        <v/>
      </c>
      <c r="F1463" t="str">
        <f>""</f>
        <v/>
      </c>
      <c r="H1463" t="str">
        <f t="shared" si="19"/>
        <v>GUARDIAN</v>
      </c>
    </row>
    <row r="1464" spans="5:8" x14ac:dyDescent="0.25">
      <c r="E1464" t="str">
        <f>""</f>
        <v/>
      </c>
      <c r="F1464" t="str">
        <f>""</f>
        <v/>
      </c>
      <c r="H1464" t="str">
        <f t="shared" si="19"/>
        <v>GUARDIAN</v>
      </c>
    </row>
    <row r="1465" spans="5:8" x14ac:dyDescent="0.25">
      <c r="E1465" t="str">
        <f>""</f>
        <v/>
      </c>
      <c r="F1465" t="str">
        <f>""</f>
        <v/>
      </c>
      <c r="H1465" t="str">
        <f t="shared" si="19"/>
        <v>GUARDIAN</v>
      </c>
    </row>
    <row r="1466" spans="5:8" x14ac:dyDescent="0.25">
      <c r="E1466" t="str">
        <f>""</f>
        <v/>
      </c>
      <c r="F1466" t="str">
        <f>""</f>
        <v/>
      </c>
      <c r="H1466" t="str">
        <f t="shared" si="19"/>
        <v>GUARDIAN</v>
      </c>
    </row>
    <row r="1467" spans="5:8" x14ac:dyDescent="0.25">
      <c r="E1467" t="str">
        <f>""</f>
        <v/>
      </c>
      <c r="F1467" t="str">
        <f>""</f>
        <v/>
      </c>
      <c r="H1467" t="str">
        <f t="shared" si="19"/>
        <v>GUARDIAN</v>
      </c>
    </row>
    <row r="1468" spans="5:8" x14ac:dyDescent="0.25">
      <c r="E1468" t="str">
        <f>""</f>
        <v/>
      </c>
      <c r="F1468" t="str">
        <f>""</f>
        <v/>
      </c>
      <c r="H1468" t="str">
        <f t="shared" si="19"/>
        <v>GUARDIAN</v>
      </c>
    </row>
    <row r="1469" spans="5:8" x14ac:dyDescent="0.25">
      <c r="E1469" t="str">
        <f>""</f>
        <v/>
      </c>
      <c r="F1469" t="str">
        <f>""</f>
        <v/>
      </c>
      <c r="H1469" t="str">
        <f t="shared" si="19"/>
        <v>GUARDIAN</v>
      </c>
    </row>
    <row r="1470" spans="5:8" x14ac:dyDescent="0.25">
      <c r="E1470" t="str">
        <f>""</f>
        <v/>
      </c>
      <c r="F1470" t="str">
        <f>""</f>
        <v/>
      </c>
      <c r="H1470" t="str">
        <f t="shared" si="19"/>
        <v>GUARDIAN</v>
      </c>
    </row>
    <row r="1471" spans="5:8" x14ac:dyDescent="0.25">
      <c r="E1471" t="str">
        <f>""</f>
        <v/>
      </c>
      <c r="F1471" t="str">
        <f>""</f>
        <v/>
      </c>
      <c r="H1471" t="str">
        <f t="shared" si="19"/>
        <v>GUARDIAN</v>
      </c>
    </row>
    <row r="1472" spans="5:8" x14ac:dyDescent="0.25">
      <c r="E1472" t="str">
        <f>""</f>
        <v/>
      </c>
      <c r="F1472" t="str">
        <f>""</f>
        <v/>
      </c>
      <c r="H1472" t="str">
        <f t="shared" si="19"/>
        <v>GUARDIAN</v>
      </c>
    </row>
    <row r="1473" spans="5:8" x14ac:dyDescent="0.25">
      <c r="E1473" t="str">
        <f>""</f>
        <v/>
      </c>
      <c r="F1473" t="str">
        <f>""</f>
        <v/>
      </c>
      <c r="H1473" t="str">
        <f t="shared" si="19"/>
        <v>GUARDIAN</v>
      </c>
    </row>
    <row r="1474" spans="5:8" x14ac:dyDescent="0.25">
      <c r="E1474" t="str">
        <f>""</f>
        <v/>
      </c>
      <c r="F1474" t="str">
        <f>""</f>
        <v/>
      </c>
      <c r="H1474" t="str">
        <f t="shared" si="19"/>
        <v>GUARDIAN</v>
      </c>
    </row>
    <row r="1475" spans="5:8" x14ac:dyDescent="0.25">
      <c r="E1475" t="str">
        <f>""</f>
        <v/>
      </c>
      <c r="F1475" t="str">
        <f>""</f>
        <v/>
      </c>
      <c r="H1475" t="str">
        <f t="shared" si="19"/>
        <v>GUARDIAN</v>
      </c>
    </row>
    <row r="1476" spans="5:8" x14ac:dyDescent="0.25">
      <c r="E1476" t="str">
        <f>""</f>
        <v/>
      </c>
      <c r="F1476" t="str">
        <f>""</f>
        <v/>
      </c>
      <c r="H1476" t="str">
        <f t="shared" si="19"/>
        <v>GUARDIAN</v>
      </c>
    </row>
    <row r="1477" spans="5:8" x14ac:dyDescent="0.25">
      <c r="E1477" t="str">
        <f>""</f>
        <v/>
      </c>
      <c r="F1477" t="str">
        <f>""</f>
        <v/>
      </c>
      <c r="H1477" t="str">
        <f t="shared" si="19"/>
        <v>GUARDIAN</v>
      </c>
    </row>
    <row r="1478" spans="5:8" x14ac:dyDescent="0.25">
      <c r="E1478" t="str">
        <f>""</f>
        <v/>
      </c>
      <c r="F1478" t="str">
        <f>""</f>
        <v/>
      </c>
      <c r="H1478" t="str">
        <f t="shared" ref="H1478:H1541" si="20">"GUARDIAN"</f>
        <v>GUARDIAN</v>
      </c>
    </row>
    <row r="1479" spans="5:8" x14ac:dyDescent="0.25">
      <c r="E1479" t="str">
        <f>""</f>
        <v/>
      </c>
      <c r="F1479" t="str">
        <f>""</f>
        <v/>
      </c>
      <c r="H1479" t="str">
        <f t="shared" si="20"/>
        <v>GUARDIAN</v>
      </c>
    </row>
    <row r="1480" spans="5:8" x14ac:dyDescent="0.25">
      <c r="E1480" t="str">
        <f>""</f>
        <v/>
      </c>
      <c r="F1480" t="str">
        <f>""</f>
        <v/>
      </c>
      <c r="H1480" t="str">
        <f t="shared" si="20"/>
        <v>GUARDIAN</v>
      </c>
    </row>
    <row r="1481" spans="5:8" x14ac:dyDescent="0.25">
      <c r="E1481" t="str">
        <f>""</f>
        <v/>
      </c>
      <c r="F1481" t="str">
        <f>""</f>
        <v/>
      </c>
      <c r="H1481" t="str">
        <f t="shared" si="20"/>
        <v>GUARDIAN</v>
      </c>
    </row>
    <row r="1482" spans="5:8" x14ac:dyDescent="0.25">
      <c r="E1482" t="str">
        <f>""</f>
        <v/>
      </c>
      <c r="F1482" t="str">
        <f>""</f>
        <v/>
      </c>
      <c r="H1482" t="str">
        <f t="shared" si="20"/>
        <v>GUARDIAN</v>
      </c>
    </row>
    <row r="1483" spans="5:8" x14ac:dyDescent="0.25">
      <c r="E1483" t="str">
        <f>""</f>
        <v/>
      </c>
      <c r="F1483" t="str">
        <f>""</f>
        <v/>
      </c>
      <c r="H1483" t="str">
        <f t="shared" si="20"/>
        <v>GUARDIAN</v>
      </c>
    </row>
    <row r="1484" spans="5:8" x14ac:dyDescent="0.25">
      <c r="E1484" t="str">
        <f>""</f>
        <v/>
      </c>
      <c r="F1484" t="str">
        <f>""</f>
        <v/>
      </c>
      <c r="H1484" t="str">
        <f t="shared" si="20"/>
        <v>GUARDIAN</v>
      </c>
    </row>
    <row r="1485" spans="5:8" x14ac:dyDescent="0.25">
      <c r="E1485" t="str">
        <f>"GDC202007228006"</f>
        <v>GDC202007228006</v>
      </c>
      <c r="F1485" t="str">
        <f>"GUARDIAN"</f>
        <v>GUARDIAN</v>
      </c>
      <c r="G1485" s="2">
        <v>135.84</v>
      </c>
      <c r="H1485" t="str">
        <f t="shared" si="20"/>
        <v>GUARDIAN</v>
      </c>
    </row>
    <row r="1486" spans="5:8" x14ac:dyDescent="0.25">
      <c r="E1486" t="str">
        <f>""</f>
        <v/>
      </c>
      <c r="F1486" t="str">
        <f>""</f>
        <v/>
      </c>
      <c r="H1486" t="str">
        <f t="shared" si="20"/>
        <v>GUARDIAN</v>
      </c>
    </row>
    <row r="1487" spans="5:8" x14ac:dyDescent="0.25">
      <c r="E1487" t="str">
        <f>"GDE202007087798"</f>
        <v>GDE202007087798</v>
      </c>
      <c r="F1487" t="str">
        <f>"GUARDIAN"</f>
        <v>GUARDIAN</v>
      </c>
      <c r="G1487" s="2">
        <v>4555.4399999999996</v>
      </c>
      <c r="H1487" t="str">
        <f t="shared" si="20"/>
        <v>GUARDIAN</v>
      </c>
    </row>
    <row r="1488" spans="5:8" x14ac:dyDescent="0.25">
      <c r="E1488" t="str">
        <f>""</f>
        <v/>
      </c>
      <c r="F1488" t="str">
        <f>""</f>
        <v/>
      </c>
      <c r="H1488" t="str">
        <f t="shared" si="20"/>
        <v>GUARDIAN</v>
      </c>
    </row>
    <row r="1489" spans="5:8" x14ac:dyDescent="0.25">
      <c r="E1489" t="str">
        <f>""</f>
        <v/>
      </c>
      <c r="F1489" t="str">
        <f>""</f>
        <v/>
      </c>
      <c r="H1489" t="str">
        <f t="shared" si="20"/>
        <v>GUARDIAN</v>
      </c>
    </row>
    <row r="1490" spans="5:8" x14ac:dyDescent="0.25">
      <c r="E1490" t="str">
        <f>""</f>
        <v/>
      </c>
      <c r="F1490" t="str">
        <f>""</f>
        <v/>
      </c>
      <c r="H1490" t="str">
        <f t="shared" si="20"/>
        <v>GUARDIAN</v>
      </c>
    </row>
    <row r="1491" spans="5:8" x14ac:dyDescent="0.25">
      <c r="E1491" t="str">
        <f>""</f>
        <v/>
      </c>
      <c r="F1491" t="str">
        <f>""</f>
        <v/>
      </c>
      <c r="H1491" t="str">
        <f t="shared" si="20"/>
        <v>GUARDIAN</v>
      </c>
    </row>
    <row r="1492" spans="5:8" x14ac:dyDescent="0.25">
      <c r="E1492" t="str">
        <f>""</f>
        <v/>
      </c>
      <c r="F1492" t="str">
        <f>""</f>
        <v/>
      </c>
      <c r="H1492" t="str">
        <f t="shared" si="20"/>
        <v>GUARDIAN</v>
      </c>
    </row>
    <row r="1493" spans="5:8" x14ac:dyDescent="0.25">
      <c r="E1493" t="str">
        <f>""</f>
        <v/>
      </c>
      <c r="F1493" t="str">
        <f>""</f>
        <v/>
      </c>
      <c r="H1493" t="str">
        <f t="shared" si="20"/>
        <v>GUARDIAN</v>
      </c>
    </row>
    <row r="1494" spans="5:8" x14ac:dyDescent="0.25">
      <c r="E1494" t="str">
        <f>""</f>
        <v/>
      </c>
      <c r="F1494" t="str">
        <f>""</f>
        <v/>
      </c>
      <c r="H1494" t="str">
        <f t="shared" si="20"/>
        <v>GUARDIAN</v>
      </c>
    </row>
    <row r="1495" spans="5:8" x14ac:dyDescent="0.25">
      <c r="E1495" t="str">
        <f>""</f>
        <v/>
      </c>
      <c r="F1495" t="str">
        <f>""</f>
        <v/>
      </c>
      <c r="H1495" t="str">
        <f t="shared" si="20"/>
        <v>GUARDIAN</v>
      </c>
    </row>
    <row r="1496" spans="5:8" x14ac:dyDescent="0.25">
      <c r="E1496" t="str">
        <f>""</f>
        <v/>
      </c>
      <c r="F1496" t="str">
        <f>""</f>
        <v/>
      </c>
      <c r="H1496" t="str">
        <f t="shared" si="20"/>
        <v>GUARDIAN</v>
      </c>
    </row>
    <row r="1497" spans="5:8" x14ac:dyDescent="0.25">
      <c r="E1497" t="str">
        <f>""</f>
        <v/>
      </c>
      <c r="F1497" t="str">
        <f>""</f>
        <v/>
      </c>
      <c r="H1497" t="str">
        <f t="shared" si="20"/>
        <v>GUARDIAN</v>
      </c>
    </row>
    <row r="1498" spans="5:8" x14ac:dyDescent="0.25">
      <c r="E1498" t="str">
        <f>""</f>
        <v/>
      </c>
      <c r="F1498" t="str">
        <f>""</f>
        <v/>
      </c>
      <c r="H1498" t="str">
        <f t="shared" si="20"/>
        <v>GUARDIAN</v>
      </c>
    </row>
    <row r="1499" spans="5:8" x14ac:dyDescent="0.25">
      <c r="E1499" t="str">
        <f>""</f>
        <v/>
      </c>
      <c r="F1499" t="str">
        <f>""</f>
        <v/>
      </c>
      <c r="H1499" t="str">
        <f t="shared" si="20"/>
        <v>GUARDIAN</v>
      </c>
    </row>
    <row r="1500" spans="5:8" x14ac:dyDescent="0.25">
      <c r="E1500" t="str">
        <f>""</f>
        <v/>
      </c>
      <c r="F1500" t="str">
        <f>""</f>
        <v/>
      </c>
      <c r="H1500" t="str">
        <f t="shared" si="20"/>
        <v>GUARDIAN</v>
      </c>
    </row>
    <row r="1501" spans="5:8" x14ac:dyDescent="0.25">
      <c r="E1501" t="str">
        <f>""</f>
        <v/>
      </c>
      <c r="F1501" t="str">
        <f>""</f>
        <v/>
      </c>
      <c r="H1501" t="str">
        <f t="shared" si="20"/>
        <v>GUARDIAN</v>
      </c>
    </row>
    <row r="1502" spans="5:8" x14ac:dyDescent="0.25">
      <c r="E1502" t="str">
        <f>""</f>
        <v/>
      </c>
      <c r="F1502" t="str">
        <f>""</f>
        <v/>
      </c>
      <c r="H1502" t="str">
        <f t="shared" si="20"/>
        <v>GUARDIAN</v>
      </c>
    </row>
    <row r="1503" spans="5:8" x14ac:dyDescent="0.25">
      <c r="E1503" t="str">
        <f>""</f>
        <v/>
      </c>
      <c r="F1503" t="str">
        <f>""</f>
        <v/>
      </c>
      <c r="H1503" t="str">
        <f t="shared" si="20"/>
        <v>GUARDIAN</v>
      </c>
    </row>
    <row r="1504" spans="5:8" x14ac:dyDescent="0.25">
      <c r="E1504" t="str">
        <f>""</f>
        <v/>
      </c>
      <c r="F1504" t="str">
        <f>""</f>
        <v/>
      </c>
      <c r="H1504" t="str">
        <f t="shared" si="20"/>
        <v>GUARDIAN</v>
      </c>
    </row>
    <row r="1505" spans="5:8" x14ac:dyDescent="0.25">
      <c r="E1505" t="str">
        <f>""</f>
        <v/>
      </c>
      <c r="F1505" t="str">
        <f>""</f>
        <v/>
      </c>
      <c r="H1505" t="str">
        <f t="shared" si="20"/>
        <v>GUARDIAN</v>
      </c>
    </row>
    <row r="1506" spans="5:8" x14ac:dyDescent="0.25">
      <c r="E1506" t="str">
        <f>""</f>
        <v/>
      </c>
      <c r="F1506" t="str">
        <f>""</f>
        <v/>
      </c>
      <c r="H1506" t="str">
        <f t="shared" si="20"/>
        <v>GUARDIAN</v>
      </c>
    </row>
    <row r="1507" spans="5:8" x14ac:dyDescent="0.25">
      <c r="E1507" t="str">
        <f>""</f>
        <v/>
      </c>
      <c r="F1507" t="str">
        <f>""</f>
        <v/>
      </c>
      <c r="H1507" t="str">
        <f t="shared" si="20"/>
        <v>GUARDIAN</v>
      </c>
    </row>
    <row r="1508" spans="5:8" x14ac:dyDescent="0.25">
      <c r="E1508" t="str">
        <f>""</f>
        <v/>
      </c>
      <c r="F1508" t="str">
        <f>""</f>
        <v/>
      </c>
      <c r="H1508" t="str">
        <f t="shared" si="20"/>
        <v>GUARDIAN</v>
      </c>
    </row>
    <row r="1509" spans="5:8" x14ac:dyDescent="0.25">
      <c r="E1509" t="str">
        <f>""</f>
        <v/>
      </c>
      <c r="F1509" t="str">
        <f>""</f>
        <v/>
      </c>
      <c r="H1509" t="str">
        <f t="shared" si="20"/>
        <v>GUARDIAN</v>
      </c>
    </row>
    <row r="1510" spans="5:8" x14ac:dyDescent="0.25">
      <c r="E1510" t="str">
        <f>""</f>
        <v/>
      </c>
      <c r="F1510" t="str">
        <f>""</f>
        <v/>
      </c>
      <c r="H1510" t="str">
        <f t="shared" si="20"/>
        <v>GUARDIAN</v>
      </c>
    </row>
    <row r="1511" spans="5:8" x14ac:dyDescent="0.25">
      <c r="E1511" t="str">
        <f>""</f>
        <v/>
      </c>
      <c r="F1511" t="str">
        <f>""</f>
        <v/>
      </c>
      <c r="H1511" t="str">
        <f t="shared" si="20"/>
        <v>GUARDIAN</v>
      </c>
    </row>
    <row r="1512" spans="5:8" x14ac:dyDescent="0.25">
      <c r="E1512" t="str">
        <f>""</f>
        <v/>
      </c>
      <c r="F1512" t="str">
        <f>""</f>
        <v/>
      </c>
      <c r="H1512" t="str">
        <f t="shared" si="20"/>
        <v>GUARDIAN</v>
      </c>
    </row>
    <row r="1513" spans="5:8" x14ac:dyDescent="0.25">
      <c r="E1513" t="str">
        <f>""</f>
        <v/>
      </c>
      <c r="F1513" t="str">
        <f>""</f>
        <v/>
      </c>
      <c r="H1513" t="str">
        <f t="shared" si="20"/>
        <v>GUARDIAN</v>
      </c>
    </row>
    <row r="1514" spans="5:8" x14ac:dyDescent="0.25">
      <c r="E1514" t="str">
        <f>""</f>
        <v/>
      </c>
      <c r="F1514" t="str">
        <f>""</f>
        <v/>
      </c>
      <c r="H1514" t="str">
        <f t="shared" si="20"/>
        <v>GUARDIAN</v>
      </c>
    </row>
    <row r="1515" spans="5:8" x14ac:dyDescent="0.25">
      <c r="E1515" t="str">
        <f>""</f>
        <v/>
      </c>
      <c r="F1515" t="str">
        <f>""</f>
        <v/>
      </c>
      <c r="H1515" t="str">
        <f t="shared" si="20"/>
        <v>GUARDIAN</v>
      </c>
    </row>
    <row r="1516" spans="5:8" x14ac:dyDescent="0.25">
      <c r="E1516" t="str">
        <f>""</f>
        <v/>
      </c>
      <c r="F1516" t="str">
        <f>""</f>
        <v/>
      </c>
      <c r="H1516" t="str">
        <f t="shared" si="20"/>
        <v>GUARDIAN</v>
      </c>
    </row>
    <row r="1517" spans="5:8" x14ac:dyDescent="0.25">
      <c r="E1517" t="str">
        <f>""</f>
        <v/>
      </c>
      <c r="F1517" t="str">
        <f>""</f>
        <v/>
      </c>
      <c r="H1517" t="str">
        <f t="shared" si="20"/>
        <v>GUARDIAN</v>
      </c>
    </row>
    <row r="1518" spans="5:8" x14ac:dyDescent="0.25">
      <c r="E1518" t="str">
        <f>""</f>
        <v/>
      </c>
      <c r="F1518" t="str">
        <f>""</f>
        <v/>
      </c>
      <c r="H1518" t="str">
        <f t="shared" si="20"/>
        <v>GUARDIAN</v>
      </c>
    </row>
    <row r="1519" spans="5:8" x14ac:dyDescent="0.25">
      <c r="E1519" t="str">
        <f>""</f>
        <v/>
      </c>
      <c r="F1519" t="str">
        <f>""</f>
        <v/>
      </c>
      <c r="H1519" t="str">
        <f t="shared" si="20"/>
        <v>GUARDIAN</v>
      </c>
    </row>
    <row r="1520" spans="5:8" x14ac:dyDescent="0.25">
      <c r="E1520" t="str">
        <f>""</f>
        <v/>
      </c>
      <c r="F1520" t="str">
        <f>""</f>
        <v/>
      </c>
      <c r="H1520" t="str">
        <f t="shared" si="20"/>
        <v>GUARDIAN</v>
      </c>
    </row>
    <row r="1521" spans="5:8" x14ac:dyDescent="0.25">
      <c r="E1521" t="str">
        <f>""</f>
        <v/>
      </c>
      <c r="F1521" t="str">
        <f>""</f>
        <v/>
      </c>
      <c r="H1521" t="str">
        <f t="shared" si="20"/>
        <v>GUARDIAN</v>
      </c>
    </row>
    <row r="1522" spans="5:8" x14ac:dyDescent="0.25">
      <c r="E1522" t="str">
        <f>""</f>
        <v/>
      </c>
      <c r="F1522" t="str">
        <f>""</f>
        <v/>
      </c>
      <c r="H1522" t="str">
        <f t="shared" si="20"/>
        <v>GUARDIAN</v>
      </c>
    </row>
    <row r="1523" spans="5:8" x14ac:dyDescent="0.25">
      <c r="E1523" t="str">
        <f>""</f>
        <v/>
      </c>
      <c r="F1523" t="str">
        <f>""</f>
        <v/>
      </c>
      <c r="H1523" t="str">
        <f t="shared" si="20"/>
        <v>GUARDIAN</v>
      </c>
    </row>
    <row r="1524" spans="5:8" x14ac:dyDescent="0.25">
      <c r="E1524" t="str">
        <f>""</f>
        <v/>
      </c>
      <c r="F1524" t="str">
        <f>""</f>
        <v/>
      </c>
      <c r="H1524" t="str">
        <f t="shared" si="20"/>
        <v>GUARDIAN</v>
      </c>
    </row>
    <row r="1525" spans="5:8" x14ac:dyDescent="0.25">
      <c r="E1525" t="str">
        <f>""</f>
        <v/>
      </c>
      <c r="F1525" t="str">
        <f>""</f>
        <v/>
      </c>
      <c r="H1525" t="str">
        <f t="shared" si="20"/>
        <v>GUARDIAN</v>
      </c>
    </row>
    <row r="1526" spans="5:8" x14ac:dyDescent="0.25">
      <c r="E1526" t="str">
        <f>""</f>
        <v/>
      </c>
      <c r="F1526" t="str">
        <f>""</f>
        <v/>
      </c>
      <c r="H1526" t="str">
        <f t="shared" si="20"/>
        <v>GUARDIAN</v>
      </c>
    </row>
    <row r="1527" spans="5:8" x14ac:dyDescent="0.25">
      <c r="E1527" t="str">
        <f>""</f>
        <v/>
      </c>
      <c r="F1527" t="str">
        <f>""</f>
        <v/>
      </c>
      <c r="H1527" t="str">
        <f t="shared" si="20"/>
        <v>GUARDIAN</v>
      </c>
    </row>
    <row r="1528" spans="5:8" x14ac:dyDescent="0.25">
      <c r="E1528" t="str">
        <f>""</f>
        <v/>
      </c>
      <c r="F1528" t="str">
        <f>""</f>
        <v/>
      </c>
      <c r="H1528" t="str">
        <f t="shared" si="20"/>
        <v>GUARDIAN</v>
      </c>
    </row>
    <row r="1529" spans="5:8" x14ac:dyDescent="0.25">
      <c r="E1529" t="str">
        <f>""</f>
        <v/>
      </c>
      <c r="F1529" t="str">
        <f>""</f>
        <v/>
      </c>
      <c r="H1529" t="str">
        <f t="shared" si="20"/>
        <v>GUARDIAN</v>
      </c>
    </row>
    <row r="1530" spans="5:8" x14ac:dyDescent="0.25">
      <c r="E1530" t="str">
        <f>""</f>
        <v/>
      </c>
      <c r="F1530" t="str">
        <f>""</f>
        <v/>
      </c>
      <c r="H1530" t="str">
        <f t="shared" si="20"/>
        <v>GUARDIAN</v>
      </c>
    </row>
    <row r="1531" spans="5:8" x14ac:dyDescent="0.25">
      <c r="E1531" t="str">
        <f>"GDE202007087799"</f>
        <v>GDE202007087799</v>
      </c>
      <c r="F1531" t="str">
        <f>"GUARDIAN"</f>
        <v>GUARDIAN</v>
      </c>
      <c r="G1531" s="2">
        <v>184.68</v>
      </c>
      <c r="H1531" t="str">
        <f t="shared" si="20"/>
        <v>GUARDIAN</v>
      </c>
    </row>
    <row r="1532" spans="5:8" x14ac:dyDescent="0.25">
      <c r="E1532" t="str">
        <f>"GDE202007228005"</f>
        <v>GDE202007228005</v>
      </c>
      <c r="F1532" t="str">
        <f>"GUARDIAN"</f>
        <v>GUARDIAN</v>
      </c>
      <c r="G1532" s="2">
        <v>4493.88</v>
      </c>
      <c r="H1532" t="str">
        <f t="shared" si="20"/>
        <v>GUARDIAN</v>
      </c>
    </row>
    <row r="1533" spans="5:8" x14ac:dyDescent="0.25">
      <c r="E1533" t="str">
        <f>""</f>
        <v/>
      </c>
      <c r="F1533" t="str">
        <f>""</f>
        <v/>
      </c>
      <c r="H1533" t="str">
        <f t="shared" si="20"/>
        <v>GUARDIAN</v>
      </c>
    </row>
    <row r="1534" spans="5:8" x14ac:dyDescent="0.25">
      <c r="E1534" t="str">
        <f>""</f>
        <v/>
      </c>
      <c r="F1534" t="str">
        <f>""</f>
        <v/>
      </c>
      <c r="H1534" t="str">
        <f t="shared" si="20"/>
        <v>GUARDIAN</v>
      </c>
    </row>
    <row r="1535" spans="5:8" x14ac:dyDescent="0.25">
      <c r="E1535" t="str">
        <f>""</f>
        <v/>
      </c>
      <c r="F1535" t="str">
        <f>""</f>
        <v/>
      </c>
      <c r="H1535" t="str">
        <f t="shared" si="20"/>
        <v>GUARDIAN</v>
      </c>
    </row>
    <row r="1536" spans="5:8" x14ac:dyDescent="0.25">
      <c r="E1536" t="str">
        <f>""</f>
        <v/>
      </c>
      <c r="F1536" t="str">
        <f>""</f>
        <v/>
      </c>
      <c r="H1536" t="str">
        <f t="shared" si="20"/>
        <v>GUARDIAN</v>
      </c>
    </row>
    <row r="1537" spans="5:8" x14ac:dyDescent="0.25">
      <c r="E1537" t="str">
        <f>""</f>
        <v/>
      </c>
      <c r="F1537" t="str">
        <f>""</f>
        <v/>
      </c>
      <c r="H1537" t="str">
        <f t="shared" si="20"/>
        <v>GUARDIAN</v>
      </c>
    </row>
    <row r="1538" spans="5:8" x14ac:dyDescent="0.25">
      <c r="E1538" t="str">
        <f>""</f>
        <v/>
      </c>
      <c r="F1538" t="str">
        <f>""</f>
        <v/>
      </c>
      <c r="H1538" t="str">
        <f t="shared" si="20"/>
        <v>GUARDIAN</v>
      </c>
    </row>
    <row r="1539" spans="5:8" x14ac:dyDescent="0.25">
      <c r="E1539" t="str">
        <f>""</f>
        <v/>
      </c>
      <c r="F1539" t="str">
        <f>""</f>
        <v/>
      </c>
      <c r="H1539" t="str">
        <f t="shared" si="20"/>
        <v>GUARDIAN</v>
      </c>
    </row>
    <row r="1540" spans="5:8" x14ac:dyDescent="0.25">
      <c r="E1540" t="str">
        <f>""</f>
        <v/>
      </c>
      <c r="F1540" t="str">
        <f>""</f>
        <v/>
      </c>
      <c r="H1540" t="str">
        <f t="shared" si="20"/>
        <v>GUARDIAN</v>
      </c>
    </row>
    <row r="1541" spans="5:8" x14ac:dyDescent="0.25">
      <c r="E1541" t="str">
        <f>""</f>
        <v/>
      </c>
      <c r="F1541" t="str">
        <f>""</f>
        <v/>
      </c>
      <c r="H1541" t="str">
        <f t="shared" si="20"/>
        <v>GUARDIAN</v>
      </c>
    </row>
    <row r="1542" spans="5:8" x14ac:dyDescent="0.25">
      <c r="E1542" t="str">
        <f>""</f>
        <v/>
      </c>
      <c r="F1542" t="str">
        <f>""</f>
        <v/>
      </c>
      <c r="H1542" t="str">
        <f t="shared" ref="H1542:H1605" si="21">"GUARDIAN"</f>
        <v>GUARDIAN</v>
      </c>
    </row>
    <row r="1543" spans="5:8" x14ac:dyDescent="0.25">
      <c r="E1543" t="str">
        <f>""</f>
        <v/>
      </c>
      <c r="F1543" t="str">
        <f>""</f>
        <v/>
      </c>
      <c r="H1543" t="str">
        <f t="shared" si="21"/>
        <v>GUARDIAN</v>
      </c>
    </row>
    <row r="1544" spans="5:8" x14ac:dyDescent="0.25">
      <c r="E1544" t="str">
        <f>""</f>
        <v/>
      </c>
      <c r="F1544" t="str">
        <f>""</f>
        <v/>
      </c>
      <c r="H1544" t="str">
        <f t="shared" si="21"/>
        <v>GUARDIAN</v>
      </c>
    </row>
    <row r="1545" spans="5:8" x14ac:dyDescent="0.25">
      <c r="E1545" t="str">
        <f>""</f>
        <v/>
      </c>
      <c r="F1545" t="str">
        <f>""</f>
        <v/>
      </c>
      <c r="H1545" t="str">
        <f t="shared" si="21"/>
        <v>GUARDIAN</v>
      </c>
    </row>
    <row r="1546" spans="5:8" x14ac:dyDescent="0.25">
      <c r="E1546" t="str">
        <f>""</f>
        <v/>
      </c>
      <c r="F1546" t="str">
        <f>""</f>
        <v/>
      </c>
      <c r="H1546" t="str">
        <f t="shared" si="21"/>
        <v>GUARDIAN</v>
      </c>
    </row>
    <row r="1547" spans="5:8" x14ac:dyDescent="0.25">
      <c r="E1547" t="str">
        <f>""</f>
        <v/>
      </c>
      <c r="F1547" t="str">
        <f>""</f>
        <v/>
      </c>
      <c r="H1547" t="str">
        <f t="shared" si="21"/>
        <v>GUARDIAN</v>
      </c>
    </row>
    <row r="1548" spans="5:8" x14ac:dyDescent="0.25">
      <c r="E1548" t="str">
        <f>""</f>
        <v/>
      </c>
      <c r="F1548" t="str">
        <f>""</f>
        <v/>
      </c>
      <c r="H1548" t="str">
        <f t="shared" si="21"/>
        <v>GUARDIAN</v>
      </c>
    </row>
    <row r="1549" spans="5:8" x14ac:dyDescent="0.25">
      <c r="E1549" t="str">
        <f>""</f>
        <v/>
      </c>
      <c r="F1549" t="str">
        <f>""</f>
        <v/>
      </c>
      <c r="H1549" t="str">
        <f t="shared" si="21"/>
        <v>GUARDIAN</v>
      </c>
    </row>
    <row r="1550" spans="5:8" x14ac:dyDescent="0.25">
      <c r="E1550" t="str">
        <f>""</f>
        <v/>
      </c>
      <c r="F1550" t="str">
        <f>""</f>
        <v/>
      </c>
      <c r="H1550" t="str">
        <f t="shared" si="21"/>
        <v>GUARDIAN</v>
      </c>
    </row>
    <row r="1551" spans="5:8" x14ac:dyDescent="0.25">
      <c r="E1551" t="str">
        <f>""</f>
        <v/>
      </c>
      <c r="F1551" t="str">
        <f>""</f>
        <v/>
      </c>
      <c r="H1551" t="str">
        <f t="shared" si="21"/>
        <v>GUARDIAN</v>
      </c>
    </row>
    <row r="1552" spans="5:8" x14ac:dyDescent="0.25">
      <c r="E1552" t="str">
        <f>""</f>
        <v/>
      </c>
      <c r="F1552" t="str">
        <f>""</f>
        <v/>
      </c>
      <c r="H1552" t="str">
        <f t="shared" si="21"/>
        <v>GUARDIAN</v>
      </c>
    </row>
    <row r="1553" spans="5:8" x14ac:dyDescent="0.25">
      <c r="E1553" t="str">
        <f>""</f>
        <v/>
      </c>
      <c r="F1553" t="str">
        <f>""</f>
        <v/>
      </c>
      <c r="H1553" t="str">
        <f t="shared" si="21"/>
        <v>GUARDIAN</v>
      </c>
    </row>
    <row r="1554" spans="5:8" x14ac:dyDescent="0.25">
      <c r="E1554" t="str">
        <f>""</f>
        <v/>
      </c>
      <c r="F1554" t="str">
        <f>""</f>
        <v/>
      </c>
      <c r="H1554" t="str">
        <f t="shared" si="21"/>
        <v>GUARDIAN</v>
      </c>
    </row>
    <row r="1555" spans="5:8" x14ac:dyDescent="0.25">
      <c r="E1555" t="str">
        <f>""</f>
        <v/>
      </c>
      <c r="F1555" t="str">
        <f>""</f>
        <v/>
      </c>
      <c r="H1555" t="str">
        <f t="shared" si="21"/>
        <v>GUARDIAN</v>
      </c>
    </row>
    <row r="1556" spans="5:8" x14ac:dyDescent="0.25">
      <c r="E1556" t="str">
        <f>""</f>
        <v/>
      </c>
      <c r="F1556" t="str">
        <f>""</f>
        <v/>
      </c>
      <c r="H1556" t="str">
        <f t="shared" si="21"/>
        <v>GUARDIAN</v>
      </c>
    </row>
    <row r="1557" spans="5:8" x14ac:dyDescent="0.25">
      <c r="E1557" t="str">
        <f>""</f>
        <v/>
      </c>
      <c r="F1557" t="str">
        <f>""</f>
        <v/>
      </c>
      <c r="H1557" t="str">
        <f t="shared" si="21"/>
        <v>GUARDIAN</v>
      </c>
    </row>
    <row r="1558" spans="5:8" x14ac:dyDescent="0.25">
      <c r="E1558" t="str">
        <f>""</f>
        <v/>
      </c>
      <c r="F1558" t="str">
        <f>""</f>
        <v/>
      </c>
      <c r="H1558" t="str">
        <f t="shared" si="21"/>
        <v>GUARDIAN</v>
      </c>
    </row>
    <row r="1559" spans="5:8" x14ac:dyDescent="0.25">
      <c r="E1559" t="str">
        <f>""</f>
        <v/>
      </c>
      <c r="F1559" t="str">
        <f>""</f>
        <v/>
      </c>
      <c r="H1559" t="str">
        <f t="shared" si="21"/>
        <v>GUARDIAN</v>
      </c>
    </row>
    <row r="1560" spans="5:8" x14ac:dyDescent="0.25">
      <c r="E1560" t="str">
        <f>""</f>
        <v/>
      </c>
      <c r="F1560" t="str">
        <f>""</f>
        <v/>
      </c>
      <c r="H1560" t="str">
        <f t="shared" si="21"/>
        <v>GUARDIAN</v>
      </c>
    </row>
    <row r="1561" spans="5:8" x14ac:dyDescent="0.25">
      <c r="E1561" t="str">
        <f>""</f>
        <v/>
      </c>
      <c r="F1561" t="str">
        <f>""</f>
        <v/>
      </c>
      <c r="H1561" t="str">
        <f t="shared" si="21"/>
        <v>GUARDIAN</v>
      </c>
    </row>
    <row r="1562" spans="5:8" x14ac:dyDescent="0.25">
      <c r="E1562" t="str">
        <f>""</f>
        <v/>
      </c>
      <c r="F1562" t="str">
        <f>""</f>
        <v/>
      </c>
      <c r="H1562" t="str">
        <f t="shared" si="21"/>
        <v>GUARDIAN</v>
      </c>
    </row>
    <row r="1563" spans="5:8" x14ac:dyDescent="0.25">
      <c r="E1563" t="str">
        <f>""</f>
        <v/>
      </c>
      <c r="F1563" t="str">
        <f>""</f>
        <v/>
      </c>
      <c r="H1563" t="str">
        <f t="shared" si="21"/>
        <v>GUARDIAN</v>
      </c>
    </row>
    <row r="1564" spans="5:8" x14ac:dyDescent="0.25">
      <c r="E1564" t="str">
        <f>""</f>
        <v/>
      </c>
      <c r="F1564" t="str">
        <f>""</f>
        <v/>
      </c>
      <c r="H1564" t="str">
        <f t="shared" si="21"/>
        <v>GUARDIAN</v>
      </c>
    </row>
    <row r="1565" spans="5:8" x14ac:dyDescent="0.25">
      <c r="E1565" t="str">
        <f>""</f>
        <v/>
      </c>
      <c r="F1565" t="str">
        <f>""</f>
        <v/>
      </c>
      <c r="H1565" t="str">
        <f t="shared" si="21"/>
        <v>GUARDIAN</v>
      </c>
    </row>
    <row r="1566" spans="5:8" x14ac:dyDescent="0.25">
      <c r="E1566" t="str">
        <f>""</f>
        <v/>
      </c>
      <c r="F1566" t="str">
        <f>""</f>
        <v/>
      </c>
      <c r="H1566" t="str">
        <f t="shared" si="21"/>
        <v>GUARDIAN</v>
      </c>
    </row>
    <row r="1567" spans="5:8" x14ac:dyDescent="0.25">
      <c r="E1567" t="str">
        <f>""</f>
        <v/>
      </c>
      <c r="F1567" t="str">
        <f>""</f>
        <v/>
      </c>
      <c r="H1567" t="str">
        <f t="shared" si="21"/>
        <v>GUARDIAN</v>
      </c>
    </row>
    <row r="1568" spans="5:8" x14ac:dyDescent="0.25">
      <c r="E1568" t="str">
        <f>""</f>
        <v/>
      </c>
      <c r="F1568" t="str">
        <f>""</f>
        <v/>
      </c>
      <c r="H1568" t="str">
        <f t="shared" si="21"/>
        <v>GUARDIAN</v>
      </c>
    </row>
    <row r="1569" spans="5:8" x14ac:dyDescent="0.25">
      <c r="E1569" t="str">
        <f>""</f>
        <v/>
      </c>
      <c r="F1569" t="str">
        <f>""</f>
        <v/>
      </c>
      <c r="H1569" t="str">
        <f t="shared" si="21"/>
        <v>GUARDIAN</v>
      </c>
    </row>
    <row r="1570" spans="5:8" x14ac:dyDescent="0.25">
      <c r="E1570" t="str">
        <f>""</f>
        <v/>
      </c>
      <c r="F1570" t="str">
        <f>""</f>
        <v/>
      </c>
      <c r="H1570" t="str">
        <f t="shared" si="21"/>
        <v>GUARDIAN</v>
      </c>
    </row>
    <row r="1571" spans="5:8" x14ac:dyDescent="0.25">
      <c r="E1571" t="str">
        <f>""</f>
        <v/>
      </c>
      <c r="F1571" t="str">
        <f>""</f>
        <v/>
      </c>
      <c r="H1571" t="str">
        <f t="shared" si="21"/>
        <v>GUARDIAN</v>
      </c>
    </row>
    <row r="1572" spans="5:8" x14ac:dyDescent="0.25">
      <c r="E1572" t="str">
        <f>""</f>
        <v/>
      </c>
      <c r="F1572" t="str">
        <f>""</f>
        <v/>
      </c>
      <c r="H1572" t="str">
        <f t="shared" si="21"/>
        <v>GUARDIAN</v>
      </c>
    </row>
    <row r="1573" spans="5:8" x14ac:dyDescent="0.25">
      <c r="E1573" t="str">
        <f>""</f>
        <v/>
      </c>
      <c r="F1573" t="str">
        <f>""</f>
        <v/>
      </c>
      <c r="H1573" t="str">
        <f t="shared" si="21"/>
        <v>GUARDIAN</v>
      </c>
    </row>
    <row r="1574" spans="5:8" x14ac:dyDescent="0.25">
      <c r="E1574" t="str">
        <f>""</f>
        <v/>
      </c>
      <c r="F1574" t="str">
        <f>""</f>
        <v/>
      </c>
      <c r="H1574" t="str">
        <f t="shared" si="21"/>
        <v>GUARDIAN</v>
      </c>
    </row>
    <row r="1575" spans="5:8" x14ac:dyDescent="0.25">
      <c r="E1575" t="str">
        <f>""</f>
        <v/>
      </c>
      <c r="F1575" t="str">
        <f>""</f>
        <v/>
      </c>
      <c r="H1575" t="str">
        <f t="shared" si="21"/>
        <v>GUARDIAN</v>
      </c>
    </row>
    <row r="1576" spans="5:8" x14ac:dyDescent="0.25">
      <c r="E1576" t="str">
        <f>"GDE202007228006"</f>
        <v>GDE202007228006</v>
      </c>
      <c r="F1576" t="str">
        <f>"GUARDIAN"</f>
        <v>GUARDIAN</v>
      </c>
      <c r="G1576" s="2">
        <v>184.68</v>
      </c>
      <c r="H1576" t="str">
        <f t="shared" si="21"/>
        <v>GUARDIAN</v>
      </c>
    </row>
    <row r="1577" spans="5:8" x14ac:dyDescent="0.25">
      <c r="E1577" t="str">
        <f>"GDF202007087798"</f>
        <v>GDF202007087798</v>
      </c>
      <c r="F1577" t="str">
        <f>"GUARDIAN"</f>
        <v>GUARDIAN</v>
      </c>
      <c r="G1577" s="2">
        <v>2159.0300000000002</v>
      </c>
      <c r="H1577" t="str">
        <f t="shared" si="21"/>
        <v>GUARDIAN</v>
      </c>
    </row>
    <row r="1578" spans="5:8" x14ac:dyDescent="0.25">
      <c r="E1578" t="str">
        <f>""</f>
        <v/>
      </c>
      <c r="F1578" t="str">
        <f>""</f>
        <v/>
      </c>
      <c r="H1578" t="str">
        <f t="shared" si="21"/>
        <v>GUARDIAN</v>
      </c>
    </row>
    <row r="1579" spans="5:8" x14ac:dyDescent="0.25">
      <c r="E1579" t="str">
        <f>""</f>
        <v/>
      </c>
      <c r="F1579" t="str">
        <f>""</f>
        <v/>
      </c>
      <c r="H1579" t="str">
        <f t="shared" si="21"/>
        <v>GUARDIAN</v>
      </c>
    </row>
    <row r="1580" spans="5:8" x14ac:dyDescent="0.25">
      <c r="E1580" t="str">
        <f>""</f>
        <v/>
      </c>
      <c r="F1580" t="str">
        <f>""</f>
        <v/>
      </c>
      <c r="H1580" t="str">
        <f t="shared" si="21"/>
        <v>GUARDIAN</v>
      </c>
    </row>
    <row r="1581" spans="5:8" x14ac:dyDescent="0.25">
      <c r="E1581" t="str">
        <f>""</f>
        <v/>
      </c>
      <c r="F1581" t="str">
        <f>""</f>
        <v/>
      </c>
      <c r="H1581" t="str">
        <f t="shared" si="21"/>
        <v>GUARDIAN</v>
      </c>
    </row>
    <row r="1582" spans="5:8" x14ac:dyDescent="0.25">
      <c r="E1582" t="str">
        <f>""</f>
        <v/>
      </c>
      <c r="F1582" t="str">
        <f>""</f>
        <v/>
      </c>
      <c r="H1582" t="str">
        <f t="shared" si="21"/>
        <v>GUARDIAN</v>
      </c>
    </row>
    <row r="1583" spans="5:8" x14ac:dyDescent="0.25">
      <c r="E1583" t="str">
        <f>""</f>
        <v/>
      </c>
      <c r="F1583" t="str">
        <f>""</f>
        <v/>
      </c>
      <c r="H1583" t="str">
        <f t="shared" si="21"/>
        <v>GUARDIAN</v>
      </c>
    </row>
    <row r="1584" spans="5:8" x14ac:dyDescent="0.25">
      <c r="E1584" t="str">
        <f>""</f>
        <v/>
      </c>
      <c r="F1584" t="str">
        <f>""</f>
        <v/>
      </c>
      <c r="H1584" t="str">
        <f t="shared" si="21"/>
        <v>GUARDIAN</v>
      </c>
    </row>
    <row r="1585" spans="5:8" x14ac:dyDescent="0.25">
      <c r="E1585" t="str">
        <f>""</f>
        <v/>
      </c>
      <c r="F1585" t="str">
        <f>""</f>
        <v/>
      </c>
      <c r="H1585" t="str">
        <f t="shared" si="21"/>
        <v>GUARDIAN</v>
      </c>
    </row>
    <row r="1586" spans="5:8" x14ac:dyDescent="0.25">
      <c r="E1586" t="str">
        <f>""</f>
        <v/>
      </c>
      <c r="F1586" t="str">
        <f>""</f>
        <v/>
      </c>
      <c r="H1586" t="str">
        <f t="shared" si="21"/>
        <v>GUARDIAN</v>
      </c>
    </row>
    <row r="1587" spans="5:8" x14ac:dyDescent="0.25">
      <c r="E1587" t="str">
        <f>""</f>
        <v/>
      </c>
      <c r="F1587" t="str">
        <f>""</f>
        <v/>
      </c>
      <c r="H1587" t="str">
        <f t="shared" si="21"/>
        <v>GUARDIAN</v>
      </c>
    </row>
    <row r="1588" spans="5:8" x14ac:dyDescent="0.25">
      <c r="E1588" t="str">
        <f>""</f>
        <v/>
      </c>
      <c r="F1588" t="str">
        <f>""</f>
        <v/>
      </c>
      <c r="H1588" t="str">
        <f t="shared" si="21"/>
        <v>GUARDIAN</v>
      </c>
    </row>
    <row r="1589" spans="5:8" x14ac:dyDescent="0.25">
      <c r="E1589" t="str">
        <f>""</f>
        <v/>
      </c>
      <c r="F1589" t="str">
        <f>""</f>
        <v/>
      </c>
      <c r="H1589" t="str">
        <f t="shared" si="21"/>
        <v>GUARDIAN</v>
      </c>
    </row>
    <row r="1590" spans="5:8" x14ac:dyDescent="0.25">
      <c r="E1590" t="str">
        <f>""</f>
        <v/>
      </c>
      <c r="F1590" t="str">
        <f>""</f>
        <v/>
      </c>
      <c r="H1590" t="str">
        <f t="shared" si="21"/>
        <v>GUARDIAN</v>
      </c>
    </row>
    <row r="1591" spans="5:8" x14ac:dyDescent="0.25">
      <c r="E1591" t="str">
        <f>""</f>
        <v/>
      </c>
      <c r="F1591" t="str">
        <f>""</f>
        <v/>
      </c>
      <c r="H1591" t="str">
        <f t="shared" si="21"/>
        <v>GUARDIAN</v>
      </c>
    </row>
    <row r="1592" spans="5:8" x14ac:dyDescent="0.25">
      <c r="E1592" t="str">
        <f>""</f>
        <v/>
      </c>
      <c r="F1592" t="str">
        <f>""</f>
        <v/>
      </c>
      <c r="H1592" t="str">
        <f t="shared" si="21"/>
        <v>GUARDIAN</v>
      </c>
    </row>
    <row r="1593" spans="5:8" x14ac:dyDescent="0.25">
      <c r="E1593" t="str">
        <f>""</f>
        <v/>
      </c>
      <c r="F1593" t="str">
        <f>""</f>
        <v/>
      </c>
      <c r="H1593" t="str">
        <f t="shared" si="21"/>
        <v>GUARDIAN</v>
      </c>
    </row>
    <row r="1594" spans="5:8" x14ac:dyDescent="0.25">
      <c r="E1594" t="str">
        <f>""</f>
        <v/>
      </c>
      <c r="F1594" t="str">
        <f>""</f>
        <v/>
      </c>
      <c r="H1594" t="str">
        <f t="shared" si="21"/>
        <v>GUARDIAN</v>
      </c>
    </row>
    <row r="1595" spans="5:8" x14ac:dyDescent="0.25">
      <c r="E1595" t="str">
        <f>""</f>
        <v/>
      </c>
      <c r="F1595" t="str">
        <f>""</f>
        <v/>
      </c>
      <c r="H1595" t="str">
        <f t="shared" si="21"/>
        <v>GUARDIAN</v>
      </c>
    </row>
    <row r="1596" spans="5:8" x14ac:dyDescent="0.25">
      <c r="E1596" t="str">
        <f>""</f>
        <v/>
      </c>
      <c r="F1596" t="str">
        <f>""</f>
        <v/>
      </c>
      <c r="H1596" t="str">
        <f t="shared" si="21"/>
        <v>GUARDIAN</v>
      </c>
    </row>
    <row r="1597" spans="5:8" x14ac:dyDescent="0.25">
      <c r="E1597" t="str">
        <f>""</f>
        <v/>
      </c>
      <c r="F1597" t="str">
        <f>""</f>
        <v/>
      </c>
      <c r="H1597" t="str">
        <f t="shared" si="21"/>
        <v>GUARDIAN</v>
      </c>
    </row>
    <row r="1598" spans="5:8" x14ac:dyDescent="0.25">
      <c r="E1598" t="str">
        <f>""</f>
        <v/>
      </c>
      <c r="F1598" t="str">
        <f>""</f>
        <v/>
      </c>
      <c r="H1598" t="str">
        <f t="shared" si="21"/>
        <v>GUARDIAN</v>
      </c>
    </row>
    <row r="1599" spans="5:8" x14ac:dyDescent="0.25">
      <c r="E1599" t="str">
        <f>"GDF202007087799"</f>
        <v>GDF202007087799</v>
      </c>
      <c r="F1599" t="str">
        <f>"GUARDIAN"</f>
        <v>GUARDIAN</v>
      </c>
      <c r="G1599" s="2">
        <v>100.42</v>
      </c>
      <c r="H1599" t="str">
        <f t="shared" si="21"/>
        <v>GUARDIAN</v>
      </c>
    </row>
    <row r="1600" spans="5:8" x14ac:dyDescent="0.25">
      <c r="E1600" t="str">
        <f>""</f>
        <v/>
      </c>
      <c r="F1600" t="str">
        <f>""</f>
        <v/>
      </c>
      <c r="H1600" t="str">
        <f t="shared" si="21"/>
        <v>GUARDIAN</v>
      </c>
    </row>
    <row r="1601" spans="5:8" x14ac:dyDescent="0.25">
      <c r="E1601" t="str">
        <f>"GDF202007228005"</f>
        <v>GDF202007228005</v>
      </c>
      <c r="F1601" t="str">
        <f>"GUARDIAN"</f>
        <v>GUARDIAN</v>
      </c>
      <c r="G1601" s="2">
        <v>2058.61</v>
      </c>
      <c r="H1601" t="str">
        <f t="shared" si="21"/>
        <v>GUARDIAN</v>
      </c>
    </row>
    <row r="1602" spans="5:8" x14ac:dyDescent="0.25">
      <c r="E1602" t="str">
        <f>""</f>
        <v/>
      </c>
      <c r="F1602" t="str">
        <f>""</f>
        <v/>
      </c>
      <c r="H1602" t="str">
        <f t="shared" si="21"/>
        <v>GUARDIAN</v>
      </c>
    </row>
    <row r="1603" spans="5:8" x14ac:dyDescent="0.25">
      <c r="E1603" t="str">
        <f>""</f>
        <v/>
      </c>
      <c r="F1603" t="str">
        <f>""</f>
        <v/>
      </c>
      <c r="H1603" t="str">
        <f t="shared" si="21"/>
        <v>GUARDIAN</v>
      </c>
    </row>
    <row r="1604" spans="5:8" x14ac:dyDescent="0.25">
      <c r="E1604" t="str">
        <f>""</f>
        <v/>
      </c>
      <c r="F1604" t="str">
        <f>""</f>
        <v/>
      </c>
      <c r="H1604" t="str">
        <f t="shared" si="21"/>
        <v>GUARDIAN</v>
      </c>
    </row>
    <row r="1605" spans="5:8" x14ac:dyDescent="0.25">
      <c r="E1605" t="str">
        <f>""</f>
        <v/>
      </c>
      <c r="F1605" t="str">
        <f>""</f>
        <v/>
      </c>
      <c r="H1605" t="str">
        <f t="shared" si="21"/>
        <v>GUARDIAN</v>
      </c>
    </row>
    <row r="1606" spans="5:8" x14ac:dyDescent="0.25">
      <c r="E1606" t="str">
        <f>""</f>
        <v/>
      </c>
      <c r="F1606" t="str">
        <f>""</f>
        <v/>
      </c>
      <c r="H1606" t="str">
        <f t="shared" ref="H1606:H1674" si="22">"GUARDIAN"</f>
        <v>GUARDIAN</v>
      </c>
    </row>
    <row r="1607" spans="5:8" x14ac:dyDescent="0.25">
      <c r="E1607" t="str">
        <f>""</f>
        <v/>
      </c>
      <c r="F1607" t="str">
        <f>""</f>
        <v/>
      </c>
      <c r="H1607" t="str">
        <f t="shared" si="22"/>
        <v>GUARDIAN</v>
      </c>
    </row>
    <row r="1608" spans="5:8" x14ac:dyDescent="0.25">
      <c r="E1608" t="str">
        <f>""</f>
        <v/>
      </c>
      <c r="F1608" t="str">
        <f>""</f>
        <v/>
      </c>
      <c r="H1608" t="str">
        <f t="shared" si="22"/>
        <v>GUARDIAN</v>
      </c>
    </row>
    <row r="1609" spans="5:8" x14ac:dyDescent="0.25">
      <c r="E1609" t="str">
        <f>""</f>
        <v/>
      </c>
      <c r="F1609" t="str">
        <f>""</f>
        <v/>
      </c>
      <c r="H1609" t="str">
        <f t="shared" si="22"/>
        <v>GUARDIAN</v>
      </c>
    </row>
    <row r="1610" spans="5:8" x14ac:dyDescent="0.25">
      <c r="E1610" t="str">
        <f>""</f>
        <v/>
      </c>
      <c r="F1610" t="str">
        <f>""</f>
        <v/>
      </c>
      <c r="H1610" t="str">
        <f t="shared" si="22"/>
        <v>GUARDIAN</v>
      </c>
    </row>
    <row r="1611" spans="5:8" x14ac:dyDescent="0.25">
      <c r="E1611" t="str">
        <f>""</f>
        <v/>
      </c>
      <c r="F1611" t="str">
        <f>""</f>
        <v/>
      </c>
      <c r="H1611" t="str">
        <f t="shared" si="22"/>
        <v>GUARDIAN</v>
      </c>
    </row>
    <row r="1612" spans="5:8" x14ac:dyDescent="0.25">
      <c r="E1612" t="str">
        <f>""</f>
        <v/>
      </c>
      <c r="F1612" t="str">
        <f>""</f>
        <v/>
      </c>
      <c r="H1612" t="str">
        <f t="shared" si="22"/>
        <v>GUARDIAN</v>
      </c>
    </row>
    <row r="1613" spans="5:8" x14ac:dyDescent="0.25">
      <c r="E1613" t="str">
        <f>""</f>
        <v/>
      </c>
      <c r="F1613" t="str">
        <f>""</f>
        <v/>
      </c>
      <c r="H1613" t="str">
        <f t="shared" si="22"/>
        <v>GUARDIAN</v>
      </c>
    </row>
    <row r="1614" spans="5:8" x14ac:dyDescent="0.25">
      <c r="E1614" t="str">
        <f>""</f>
        <v/>
      </c>
      <c r="F1614" t="str">
        <f>""</f>
        <v/>
      </c>
      <c r="H1614" t="str">
        <f t="shared" si="22"/>
        <v>GUARDIAN</v>
      </c>
    </row>
    <row r="1615" spans="5:8" x14ac:dyDescent="0.25">
      <c r="E1615" t="str">
        <f>""</f>
        <v/>
      </c>
      <c r="F1615" t="str">
        <f>""</f>
        <v/>
      </c>
      <c r="H1615" t="str">
        <f t="shared" si="22"/>
        <v>GUARDIAN</v>
      </c>
    </row>
    <row r="1616" spans="5:8" x14ac:dyDescent="0.25">
      <c r="E1616" t="str">
        <f>""</f>
        <v/>
      </c>
      <c r="F1616" t="str">
        <f>""</f>
        <v/>
      </c>
      <c r="H1616" t="str">
        <f t="shared" si="22"/>
        <v>GUARDIAN</v>
      </c>
    </row>
    <row r="1617" spans="5:8" x14ac:dyDescent="0.25">
      <c r="E1617" t="str">
        <f>""</f>
        <v/>
      </c>
      <c r="F1617" t="str">
        <f>""</f>
        <v/>
      </c>
      <c r="H1617" t="str">
        <f t="shared" si="22"/>
        <v>GUARDIAN</v>
      </c>
    </row>
    <row r="1618" spans="5:8" x14ac:dyDescent="0.25">
      <c r="E1618" t="str">
        <f>""</f>
        <v/>
      </c>
      <c r="F1618" t="str">
        <f>""</f>
        <v/>
      </c>
      <c r="H1618" t="str">
        <f t="shared" si="22"/>
        <v>GUARDIAN</v>
      </c>
    </row>
    <row r="1619" spans="5:8" x14ac:dyDescent="0.25">
      <c r="E1619" t="str">
        <f>""</f>
        <v/>
      </c>
      <c r="F1619" t="str">
        <f>""</f>
        <v/>
      </c>
      <c r="H1619" t="str">
        <f t="shared" si="22"/>
        <v>GUARDIAN</v>
      </c>
    </row>
    <row r="1620" spans="5:8" x14ac:dyDescent="0.25">
      <c r="E1620" t="str">
        <f>""</f>
        <v/>
      </c>
      <c r="F1620" t="str">
        <f>""</f>
        <v/>
      </c>
      <c r="H1620" t="str">
        <f t="shared" si="22"/>
        <v>GUARDIAN</v>
      </c>
    </row>
    <row r="1621" spans="5:8" x14ac:dyDescent="0.25">
      <c r="E1621" t="str">
        <f>""</f>
        <v/>
      </c>
      <c r="F1621" t="str">
        <f>""</f>
        <v/>
      </c>
      <c r="H1621" t="str">
        <f t="shared" si="22"/>
        <v>GUARDIAN</v>
      </c>
    </row>
    <row r="1622" spans="5:8" x14ac:dyDescent="0.25">
      <c r="E1622" t="str">
        <f>""</f>
        <v/>
      </c>
      <c r="F1622" t="str">
        <f>""</f>
        <v/>
      </c>
      <c r="H1622" t="str">
        <f t="shared" si="22"/>
        <v>GUARDIAN</v>
      </c>
    </row>
    <row r="1623" spans="5:8" x14ac:dyDescent="0.25">
      <c r="E1623" t="str">
        <f>"GDF202007228006"</f>
        <v>GDF202007228006</v>
      </c>
      <c r="F1623" t="str">
        <f>"GUARDIAN"</f>
        <v>GUARDIAN</v>
      </c>
      <c r="G1623" s="2">
        <v>100.42</v>
      </c>
      <c r="H1623" t="str">
        <f t="shared" si="22"/>
        <v>GUARDIAN</v>
      </c>
    </row>
    <row r="1624" spans="5:8" x14ac:dyDescent="0.25">
      <c r="E1624" t="str">
        <f>""</f>
        <v/>
      </c>
      <c r="F1624" t="str">
        <f>""</f>
        <v/>
      </c>
      <c r="H1624" t="str">
        <f t="shared" si="22"/>
        <v>GUARDIAN</v>
      </c>
    </row>
    <row r="1625" spans="5:8" x14ac:dyDescent="0.25">
      <c r="E1625" t="str">
        <f>"GDS202007087798"</f>
        <v>GDS202007087798</v>
      </c>
      <c r="F1625" t="str">
        <f>"GUARDIAN"</f>
        <v>GUARDIAN</v>
      </c>
      <c r="G1625" s="2">
        <v>1954.26</v>
      </c>
      <c r="H1625" t="str">
        <f t="shared" si="22"/>
        <v>GUARDIAN</v>
      </c>
    </row>
    <row r="1626" spans="5:8" x14ac:dyDescent="0.25">
      <c r="E1626" t="str">
        <f>""</f>
        <v/>
      </c>
      <c r="F1626" t="str">
        <f>""</f>
        <v/>
      </c>
      <c r="H1626" t="str">
        <f t="shared" si="22"/>
        <v>GUARDIAN</v>
      </c>
    </row>
    <row r="1627" spans="5:8" x14ac:dyDescent="0.25">
      <c r="E1627" t="str">
        <f>""</f>
        <v/>
      </c>
      <c r="F1627" t="str">
        <f>""</f>
        <v/>
      </c>
      <c r="H1627" t="str">
        <f t="shared" si="22"/>
        <v>GUARDIAN</v>
      </c>
    </row>
    <row r="1628" spans="5:8" x14ac:dyDescent="0.25">
      <c r="E1628" t="str">
        <f>""</f>
        <v/>
      </c>
      <c r="F1628" t="str">
        <f>""</f>
        <v/>
      </c>
      <c r="H1628" t="str">
        <f t="shared" si="22"/>
        <v>GUARDIAN</v>
      </c>
    </row>
    <row r="1629" spans="5:8" x14ac:dyDescent="0.25">
      <c r="E1629" t="str">
        <f>""</f>
        <v/>
      </c>
      <c r="F1629" t="str">
        <f>""</f>
        <v/>
      </c>
      <c r="H1629" t="str">
        <f t="shared" si="22"/>
        <v>GUARDIAN</v>
      </c>
    </row>
    <row r="1630" spans="5:8" x14ac:dyDescent="0.25">
      <c r="E1630" t="str">
        <f>""</f>
        <v/>
      </c>
      <c r="F1630" t="str">
        <f>""</f>
        <v/>
      </c>
      <c r="H1630" t="str">
        <f t="shared" si="22"/>
        <v>GUARDIAN</v>
      </c>
    </row>
    <row r="1631" spans="5:8" x14ac:dyDescent="0.25">
      <c r="E1631" t="str">
        <f>""</f>
        <v/>
      </c>
      <c r="F1631" t="str">
        <f>""</f>
        <v/>
      </c>
      <c r="H1631" t="str">
        <f t="shared" si="22"/>
        <v>GUARDIAN</v>
      </c>
    </row>
    <row r="1632" spans="5:8" x14ac:dyDescent="0.25">
      <c r="E1632" t="str">
        <f>""</f>
        <v/>
      </c>
      <c r="F1632" t="str">
        <f>""</f>
        <v/>
      </c>
      <c r="H1632" t="str">
        <f t="shared" si="22"/>
        <v>GUARDIAN</v>
      </c>
    </row>
    <row r="1633" spans="5:8" x14ac:dyDescent="0.25">
      <c r="E1633" t="str">
        <f>""</f>
        <v/>
      </c>
      <c r="F1633" t="str">
        <f>""</f>
        <v/>
      </c>
      <c r="H1633" t="str">
        <f t="shared" si="22"/>
        <v>GUARDIAN</v>
      </c>
    </row>
    <row r="1634" spans="5:8" x14ac:dyDescent="0.25">
      <c r="E1634" t="str">
        <f>""</f>
        <v/>
      </c>
      <c r="F1634" t="str">
        <f>""</f>
        <v/>
      </c>
      <c r="H1634" t="str">
        <f t="shared" si="22"/>
        <v>GUARDIAN</v>
      </c>
    </row>
    <row r="1635" spans="5:8" x14ac:dyDescent="0.25">
      <c r="E1635" t="str">
        <f>""</f>
        <v/>
      </c>
      <c r="F1635" t="str">
        <f>""</f>
        <v/>
      </c>
      <c r="H1635" t="str">
        <f t="shared" si="22"/>
        <v>GUARDIAN</v>
      </c>
    </row>
    <row r="1636" spans="5:8" x14ac:dyDescent="0.25">
      <c r="E1636" t="str">
        <f>""</f>
        <v/>
      </c>
      <c r="F1636" t="str">
        <f>""</f>
        <v/>
      </c>
      <c r="H1636" t="str">
        <f t="shared" si="22"/>
        <v>GUARDIAN</v>
      </c>
    </row>
    <row r="1637" spans="5:8" x14ac:dyDescent="0.25">
      <c r="E1637" t="str">
        <f>""</f>
        <v/>
      </c>
      <c r="F1637" t="str">
        <f>""</f>
        <v/>
      </c>
      <c r="H1637" t="str">
        <f t="shared" si="22"/>
        <v>GUARDIAN</v>
      </c>
    </row>
    <row r="1638" spans="5:8" x14ac:dyDescent="0.25">
      <c r="E1638" t="str">
        <f>""</f>
        <v/>
      </c>
      <c r="F1638" t="str">
        <f>""</f>
        <v/>
      </c>
      <c r="H1638" t="str">
        <f t="shared" si="22"/>
        <v>GUARDIAN</v>
      </c>
    </row>
    <row r="1639" spans="5:8" x14ac:dyDescent="0.25">
      <c r="E1639" t="str">
        <f>""</f>
        <v/>
      </c>
      <c r="F1639" t="str">
        <f>""</f>
        <v/>
      </c>
      <c r="H1639" t="str">
        <f t="shared" si="22"/>
        <v>GUARDIAN</v>
      </c>
    </row>
    <row r="1640" spans="5:8" x14ac:dyDescent="0.25">
      <c r="E1640" t="str">
        <f>""</f>
        <v/>
      </c>
      <c r="F1640" t="str">
        <f>""</f>
        <v/>
      </c>
      <c r="H1640" t="str">
        <f t="shared" si="22"/>
        <v>GUARDIAN</v>
      </c>
    </row>
    <row r="1641" spans="5:8" x14ac:dyDescent="0.25">
      <c r="E1641" t="str">
        <f>""</f>
        <v/>
      </c>
      <c r="F1641" t="str">
        <f>""</f>
        <v/>
      </c>
      <c r="H1641" t="str">
        <f t="shared" si="22"/>
        <v>GUARDIAN</v>
      </c>
    </row>
    <row r="1642" spans="5:8" x14ac:dyDescent="0.25">
      <c r="E1642" t="str">
        <f>""</f>
        <v/>
      </c>
      <c r="F1642" t="str">
        <f>""</f>
        <v/>
      </c>
      <c r="H1642" t="str">
        <f t="shared" si="22"/>
        <v>GUARDIAN</v>
      </c>
    </row>
    <row r="1643" spans="5:8" x14ac:dyDescent="0.25">
      <c r="E1643" t="str">
        <f>""</f>
        <v/>
      </c>
      <c r="F1643" t="str">
        <f>""</f>
        <v/>
      </c>
      <c r="H1643" t="str">
        <f t="shared" si="22"/>
        <v>GUARDIAN</v>
      </c>
    </row>
    <row r="1644" spans="5:8" x14ac:dyDescent="0.25">
      <c r="E1644" t="str">
        <f>""</f>
        <v/>
      </c>
      <c r="F1644" t="str">
        <f>""</f>
        <v/>
      </c>
      <c r="H1644" t="str">
        <f t="shared" si="22"/>
        <v>GUARDIAN</v>
      </c>
    </row>
    <row r="1645" spans="5:8" x14ac:dyDescent="0.25">
      <c r="E1645" t="str">
        <f>""</f>
        <v/>
      </c>
      <c r="F1645" t="str">
        <f>""</f>
        <v/>
      </c>
      <c r="H1645" t="str">
        <f t="shared" si="22"/>
        <v>GUARDIAN</v>
      </c>
    </row>
    <row r="1646" spans="5:8" x14ac:dyDescent="0.25">
      <c r="E1646" t="str">
        <f>""</f>
        <v/>
      </c>
      <c r="F1646" t="str">
        <f>""</f>
        <v/>
      </c>
      <c r="H1646" t="str">
        <f t="shared" si="22"/>
        <v>GUARDIAN</v>
      </c>
    </row>
    <row r="1647" spans="5:8" x14ac:dyDescent="0.25">
      <c r="E1647" t="str">
        <f>""</f>
        <v/>
      </c>
      <c r="F1647" t="str">
        <f>""</f>
        <v/>
      </c>
      <c r="H1647" t="str">
        <f t="shared" si="22"/>
        <v>GUARDIAN</v>
      </c>
    </row>
    <row r="1648" spans="5:8" x14ac:dyDescent="0.25">
      <c r="E1648" t="str">
        <f>""</f>
        <v/>
      </c>
      <c r="F1648" t="str">
        <f>""</f>
        <v/>
      </c>
      <c r="H1648" t="str">
        <f t="shared" si="22"/>
        <v>GUARDIAN</v>
      </c>
    </row>
    <row r="1649" spans="5:8" x14ac:dyDescent="0.25">
      <c r="E1649" t="str">
        <f>""</f>
        <v/>
      </c>
      <c r="F1649" t="str">
        <f>""</f>
        <v/>
      </c>
      <c r="H1649" t="str">
        <f t="shared" si="22"/>
        <v>GUARDIAN</v>
      </c>
    </row>
    <row r="1650" spans="5:8" x14ac:dyDescent="0.25">
      <c r="E1650" t="str">
        <f>"GDS202007228005"</f>
        <v>GDS202007228005</v>
      </c>
      <c r="F1650" t="str">
        <f>"GUARDIAN"</f>
        <v>GUARDIAN</v>
      </c>
      <c r="G1650" s="2">
        <v>1954.26</v>
      </c>
      <c r="H1650" t="str">
        <f t="shared" si="22"/>
        <v>GUARDIAN</v>
      </c>
    </row>
    <row r="1651" spans="5:8" x14ac:dyDescent="0.25">
      <c r="E1651" t="str">
        <f>""</f>
        <v/>
      </c>
      <c r="F1651" t="str">
        <f>""</f>
        <v/>
      </c>
      <c r="H1651" t="str">
        <f t="shared" si="22"/>
        <v>GUARDIAN</v>
      </c>
    </row>
    <row r="1652" spans="5:8" x14ac:dyDescent="0.25">
      <c r="E1652" t="str">
        <f>""</f>
        <v/>
      </c>
      <c r="F1652" t="str">
        <f>""</f>
        <v/>
      </c>
      <c r="H1652" t="str">
        <f t="shared" si="22"/>
        <v>GUARDIAN</v>
      </c>
    </row>
    <row r="1653" spans="5:8" x14ac:dyDescent="0.25">
      <c r="E1653" t="str">
        <f>""</f>
        <v/>
      </c>
      <c r="F1653" t="str">
        <f>""</f>
        <v/>
      </c>
      <c r="H1653" t="str">
        <f t="shared" si="22"/>
        <v>GUARDIAN</v>
      </c>
    </row>
    <row r="1654" spans="5:8" x14ac:dyDescent="0.25">
      <c r="E1654" t="str">
        <f>""</f>
        <v/>
      </c>
      <c r="F1654" t="str">
        <f>""</f>
        <v/>
      </c>
      <c r="H1654" t="str">
        <f t="shared" si="22"/>
        <v>GUARDIAN</v>
      </c>
    </row>
    <row r="1655" spans="5:8" x14ac:dyDescent="0.25">
      <c r="E1655" t="str">
        <f>""</f>
        <v/>
      </c>
      <c r="F1655" t="str">
        <f>""</f>
        <v/>
      </c>
      <c r="H1655" t="str">
        <f t="shared" si="22"/>
        <v>GUARDIAN</v>
      </c>
    </row>
    <row r="1656" spans="5:8" x14ac:dyDescent="0.25">
      <c r="E1656" t="str">
        <f>""</f>
        <v/>
      </c>
      <c r="F1656" t="str">
        <f>""</f>
        <v/>
      </c>
      <c r="H1656" t="str">
        <f t="shared" si="22"/>
        <v>GUARDIAN</v>
      </c>
    </row>
    <row r="1657" spans="5:8" x14ac:dyDescent="0.25">
      <c r="E1657" t="str">
        <f>""</f>
        <v/>
      </c>
      <c r="F1657" t="str">
        <f>""</f>
        <v/>
      </c>
      <c r="H1657" t="str">
        <f t="shared" si="22"/>
        <v>GUARDIAN</v>
      </c>
    </row>
    <row r="1658" spans="5:8" x14ac:dyDescent="0.25">
      <c r="E1658" t="str">
        <f>""</f>
        <v/>
      </c>
      <c r="F1658" t="str">
        <f>""</f>
        <v/>
      </c>
      <c r="H1658" t="str">
        <f t="shared" si="22"/>
        <v>GUARDIAN</v>
      </c>
    </row>
    <row r="1659" spans="5:8" x14ac:dyDescent="0.25">
      <c r="E1659" t="str">
        <f>""</f>
        <v/>
      </c>
      <c r="F1659" t="str">
        <f>""</f>
        <v/>
      </c>
      <c r="H1659" t="str">
        <f t="shared" si="22"/>
        <v>GUARDIAN</v>
      </c>
    </row>
    <row r="1660" spans="5:8" x14ac:dyDescent="0.25">
      <c r="E1660" t="str">
        <f>""</f>
        <v/>
      </c>
      <c r="F1660" t="str">
        <f>""</f>
        <v/>
      </c>
      <c r="H1660" t="str">
        <f t="shared" si="22"/>
        <v>GUARDIAN</v>
      </c>
    </row>
    <row r="1661" spans="5:8" x14ac:dyDescent="0.25">
      <c r="E1661" t="str">
        <f>""</f>
        <v/>
      </c>
      <c r="F1661" t="str">
        <f>""</f>
        <v/>
      </c>
      <c r="H1661" t="str">
        <f t="shared" si="22"/>
        <v>GUARDIAN</v>
      </c>
    </row>
    <row r="1662" spans="5:8" x14ac:dyDescent="0.25">
      <c r="E1662" t="str">
        <f>""</f>
        <v/>
      </c>
      <c r="F1662" t="str">
        <f>""</f>
        <v/>
      </c>
      <c r="H1662" t="str">
        <f t="shared" si="22"/>
        <v>GUARDIAN</v>
      </c>
    </row>
    <row r="1663" spans="5:8" x14ac:dyDescent="0.25">
      <c r="E1663" t="str">
        <f>""</f>
        <v/>
      </c>
      <c r="F1663" t="str">
        <f>""</f>
        <v/>
      </c>
      <c r="H1663" t="str">
        <f t="shared" si="22"/>
        <v>GUARDIAN</v>
      </c>
    </row>
    <row r="1664" spans="5:8" x14ac:dyDescent="0.25">
      <c r="E1664" t="str">
        <f>""</f>
        <v/>
      </c>
      <c r="F1664" t="str">
        <f>""</f>
        <v/>
      </c>
      <c r="H1664" t="str">
        <f t="shared" si="22"/>
        <v>GUARDIAN</v>
      </c>
    </row>
    <row r="1665" spans="5:8" x14ac:dyDescent="0.25">
      <c r="E1665" t="str">
        <f>""</f>
        <v/>
      </c>
      <c r="F1665" t="str">
        <f>""</f>
        <v/>
      </c>
      <c r="H1665" t="str">
        <f t="shared" si="22"/>
        <v>GUARDIAN</v>
      </c>
    </row>
    <row r="1666" spans="5:8" x14ac:dyDescent="0.25">
      <c r="E1666" t="str">
        <f>""</f>
        <v/>
      </c>
      <c r="F1666" t="str">
        <f>""</f>
        <v/>
      </c>
      <c r="H1666" t="str">
        <f t="shared" si="22"/>
        <v>GUARDIAN</v>
      </c>
    </row>
    <row r="1667" spans="5:8" x14ac:dyDescent="0.25">
      <c r="E1667" t="str">
        <f>""</f>
        <v/>
      </c>
      <c r="F1667" t="str">
        <f>""</f>
        <v/>
      </c>
      <c r="H1667" t="str">
        <f t="shared" si="22"/>
        <v>GUARDIAN</v>
      </c>
    </row>
    <row r="1668" spans="5:8" x14ac:dyDescent="0.25">
      <c r="E1668" t="str">
        <f>""</f>
        <v/>
      </c>
      <c r="F1668" t="str">
        <f>""</f>
        <v/>
      </c>
      <c r="H1668" t="str">
        <f t="shared" si="22"/>
        <v>GUARDIAN</v>
      </c>
    </row>
    <row r="1669" spans="5:8" x14ac:dyDescent="0.25">
      <c r="E1669" t="str">
        <f>""</f>
        <v/>
      </c>
      <c r="F1669" t="str">
        <f>""</f>
        <v/>
      </c>
      <c r="H1669" t="str">
        <f t="shared" si="22"/>
        <v>GUARDIAN</v>
      </c>
    </row>
    <row r="1670" spans="5:8" x14ac:dyDescent="0.25">
      <c r="E1670" t="str">
        <f>""</f>
        <v/>
      </c>
      <c r="F1670" t="str">
        <f>""</f>
        <v/>
      </c>
      <c r="H1670" t="str">
        <f t="shared" si="22"/>
        <v>GUARDIAN</v>
      </c>
    </row>
    <row r="1671" spans="5:8" x14ac:dyDescent="0.25">
      <c r="E1671" t="str">
        <f>""</f>
        <v/>
      </c>
      <c r="F1671" t="str">
        <f>""</f>
        <v/>
      </c>
      <c r="H1671" t="str">
        <f t="shared" si="22"/>
        <v>GUARDIAN</v>
      </c>
    </row>
    <row r="1672" spans="5:8" x14ac:dyDescent="0.25">
      <c r="E1672" t="str">
        <f>""</f>
        <v/>
      </c>
      <c r="F1672" t="str">
        <f>""</f>
        <v/>
      </c>
      <c r="H1672" t="str">
        <f t="shared" si="22"/>
        <v>GUARDIAN</v>
      </c>
    </row>
    <row r="1673" spans="5:8" x14ac:dyDescent="0.25">
      <c r="E1673" t="str">
        <f>""</f>
        <v/>
      </c>
      <c r="F1673" t="str">
        <f>""</f>
        <v/>
      </c>
      <c r="H1673" t="str">
        <f t="shared" si="22"/>
        <v>GUARDIAN</v>
      </c>
    </row>
    <row r="1674" spans="5:8" x14ac:dyDescent="0.25">
      <c r="E1674" t="str">
        <f>""</f>
        <v/>
      </c>
      <c r="F1674" t="str">
        <f>""</f>
        <v/>
      </c>
      <c r="H1674" t="str">
        <f t="shared" si="22"/>
        <v>GUARDIAN</v>
      </c>
    </row>
    <row r="1675" spans="5:8" x14ac:dyDescent="0.25">
      <c r="E1675" t="str">
        <f>"GV1202007087798"</f>
        <v>GV1202007087798</v>
      </c>
      <c r="F1675" t="str">
        <f>"GUARDIAN VISION"</f>
        <v>GUARDIAN VISION</v>
      </c>
      <c r="G1675" s="2">
        <v>436.8</v>
      </c>
      <c r="H1675" t="str">
        <f>"GUARDIAN VISION"</f>
        <v>GUARDIAN VISION</v>
      </c>
    </row>
    <row r="1676" spans="5:8" x14ac:dyDescent="0.25">
      <c r="E1676" t="str">
        <f>"GV1202007228005"</f>
        <v>GV1202007228005</v>
      </c>
      <c r="F1676" t="str">
        <f>"GUARDIAN VISION"</f>
        <v>GUARDIAN VISION</v>
      </c>
      <c r="G1676" s="2">
        <v>425.6</v>
      </c>
      <c r="H1676" t="str">
        <f>"GUARDIAN VISION"</f>
        <v>GUARDIAN VISION</v>
      </c>
    </row>
    <row r="1677" spans="5:8" x14ac:dyDescent="0.25">
      <c r="E1677" t="str">
        <f>"GVE202007087798"</f>
        <v>GVE202007087798</v>
      </c>
      <c r="F1677" t="str">
        <f>"GUARDIAN VISION VENDOR"</f>
        <v>GUARDIAN VISION VENDOR</v>
      </c>
      <c r="G1677" s="2">
        <v>630.99</v>
      </c>
      <c r="H1677" t="str">
        <f>"GUARDIAN VISION VENDOR"</f>
        <v>GUARDIAN VISION VENDOR</v>
      </c>
    </row>
    <row r="1678" spans="5:8" x14ac:dyDescent="0.25">
      <c r="E1678" t="str">
        <f>"GVE202007087799"</f>
        <v>GVE202007087799</v>
      </c>
      <c r="F1678" t="str">
        <f>"GUARDIAN VISION VENDOR"</f>
        <v>GUARDIAN VISION VENDOR</v>
      </c>
      <c r="G1678" s="2">
        <v>33.21</v>
      </c>
      <c r="H1678" t="str">
        <f>"GUARDIAN VISION VENDOR"</f>
        <v>GUARDIAN VISION VENDOR</v>
      </c>
    </row>
    <row r="1679" spans="5:8" x14ac:dyDescent="0.25">
      <c r="E1679" t="str">
        <f>"GVE202007228005"</f>
        <v>GVE202007228005</v>
      </c>
      <c r="F1679" t="str">
        <f>"GUARDIAN VISION VENDOR"</f>
        <v>GUARDIAN VISION VENDOR</v>
      </c>
      <c r="G1679" s="2">
        <v>623.61</v>
      </c>
      <c r="H1679" t="str">
        <f>"GUARDIAN VISION VENDOR"</f>
        <v>GUARDIAN VISION VENDOR</v>
      </c>
    </row>
    <row r="1680" spans="5:8" x14ac:dyDescent="0.25">
      <c r="E1680" t="str">
        <f>"GVE202007228006"</f>
        <v>GVE202007228006</v>
      </c>
      <c r="F1680" t="str">
        <f>"GUARDIAN VISION VENDOR"</f>
        <v>GUARDIAN VISION VENDOR</v>
      </c>
      <c r="G1680" s="2">
        <v>33.21</v>
      </c>
      <c r="H1680" t="str">
        <f>"GUARDIAN VISION VENDOR"</f>
        <v>GUARDIAN VISION VENDOR</v>
      </c>
    </row>
    <row r="1681" spans="5:8" x14ac:dyDescent="0.25">
      <c r="E1681" t="str">
        <f>"GVF202007087798"</f>
        <v>GVF202007087798</v>
      </c>
      <c r="F1681" t="str">
        <f>"GUARDIAN VISION"</f>
        <v>GUARDIAN VISION</v>
      </c>
      <c r="G1681" s="2">
        <v>541.75</v>
      </c>
      <c r="H1681" t="str">
        <f>"GUARDIAN VISION"</f>
        <v>GUARDIAN VISION</v>
      </c>
    </row>
    <row r="1682" spans="5:8" x14ac:dyDescent="0.25">
      <c r="E1682" t="str">
        <f>"GVF202007087799"</f>
        <v>GVF202007087799</v>
      </c>
      <c r="F1682" t="str">
        <f>"GUARDIAN VISION VENDOR"</f>
        <v>GUARDIAN VISION VENDOR</v>
      </c>
      <c r="G1682" s="2">
        <v>39.4</v>
      </c>
      <c r="H1682" t="str">
        <f>"GUARDIAN VISION VENDOR"</f>
        <v>GUARDIAN VISION VENDOR</v>
      </c>
    </row>
    <row r="1683" spans="5:8" x14ac:dyDescent="0.25">
      <c r="E1683" t="str">
        <f>"GVF202007228005"</f>
        <v>GVF202007228005</v>
      </c>
      <c r="F1683" t="str">
        <f>"GUARDIAN VISION"</f>
        <v>GUARDIAN VISION</v>
      </c>
      <c r="G1683" s="2">
        <v>541.75</v>
      </c>
      <c r="H1683" t="str">
        <f>"GUARDIAN VISION"</f>
        <v>GUARDIAN VISION</v>
      </c>
    </row>
    <row r="1684" spans="5:8" x14ac:dyDescent="0.25">
      <c r="E1684" t="str">
        <f>"GVF202007228006"</f>
        <v>GVF202007228006</v>
      </c>
      <c r="F1684" t="str">
        <f>"GUARDIAN VISION VENDOR"</f>
        <v>GUARDIAN VISION VENDOR</v>
      </c>
      <c r="G1684" s="2">
        <v>39.4</v>
      </c>
      <c r="H1684" t="str">
        <f>"GUARDIAN VISION VENDOR"</f>
        <v>GUARDIAN VISION VENDOR</v>
      </c>
    </row>
    <row r="1685" spans="5:8" x14ac:dyDescent="0.25">
      <c r="E1685" t="str">
        <f>"LIA202007087798"</f>
        <v>LIA202007087798</v>
      </c>
      <c r="F1685" t="str">
        <f>"GUARDIAN"</f>
        <v>GUARDIAN</v>
      </c>
      <c r="G1685" s="2">
        <v>211.42</v>
      </c>
      <c r="H1685" t="str">
        <f t="shared" ref="H1685:H1716" si="23">"GUARDIAN"</f>
        <v>GUARDIAN</v>
      </c>
    </row>
    <row r="1686" spans="5:8" x14ac:dyDescent="0.25">
      <c r="E1686" t="str">
        <f>""</f>
        <v/>
      </c>
      <c r="F1686" t="str">
        <f>""</f>
        <v/>
      </c>
      <c r="H1686" t="str">
        <f t="shared" si="23"/>
        <v>GUARDIAN</v>
      </c>
    </row>
    <row r="1687" spans="5:8" x14ac:dyDescent="0.25">
      <c r="E1687" t="str">
        <f>""</f>
        <v/>
      </c>
      <c r="F1687" t="str">
        <f>""</f>
        <v/>
      </c>
      <c r="H1687" t="str">
        <f t="shared" si="23"/>
        <v>GUARDIAN</v>
      </c>
    </row>
    <row r="1688" spans="5:8" x14ac:dyDescent="0.25">
      <c r="E1688" t="str">
        <f>""</f>
        <v/>
      </c>
      <c r="F1688" t="str">
        <f>""</f>
        <v/>
      </c>
      <c r="H1688" t="str">
        <f t="shared" si="23"/>
        <v>GUARDIAN</v>
      </c>
    </row>
    <row r="1689" spans="5:8" x14ac:dyDescent="0.25">
      <c r="E1689" t="str">
        <f>""</f>
        <v/>
      </c>
      <c r="F1689" t="str">
        <f>""</f>
        <v/>
      </c>
      <c r="H1689" t="str">
        <f t="shared" si="23"/>
        <v>GUARDIAN</v>
      </c>
    </row>
    <row r="1690" spans="5:8" x14ac:dyDescent="0.25">
      <c r="E1690" t="str">
        <f>""</f>
        <v/>
      </c>
      <c r="F1690" t="str">
        <f>""</f>
        <v/>
      </c>
      <c r="H1690" t="str">
        <f t="shared" si="23"/>
        <v>GUARDIAN</v>
      </c>
    </row>
    <row r="1691" spans="5:8" x14ac:dyDescent="0.25">
      <c r="E1691" t="str">
        <f>""</f>
        <v/>
      </c>
      <c r="F1691" t="str">
        <f>""</f>
        <v/>
      </c>
      <c r="H1691" t="str">
        <f t="shared" si="23"/>
        <v>GUARDIAN</v>
      </c>
    </row>
    <row r="1692" spans="5:8" x14ac:dyDescent="0.25">
      <c r="E1692" t="str">
        <f>""</f>
        <v/>
      </c>
      <c r="F1692" t="str">
        <f>""</f>
        <v/>
      </c>
      <c r="H1692" t="str">
        <f t="shared" si="23"/>
        <v>GUARDIAN</v>
      </c>
    </row>
    <row r="1693" spans="5:8" x14ac:dyDescent="0.25">
      <c r="E1693" t="str">
        <f>""</f>
        <v/>
      </c>
      <c r="F1693" t="str">
        <f>""</f>
        <v/>
      </c>
      <c r="H1693" t="str">
        <f t="shared" si="23"/>
        <v>GUARDIAN</v>
      </c>
    </row>
    <row r="1694" spans="5:8" x14ac:dyDescent="0.25">
      <c r="E1694" t="str">
        <f>""</f>
        <v/>
      </c>
      <c r="F1694" t="str">
        <f>""</f>
        <v/>
      </c>
      <c r="H1694" t="str">
        <f t="shared" si="23"/>
        <v>GUARDIAN</v>
      </c>
    </row>
    <row r="1695" spans="5:8" x14ac:dyDescent="0.25">
      <c r="E1695" t="str">
        <f>""</f>
        <v/>
      </c>
      <c r="F1695" t="str">
        <f>""</f>
        <v/>
      </c>
      <c r="H1695" t="str">
        <f t="shared" si="23"/>
        <v>GUARDIAN</v>
      </c>
    </row>
    <row r="1696" spans="5:8" x14ac:dyDescent="0.25">
      <c r="E1696" t="str">
        <f>""</f>
        <v/>
      </c>
      <c r="F1696" t="str">
        <f>""</f>
        <v/>
      </c>
      <c r="H1696" t="str">
        <f t="shared" si="23"/>
        <v>GUARDIAN</v>
      </c>
    </row>
    <row r="1697" spans="5:8" x14ac:dyDescent="0.25">
      <c r="E1697" t="str">
        <f>""</f>
        <v/>
      </c>
      <c r="F1697" t="str">
        <f>""</f>
        <v/>
      </c>
      <c r="H1697" t="str">
        <f t="shared" si="23"/>
        <v>GUARDIAN</v>
      </c>
    </row>
    <row r="1698" spans="5:8" x14ac:dyDescent="0.25">
      <c r="E1698" t="str">
        <f>""</f>
        <v/>
      </c>
      <c r="F1698" t="str">
        <f>""</f>
        <v/>
      </c>
      <c r="H1698" t="str">
        <f t="shared" si="23"/>
        <v>GUARDIAN</v>
      </c>
    </row>
    <row r="1699" spans="5:8" x14ac:dyDescent="0.25">
      <c r="E1699" t="str">
        <f>""</f>
        <v/>
      </c>
      <c r="F1699" t="str">
        <f>""</f>
        <v/>
      </c>
      <c r="H1699" t="str">
        <f t="shared" si="23"/>
        <v>GUARDIAN</v>
      </c>
    </row>
    <row r="1700" spans="5:8" x14ac:dyDescent="0.25">
      <c r="E1700" t="str">
        <f>""</f>
        <v/>
      </c>
      <c r="F1700" t="str">
        <f>""</f>
        <v/>
      </c>
      <c r="H1700" t="str">
        <f t="shared" si="23"/>
        <v>GUARDIAN</v>
      </c>
    </row>
    <row r="1701" spans="5:8" x14ac:dyDescent="0.25">
      <c r="E1701" t="str">
        <f>""</f>
        <v/>
      </c>
      <c r="F1701" t="str">
        <f>""</f>
        <v/>
      </c>
      <c r="H1701" t="str">
        <f t="shared" si="23"/>
        <v>GUARDIAN</v>
      </c>
    </row>
    <row r="1702" spans="5:8" x14ac:dyDescent="0.25">
      <c r="E1702" t="str">
        <f>""</f>
        <v/>
      </c>
      <c r="F1702" t="str">
        <f>""</f>
        <v/>
      </c>
      <c r="H1702" t="str">
        <f t="shared" si="23"/>
        <v>GUARDIAN</v>
      </c>
    </row>
    <row r="1703" spans="5:8" x14ac:dyDescent="0.25">
      <c r="E1703" t="str">
        <f>""</f>
        <v/>
      </c>
      <c r="F1703" t="str">
        <f>""</f>
        <v/>
      </c>
      <c r="H1703" t="str">
        <f t="shared" si="23"/>
        <v>GUARDIAN</v>
      </c>
    </row>
    <row r="1704" spans="5:8" x14ac:dyDescent="0.25">
      <c r="E1704" t="str">
        <f>""</f>
        <v/>
      </c>
      <c r="F1704" t="str">
        <f>""</f>
        <v/>
      </c>
      <c r="H1704" t="str">
        <f t="shared" si="23"/>
        <v>GUARDIAN</v>
      </c>
    </row>
    <row r="1705" spans="5:8" x14ac:dyDescent="0.25">
      <c r="E1705" t="str">
        <f>""</f>
        <v/>
      </c>
      <c r="F1705" t="str">
        <f>""</f>
        <v/>
      </c>
      <c r="H1705" t="str">
        <f t="shared" si="23"/>
        <v>GUARDIAN</v>
      </c>
    </row>
    <row r="1706" spans="5:8" x14ac:dyDescent="0.25">
      <c r="E1706" t="str">
        <f>""</f>
        <v/>
      </c>
      <c r="F1706" t="str">
        <f>""</f>
        <v/>
      </c>
      <c r="H1706" t="str">
        <f t="shared" si="23"/>
        <v>GUARDIAN</v>
      </c>
    </row>
    <row r="1707" spans="5:8" x14ac:dyDescent="0.25">
      <c r="E1707" t="str">
        <f>""</f>
        <v/>
      </c>
      <c r="F1707" t="str">
        <f>""</f>
        <v/>
      </c>
      <c r="H1707" t="str">
        <f t="shared" si="23"/>
        <v>GUARDIAN</v>
      </c>
    </row>
    <row r="1708" spans="5:8" x14ac:dyDescent="0.25">
      <c r="E1708" t="str">
        <f>"LIA202007087799"</f>
        <v>LIA202007087799</v>
      </c>
      <c r="F1708" t="str">
        <f>"GUARDIAN"</f>
        <v>GUARDIAN</v>
      </c>
      <c r="G1708" s="2">
        <v>40.799999999999997</v>
      </c>
      <c r="H1708" t="str">
        <f t="shared" si="23"/>
        <v>GUARDIAN</v>
      </c>
    </row>
    <row r="1709" spans="5:8" x14ac:dyDescent="0.25">
      <c r="E1709" t="str">
        <f>""</f>
        <v/>
      </c>
      <c r="F1709" t="str">
        <f>""</f>
        <v/>
      </c>
      <c r="H1709" t="str">
        <f t="shared" si="23"/>
        <v>GUARDIAN</v>
      </c>
    </row>
    <row r="1710" spans="5:8" x14ac:dyDescent="0.25">
      <c r="E1710" t="str">
        <f>"LIA202007228005"</f>
        <v>LIA202007228005</v>
      </c>
      <c r="F1710" t="str">
        <f>"GUARDIAN"</f>
        <v>GUARDIAN</v>
      </c>
      <c r="G1710" s="2">
        <v>214.13</v>
      </c>
      <c r="H1710" t="str">
        <f t="shared" si="23"/>
        <v>GUARDIAN</v>
      </c>
    </row>
    <row r="1711" spans="5:8" x14ac:dyDescent="0.25">
      <c r="E1711" t="str">
        <f>""</f>
        <v/>
      </c>
      <c r="F1711" t="str">
        <f>""</f>
        <v/>
      </c>
      <c r="H1711" t="str">
        <f t="shared" si="23"/>
        <v>GUARDIAN</v>
      </c>
    </row>
    <row r="1712" spans="5:8" x14ac:dyDescent="0.25">
      <c r="E1712" t="str">
        <f>""</f>
        <v/>
      </c>
      <c r="F1712" t="str">
        <f>""</f>
        <v/>
      </c>
      <c r="H1712" t="str">
        <f t="shared" si="23"/>
        <v>GUARDIAN</v>
      </c>
    </row>
    <row r="1713" spans="5:8" x14ac:dyDescent="0.25">
      <c r="E1713" t="str">
        <f>""</f>
        <v/>
      </c>
      <c r="F1713" t="str">
        <f>""</f>
        <v/>
      </c>
      <c r="H1713" t="str">
        <f t="shared" si="23"/>
        <v>GUARDIAN</v>
      </c>
    </row>
    <row r="1714" spans="5:8" x14ac:dyDescent="0.25">
      <c r="E1714" t="str">
        <f>""</f>
        <v/>
      </c>
      <c r="F1714" t="str">
        <f>""</f>
        <v/>
      </c>
      <c r="H1714" t="str">
        <f t="shared" si="23"/>
        <v>GUARDIAN</v>
      </c>
    </row>
    <row r="1715" spans="5:8" x14ac:dyDescent="0.25">
      <c r="E1715" t="str">
        <f>""</f>
        <v/>
      </c>
      <c r="F1715" t="str">
        <f>""</f>
        <v/>
      </c>
      <c r="H1715" t="str">
        <f t="shared" si="23"/>
        <v>GUARDIAN</v>
      </c>
    </row>
    <row r="1716" spans="5:8" x14ac:dyDescent="0.25">
      <c r="E1716" t="str">
        <f>""</f>
        <v/>
      </c>
      <c r="F1716" t="str">
        <f>""</f>
        <v/>
      </c>
      <c r="H1716" t="str">
        <f t="shared" si="23"/>
        <v>GUARDIAN</v>
      </c>
    </row>
    <row r="1717" spans="5:8" x14ac:dyDescent="0.25">
      <c r="E1717" t="str">
        <f>""</f>
        <v/>
      </c>
      <c r="F1717" t="str">
        <f>""</f>
        <v/>
      </c>
      <c r="H1717" t="str">
        <f t="shared" ref="H1717:H1748" si="24">"GUARDIAN"</f>
        <v>GUARDIAN</v>
      </c>
    </row>
    <row r="1718" spans="5:8" x14ac:dyDescent="0.25">
      <c r="E1718" t="str">
        <f>""</f>
        <v/>
      </c>
      <c r="F1718" t="str">
        <f>""</f>
        <v/>
      </c>
      <c r="H1718" t="str">
        <f t="shared" si="24"/>
        <v>GUARDIAN</v>
      </c>
    </row>
    <row r="1719" spans="5:8" x14ac:dyDescent="0.25">
      <c r="E1719" t="str">
        <f>""</f>
        <v/>
      </c>
      <c r="F1719" t="str">
        <f>""</f>
        <v/>
      </c>
      <c r="H1719" t="str">
        <f t="shared" si="24"/>
        <v>GUARDIAN</v>
      </c>
    </row>
    <row r="1720" spans="5:8" x14ac:dyDescent="0.25">
      <c r="E1720" t="str">
        <f>""</f>
        <v/>
      </c>
      <c r="F1720" t="str">
        <f>""</f>
        <v/>
      </c>
      <c r="H1720" t="str">
        <f t="shared" si="24"/>
        <v>GUARDIAN</v>
      </c>
    </row>
    <row r="1721" spans="5:8" x14ac:dyDescent="0.25">
      <c r="E1721" t="str">
        <f>""</f>
        <v/>
      </c>
      <c r="F1721" t="str">
        <f>""</f>
        <v/>
      </c>
      <c r="H1721" t="str">
        <f t="shared" si="24"/>
        <v>GUARDIAN</v>
      </c>
    </row>
    <row r="1722" spans="5:8" x14ac:dyDescent="0.25">
      <c r="E1722" t="str">
        <f>""</f>
        <v/>
      </c>
      <c r="F1722" t="str">
        <f>""</f>
        <v/>
      </c>
      <c r="H1722" t="str">
        <f t="shared" si="24"/>
        <v>GUARDIAN</v>
      </c>
    </row>
    <row r="1723" spans="5:8" x14ac:dyDescent="0.25">
      <c r="E1723" t="str">
        <f>""</f>
        <v/>
      </c>
      <c r="F1723" t="str">
        <f>""</f>
        <v/>
      </c>
      <c r="H1723" t="str">
        <f t="shared" si="24"/>
        <v>GUARDIAN</v>
      </c>
    </row>
    <row r="1724" spans="5:8" x14ac:dyDescent="0.25">
      <c r="E1724" t="str">
        <f>""</f>
        <v/>
      </c>
      <c r="F1724" t="str">
        <f>""</f>
        <v/>
      </c>
      <c r="H1724" t="str">
        <f t="shared" si="24"/>
        <v>GUARDIAN</v>
      </c>
    </row>
    <row r="1725" spans="5:8" x14ac:dyDescent="0.25">
      <c r="E1725" t="str">
        <f>""</f>
        <v/>
      </c>
      <c r="F1725" t="str">
        <f>""</f>
        <v/>
      </c>
      <c r="H1725" t="str">
        <f t="shared" si="24"/>
        <v>GUARDIAN</v>
      </c>
    </row>
    <row r="1726" spans="5:8" x14ac:dyDescent="0.25">
      <c r="E1726" t="str">
        <f>""</f>
        <v/>
      </c>
      <c r="F1726" t="str">
        <f>""</f>
        <v/>
      </c>
      <c r="H1726" t="str">
        <f t="shared" si="24"/>
        <v>GUARDIAN</v>
      </c>
    </row>
    <row r="1727" spans="5:8" x14ac:dyDescent="0.25">
      <c r="E1727" t="str">
        <f>""</f>
        <v/>
      </c>
      <c r="F1727" t="str">
        <f>""</f>
        <v/>
      </c>
      <c r="H1727" t="str">
        <f t="shared" si="24"/>
        <v>GUARDIAN</v>
      </c>
    </row>
    <row r="1728" spans="5:8" x14ac:dyDescent="0.25">
      <c r="E1728" t="str">
        <f>""</f>
        <v/>
      </c>
      <c r="F1728" t="str">
        <f>""</f>
        <v/>
      </c>
      <c r="H1728" t="str">
        <f t="shared" si="24"/>
        <v>GUARDIAN</v>
      </c>
    </row>
    <row r="1729" spans="5:8" x14ac:dyDescent="0.25">
      <c r="E1729" t="str">
        <f>""</f>
        <v/>
      </c>
      <c r="F1729" t="str">
        <f>""</f>
        <v/>
      </c>
      <c r="H1729" t="str">
        <f t="shared" si="24"/>
        <v>GUARDIAN</v>
      </c>
    </row>
    <row r="1730" spans="5:8" x14ac:dyDescent="0.25">
      <c r="E1730" t="str">
        <f>""</f>
        <v/>
      </c>
      <c r="F1730" t="str">
        <f>""</f>
        <v/>
      </c>
      <c r="H1730" t="str">
        <f t="shared" si="24"/>
        <v>GUARDIAN</v>
      </c>
    </row>
    <row r="1731" spans="5:8" x14ac:dyDescent="0.25">
      <c r="E1731" t="str">
        <f>""</f>
        <v/>
      </c>
      <c r="F1731" t="str">
        <f>""</f>
        <v/>
      </c>
      <c r="H1731" t="str">
        <f t="shared" si="24"/>
        <v>GUARDIAN</v>
      </c>
    </row>
    <row r="1732" spans="5:8" x14ac:dyDescent="0.25">
      <c r="E1732" t="str">
        <f>""</f>
        <v/>
      </c>
      <c r="F1732" t="str">
        <f>""</f>
        <v/>
      </c>
      <c r="H1732" t="str">
        <f t="shared" si="24"/>
        <v>GUARDIAN</v>
      </c>
    </row>
    <row r="1733" spans="5:8" x14ac:dyDescent="0.25">
      <c r="E1733" t="str">
        <f>"LIA202007228006"</f>
        <v>LIA202007228006</v>
      </c>
      <c r="F1733" t="str">
        <f>"GUARDIAN"</f>
        <v>GUARDIAN</v>
      </c>
      <c r="G1733" s="2">
        <v>40.799999999999997</v>
      </c>
      <c r="H1733" t="str">
        <f t="shared" si="24"/>
        <v>GUARDIAN</v>
      </c>
    </row>
    <row r="1734" spans="5:8" x14ac:dyDescent="0.25">
      <c r="E1734" t="str">
        <f>""</f>
        <v/>
      </c>
      <c r="F1734" t="str">
        <f>""</f>
        <v/>
      </c>
      <c r="H1734" t="str">
        <f t="shared" si="24"/>
        <v>GUARDIAN</v>
      </c>
    </row>
    <row r="1735" spans="5:8" x14ac:dyDescent="0.25">
      <c r="E1735" t="str">
        <f>"LIC202007087798"</f>
        <v>LIC202007087798</v>
      </c>
      <c r="F1735" t="str">
        <f>"GUARDIAN"</f>
        <v>GUARDIAN</v>
      </c>
      <c r="G1735" s="2">
        <v>33.06</v>
      </c>
      <c r="H1735" t="str">
        <f t="shared" si="24"/>
        <v>GUARDIAN</v>
      </c>
    </row>
    <row r="1736" spans="5:8" x14ac:dyDescent="0.25">
      <c r="E1736" t="str">
        <f>"LIC202007087799"</f>
        <v>LIC202007087799</v>
      </c>
      <c r="F1736" t="str">
        <f>"GUARDIAN"</f>
        <v>GUARDIAN</v>
      </c>
      <c r="G1736" s="2">
        <v>1.05</v>
      </c>
      <c r="H1736" t="str">
        <f t="shared" si="24"/>
        <v>GUARDIAN</v>
      </c>
    </row>
    <row r="1737" spans="5:8" x14ac:dyDescent="0.25">
      <c r="E1737" t="str">
        <f>"LIC202007228005"</f>
        <v>LIC202007228005</v>
      </c>
      <c r="F1737" t="str">
        <f>"GUARDIAN"</f>
        <v>GUARDIAN</v>
      </c>
      <c r="G1737" s="2">
        <v>32.36</v>
      </c>
      <c r="H1737" t="str">
        <f t="shared" si="24"/>
        <v>GUARDIAN</v>
      </c>
    </row>
    <row r="1738" spans="5:8" x14ac:dyDescent="0.25">
      <c r="E1738" t="str">
        <f>"LIC202007228006"</f>
        <v>LIC202007228006</v>
      </c>
      <c r="F1738" t="str">
        <f>"GUARDIAN"</f>
        <v>GUARDIAN</v>
      </c>
      <c r="G1738" s="2">
        <v>1.05</v>
      </c>
      <c r="H1738" t="str">
        <f t="shared" si="24"/>
        <v>GUARDIAN</v>
      </c>
    </row>
    <row r="1739" spans="5:8" x14ac:dyDescent="0.25">
      <c r="E1739" t="str">
        <f>"LIE202007087798"</f>
        <v>LIE202007087798</v>
      </c>
      <c r="F1739" t="str">
        <f>"GUARDIAN"</f>
        <v>GUARDIAN</v>
      </c>
      <c r="G1739" s="2">
        <v>3707.15</v>
      </c>
      <c r="H1739" t="str">
        <f t="shared" si="24"/>
        <v>GUARDIAN</v>
      </c>
    </row>
    <row r="1740" spans="5:8" x14ac:dyDescent="0.25">
      <c r="E1740" t="str">
        <f>""</f>
        <v/>
      </c>
      <c r="F1740" t="str">
        <f>""</f>
        <v/>
      </c>
      <c r="H1740" t="str">
        <f t="shared" si="24"/>
        <v>GUARDIAN</v>
      </c>
    </row>
    <row r="1741" spans="5:8" x14ac:dyDescent="0.25">
      <c r="E1741" t="str">
        <f>""</f>
        <v/>
      </c>
      <c r="F1741" t="str">
        <f>""</f>
        <v/>
      </c>
      <c r="H1741" t="str">
        <f t="shared" si="24"/>
        <v>GUARDIAN</v>
      </c>
    </row>
    <row r="1742" spans="5:8" x14ac:dyDescent="0.25">
      <c r="E1742" t="str">
        <f>""</f>
        <v/>
      </c>
      <c r="F1742" t="str">
        <f>""</f>
        <v/>
      </c>
      <c r="H1742" t="str">
        <f t="shared" si="24"/>
        <v>GUARDIAN</v>
      </c>
    </row>
    <row r="1743" spans="5:8" x14ac:dyDescent="0.25">
      <c r="E1743" t="str">
        <f>""</f>
        <v/>
      </c>
      <c r="F1743" t="str">
        <f>""</f>
        <v/>
      </c>
      <c r="H1743" t="str">
        <f t="shared" si="24"/>
        <v>GUARDIAN</v>
      </c>
    </row>
    <row r="1744" spans="5:8" x14ac:dyDescent="0.25">
      <c r="E1744" t="str">
        <f>""</f>
        <v/>
      </c>
      <c r="F1744" t="str">
        <f>""</f>
        <v/>
      </c>
      <c r="H1744" t="str">
        <f t="shared" si="24"/>
        <v>GUARDIAN</v>
      </c>
    </row>
    <row r="1745" spans="5:8" x14ac:dyDescent="0.25">
      <c r="E1745" t="str">
        <f>""</f>
        <v/>
      </c>
      <c r="F1745" t="str">
        <f>""</f>
        <v/>
      </c>
      <c r="H1745" t="str">
        <f t="shared" si="24"/>
        <v>GUARDIAN</v>
      </c>
    </row>
    <row r="1746" spans="5:8" x14ac:dyDescent="0.25">
      <c r="E1746" t="str">
        <f>""</f>
        <v/>
      </c>
      <c r="F1746" t="str">
        <f>""</f>
        <v/>
      </c>
      <c r="H1746" t="str">
        <f t="shared" si="24"/>
        <v>GUARDIAN</v>
      </c>
    </row>
    <row r="1747" spans="5:8" x14ac:dyDescent="0.25">
      <c r="E1747" t="str">
        <f>""</f>
        <v/>
      </c>
      <c r="F1747" t="str">
        <f>""</f>
        <v/>
      </c>
      <c r="H1747" t="str">
        <f t="shared" si="24"/>
        <v>GUARDIAN</v>
      </c>
    </row>
    <row r="1748" spans="5:8" x14ac:dyDescent="0.25">
      <c r="E1748" t="str">
        <f>""</f>
        <v/>
      </c>
      <c r="F1748" t="str">
        <f>""</f>
        <v/>
      </c>
      <c r="H1748" t="str">
        <f t="shared" si="24"/>
        <v>GUARDIAN</v>
      </c>
    </row>
    <row r="1749" spans="5:8" x14ac:dyDescent="0.25">
      <c r="E1749" t="str">
        <f>""</f>
        <v/>
      </c>
      <c r="F1749" t="str">
        <f>""</f>
        <v/>
      </c>
      <c r="H1749" t="str">
        <f t="shared" ref="H1749:H1780" si="25">"GUARDIAN"</f>
        <v>GUARDIAN</v>
      </c>
    </row>
    <row r="1750" spans="5:8" x14ac:dyDescent="0.25">
      <c r="E1750" t="str">
        <f>""</f>
        <v/>
      </c>
      <c r="F1750" t="str">
        <f>""</f>
        <v/>
      </c>
      <c r="H1750" t="str">
        <f t="shared" si="25"/>
        <v>GUARDIAN</v>
      </c>
    </row>
    <row r="1751" spans="5:8" x14ac:dyDescent="0.25">
      <c r="E1751" t="str">
        <f>""</f>
        <v/>
      </c>
      <c r="F1751" t="str">
        <f>""</f>
        <v/>
      </c>
      <c r="H1751" t="str">
        <f t="shared" si="25"/>
        <v>GUARDIAN</v>
      </c>
    </row>
    <row r="1752" spans="5:8" x14ac:dyDescent="0.25">
      <c r="E1752" t="str">
        <f>""</f>
        <v/>
      </c>
      <c r="F1752" t="str">
        <f>""</f>
        <v/>
      </c>
      <c r="H1752" t="str">
        <f t="shared" si="25"/>
        <v>GUARDIAN</v>
      </c>
    </row>
    <row r="1753" spans="5:8" x14ac:dyDescent="0.25">
      <c r="E1753" t="str">
        <f>""</f>
        <v/>
      </c>
      <c r="F1753" t="str">
        <f>""</f>
        <v/>
      </c>
      <c r="H1753" t="str">
        <f t="shared" si="25"/>
        <v>GUARDIAN</v>
      </c>
    </row>
    <row r="1754" spans="5:8" x14ac:dyDescent="0.25">
      <c r="E1754" t="str">
        <f>""</f>
        <v/>
      </c>
      <c r="F1754" t="str">
        <f>""</f>
        <v/>
      </c>
      <c r="H1754" t="str">
        <f t="shared" si="25"/>
        <v>GUARDIAN</v>
      </c>
    </row>
    <row r="1755" spans="5:8" x14ac:dyDescent="0.25">
      <c r="E1755" t="str">
        <f>""</f>
        <v/>
      </c>
      <c r="F1755" t="str">
        <f>""</f>
        <v/>
      </c>
      <c r="H1755" t="str">
        <f t="shared" si="25"/>
        <v>GUARDIAN</v>
      </c>
    </row>
    <row r="1756" spans="5:8" x14ac:dyDescent="0.25">
      <c r="E1756" t="str">
        <f>""</f>
        <v/>
      </c>
      <c r="F1756" t="str">
        <f>""</f>
        <v/>
      </c>
      <c r="H1756" t="str">
        <f t="shared" si="25"/>
        <v>GUARDIAN</v>
      </c>
    </row>
    <row r="1757" spans="5:8" x14ac:dyDescent="0.25">
      <c r="E1757" t="str">
        <f>""</f>
        <v/>
      </c>
      <c r="F1757" t="str">
        <f>""</f>
        <v/>
      </c>
      <c r="H1757" t="str">
        <f t="shared" si="25"/>
        <v>GUARDIAN</v>
      </c>
    </row>
    <row r="1758" spans="5:8" x14ac:dyDescent="0.25">
      <c r="E1758" t="str">
        <f>""</f>
        <v/>
      </c>
      <c r="F1758" t="str">
        <f>""</f>
        <v/>
      </c>
      <c r="H1758" t="str">
        <f t="shared" si="25"/>
        <v>GUARDIAN</v>
      </c>
    </row>
    <row r="1759" spans="5:8" x14ac:dyDescent="0.25">
      <c r="E1759" t="str">
        <f>""</f>
        <v/>
      </c>
      <c r="F1759" t="str">
        <f>""</f>
        <v/>
      </c>
      <c r="H1759" t="str">
        <f t="shared" si="25"/>
        <v>GUARDIAN</v>
      </c>
    </row>
    <row r="1760" spans="5:8" x14ac:dyDescent="0.25">
      <c r="E1760" t="str">
        <f>""</f>
        <v/>
      </c>
      <c r="F1760" t="str">
        <f>""</f>
        <v/>
      </c>
      <c r="H1760" t="str">
        <f t="shared" si="25"/>
        <v>GUARDIAN</v>
      </c>
    </row>
    <row r="1761" spans="5:8" x14ac:dyDescent="0.25">
      <c r="E1761" t="str">
        <f>""</f>
        <v/>
      </c>
      <c r="F1761" t="str">
        <f>""</f>
        <v/>
      </c>
      <c r="H1761" t="str">
        <f t="shared" si="25"/>
        <v>GUARDIAN</v>
      </c>
    </row>
    <row r="1762" spans="5:8" x14ac:dyDescent="0.25">
      <c r="E1762" t="str">
        <f>""</f>
        <v/>
      </c>
      <c r="F1762" t="str">
        <f>""</f>
        <v/>
      </c>
      <c r="H1762" t="str">
        <f t="shared" si="25"/>
        <v>GUARDIAN</v>
      </c>
    </row>
    <row r="1763" spans="5:8" x14ac:dyDescent="0.25">
      <c r="E1763" t="str">
        <f>""</f>
        <v/>
      </c>
      <c r="F1763" t="str">
        <f>""</f>
        <v/>
      </c>
      <c r="H1763" t="str">
        <f t="shared" si="25"/>
        <v>GUARDIAN</v>
      </c>
    </row>
    <row r="1764" spans="5:8" x14ac:dyDescent="0.25">
      <c r="E1764" t="str">
        <f>""</f>
        <v/>
      </c>
      <c r="F1764" t="str">
        <f>""</f>
        <v/>
      </c>
      <c r="H1764" t="str">
        <f t="shared" si="25"/>
        <v>GUARDIAN</v>
      </c>
    </row>
    <row r="1765" spans="5:8" x14ac:dyDescent="0.25">
      <c r="E1765" t="str">
        <f>""</f>
        <v/>
      </c>
      <c r="F1765" t="str">
        <f>""</f>
        <v/>
      </c>
      <c r="H1765" t="str">
        <f t="shared" si="25"/>
        <v>GUARDIAN</v>
      </c>
    </row>
    <row r="1766" spans="5:8" x14ac:dyDescent="0.25">
      <c r="E1766" t="str">
        <f>""</f>
        <v/>
      </c>
      <c r="F1766" t="str">
        <f>""</f>
        <v/>
      </c>
      <c r="H1766" t="str">
        <f t="shared" si="25"/>
        <v>GUARDIAN</v>
      </c>
    </row>
    <row r="1767" spans="5:8" x14ac:dyDescent="0.25">
      <c r="E1767" t="str">
        <f>""</f>
        <v/>
      </c>
      <c r="F1767" t="str">
        <f>""</f>
        <v/>
      </c>
      <c r="H1767" t="str">
        <f t="shared" si="25"/>
        <v>GUARDIAN</v>
      </c>
    </row>
    <row r="1768" spans="5:8" x14ac:dyDescent="0.25">
      <c r="E1768" t="str">
        <f>""</f>
        <v/>
      </c>
      <c r="F1768" t="str">
        <f>""</f>
        <v/>
      </c>
      <c r="H1768" t="str">
        <f t="shared" si="25"/>
        <v>GUARDIAN</v>
      </c>
    </row>
    <row r="1769" spans="5:8" x14ac:dyDescent="0.25">
      <c r="E1769" t="str">
        <f>""</f>
        <v/>
      </c>
      <c r="F1769" t="str">
        <f>""</f>
        <v/>
      </c>
      <c r="H1769" t="str">
        <f t="shared" si="25"/>
        <v>GUARDIAN</v>
      </c>
    </row>
    <row r="1770" spans="5:8" x14ac:dyDescent="0.25">
      <c r="E1770" t="str">
        <f>""</f>
        <v/>
      </c>
      <c r="F1770" t="str">
        <f>""</f>
        <v/>
      </c>
      <c r="H1770" t="str">
        <f t="shared" si="25"/>
        <v>GUARDIAN</v>
      </c>
    </row>
    <row r="1771" spans="5:8" x14ac:dyDescent="0.25">
      <c r="E1771" t="str">
        <f>""</f>
        <v/>
      </c>
      <c r="F1771" t="str">
        <f>""</f>
        <v/>
      </c>
      <c r="H1771" t="str">
        <f t="shared" si="25"/>
        <v>GUARDIAN</v>
      </c>
    </row>
    <row r="1772" spans="5:8" x14ac:dyDescent="0.25">
      <c r="E1772" t="str">
        <f>""</f>
        <v/>
      </c>
      <c r="F1772" t="str">
        <f>""</f>
        <v/>
      </c>
      <c r="H1772" t="str">
        <f t="shared" si="25"/>
        <v>GUARDIAN</v>
      </c>
    </row>
    <row r="1773" spans="5:8" x14ac:dyDescent="0.25">
      <c r="E1773" t="str">
        <f>""</f>
        <v/>
      </c>
      <c r="F1773" t="str">
        <f>""</f>
        <v/>
      </c>
      <c r="H1773" t="str">
        <f t="shared" si="25"/>
        <v>GUARDIAN</v>
      </c>
    </row>
    <row r="1774" spans="5:8" x14ac:dyDescent="0.25">
      <c r="E1774" t="str">
        <f>""</f>
        <v/>
      </c>
      <c r="F1774" t="str">
        <f>""</f>
        <v/>
      </c>
      <c r="H1774" t="str">
        <f t="shared" si="25"/>
        <v>GUARDIAN</v>
      </c>
    </row>
    <row r="1775" spans="5:8" x14ac:dyDescent="0.25">
      <c r="E1775" t="str">
        <f>""</f>
        <v/>
      </c>
      <c r="F1775" t="str">
        <f>""</f>
        <v/>
      </c>
      <c r="H1775" t="str">
        <f t="shared" si="25"/>
        <v>GUARDIAN</v>
      </c>
    </row>
    <row r="1776" spans="5:8" x14ac:dyDescent="0.25">
      <c r="E1776" t="str">
        <f>""</f>
        <v/>
      </c>
      <c r="F1776" t="str">
        <f>""</f>
        <v/>
      </c>
      <c r="H1776" t="str">
        <f t="shared" si="25"/>
        <v>GUARDIAN</v>
      </c>
    </row>
    <row r="1777" spans="5:8" x14ac:dyDescent="0.25">
      <c r="E1777" t="str">
        <f>""</f>
        <v/>
      </c>
      <c r="F1777" t="str">
        <f>""</f>
        <v/>
      </c>
      <c r="H1777" t="str">
        <f t="shared" si="25"/>
        <v>GUARDIAN</v>
      </c>
    </row>
    <row r="1778" spans="5:8" x14ac:dyDescent="0.25">
      <c r="E1778" t="str">
        <f>""</f>
        <v/>
      </c>
      <c r="F1778" t="str">
        <f>""</f>
        <v/>
      </c>
      <c r="H1778" t="str">
        <f t="shared" si="25"/>
        <v>GUARDIAN</v>
      </c>
    </row>
    <row r="1779" spans="5:8" x14ac:dyDescent="0.25">
      <c r="E1779" t="str">
        <f>""</f>
        <v/>
      </c>
      <c r="F1779" t="str">
        <f>""</f>
        <v/>
      </c>
      <c r="H1779" t="str">
        <f t="shared" si="25"/>
        <v>GUARDIAN</v>
      </c>
    </row>
    <row r="1780" spans="5:8" x14ac:dyDescent="0.25">
      <c r="E1780" t="str">
        <f>""</f>
        <v/>
      </c>
      <c r="F1780" t="str">
        <f>""</f>
        <v/>
      </c>
      <c r="H1780" t="str">
        <f t="shared" si="25"/>
        <v>GUARDIAN</v>
      </c>
    </row>
    <row r="1781" spans="5:8" x14ac:dyDescent="0.25">
      <c r="E1781" t="str">
        <f>""</f>
        <v/>
      </c>
      <c r="F1781" t="str">
        <f>""</f>
        <v/>
      </c>
      <c r="H1781" t="str">
        <f t="shared" ref="H1781:H1812" si="26">"GUARDIAN"</f>
        <v>GUARDIAN</v>
      </c>
    </row>
    <row r="1782" spans="5:8" x14ac:dyDescent="0.25">
      <c r="E1782" t="str">
        <f>""</f>
        <v/>
      </c>
      <c r="F1782" t="str">
        <f>""</f>
        <v/>
      </c>
      <c r="H1782" t="str">
        <f t="shared" si="26"/>
        <v>GUARDIAN</v>
      </c>
    </row>
    <row r="1783" spans="5:8" x14ac:dyDescent="0.25">
      <c r="E1783" t="str">
        <f>""</f>
        <v/>
      </c>
      <c r="F1783" t="str">
        <f>""</f>
        <v/>
      </c>
      <c r="H1783" t="str">
        <f t="shared" si="26"/>
        <v>GUARDIAN</v>
      </c>
    </row>
    <row r="1784" spans="5:8" x14ac:dyDescent="0.25">
      <c r="E1784" t="str">
        <f>""</f>
        <v/>
      </c>
      <c r="F1784" t="str">
        <f>""</f>
        <v/>
      </c>
      <c r="H1784" t="str">
        <f t="shared" si="26"/>
        <v>GUARDIAN</v>
      </c>
    </row>
    <row r="1785" spans="5:8" x14ac:dyDescent="0.25">
      <c r="E1785" t="str">
        <f>""</f>
        <v/>
      </c>
      <c r="F1785" t="str">
        <f>""</f>
        <v/>
      </c>
      <c r="H1785" t="str">
        <f t="shared" si="26"/>
        <v>GUARDIAN</v>
      </c>
    </row>
    <row r="1786" spans="5:8" x14ac:dyDescent="0.25">
      <c r="E1786" t="str">
        <f>""</f>
        <v/>
      </c>
      <c r="F1786" t="str">
        <f>""</f>
        <v/>
      </c>
      <c r="H1786" t="str">
        <f t="shared" si="26"/>
        <v>GUARDIAN</v>
      </c>
    </row>
    <row r="1787" spans="5:8" x14ac:dyDescent="0.25">
      <c r="E1787" t="str">
        <f>""</f>
        <v/>
      </c>
      <c r="F1787" t="str">
        <f>""</f>
        <v/>
      </c>
      <c r="H1787" t="str">
        <f t="shared" si="26"/>
        <v>GUARDIAN</v>
      </c>
    </row>
    <row r="1788" spans="5:8" x14ac:dyDescent="0.25">
      <c r="E1788" t="str">
        <f>""</f>
        <v/>
      </c>
      <c r="F1788" t="str">
        <f>""</f>
        <v/>
      </c>
      <c r="H1788" t="str">
        <f t="shared" si="26"/>
        <v>GUARDIAN</v>
      </c>
    </row>
    <row r="1789" spans="5:8" x14ac:dyDescent="0.25">
      <c r="E1789" t="str">
        <f>""</f>
        <v/>
      </c>
      <c r="F1789" t="str">
        <f>""</f>
        <v/>
      </c>
      <c r="H1789" t="str">
        <f t="shared" si="26"/>
        <v>GUARDIAN</v>
      </c>
    </row>
    <row r="1790" spans="5:8" x14ac:dyDescent="0.25">
      <c r="E1790" t="str">
        <f>"LIE202007087799"</f>
        <v>LIE202007087799</v>
      </c>
      <c r="F1790" t="str">
        <f>"GUARDIAN"</f>
        <v>GUARDIAN</v>
      </c>
      <c r="G1790" s="2">
        <v>90.2</v>
      </c>
      <c r="H1790" t="str">
        <f t="shared" si="26"/>
        <v>GUARDIAN</v>
      </c>
    </row>
    <row r="1791" spans="5:8" x14ac:dyDescent="0.25">
      <c r="E1791" t="str">
        <f>""</f>
        <v/>
      </c>
      <c r="F1791" t="str">
        <f>""</f>
        <v/>
      </c>
      <c r="H1791" t="str">
        <f t="shared" si="26"/>
        <v>GUARDIAN</v>
      </c>
    </row>
    <row r="1792" spans="5:8" x14ac:dyDescent="0.25">
      <c r="E1792" t="str">
        <f>"LIE202007228005"</f>
        <v>LIE202007228005</v>
      </c>
      <c r="F1792" t="str">
        <f>"GUARDIAN"</f>
        <v>GUARDIAN</v>
      </c>
      <c r="G1792" s="2">
        <v>3668.35</v>
      </c>
      <c r="H1792" t="str">
        <f t="shared" si="26"/>
        <v>GUARDIAN</v>
      </c>
    </row>
    <row r="1793" spans="5:8" x14ac:dyDescent="0.25">
      <c r="E1793" t="str">
        <f>""</f>
        <v/>
      </c>
      <c r="F1793" t="str">
        <f>""</f>
        <v/>
      </c>
      <c r="H1793" t="str">
        <f t="shared" si="26"/>
        <v>GUARDIAN</v>
      </c>
    </row>
    <row r="1794" spans="5:8" x14ac:dyDescent="0.25">
      <c r="E1794" t="str">
        <f>""</f>
        <v/>
      </c>
      <c r="F1794" t="str">
        <f>""</f>
        <v/>
      </c>
      <c r="H1794" t="str">
        <f t="shared" si="26"/>
        <v>GUARDIAN</v>
      </c>
    </row>
    <row r="1795" spans="5:8" x14ac:dyDescent="0.25">
      <c r="E1795" t="str">
        <f>""</f>
        <v/>
      </c>
      <c r="F1795" t="str">
        <f>""</f>
        <v/>
      </c>
      <c r="H1795" t="str">
        <f t="shared" si="26"/>
        <v>GUARDIAN</v>
      </c>
    </row>
    <row r="1796" spans="5:8" x14ac:dyDescent="0.25">
      <c r="E1796" t="str">
        <f>""</f>
        <v/>
      </c>
      <c r="F1796" t="str">
        <f>""</f>
        <v/>
      </c>
      <c r="H1796" t="str">
        <f t="shared" si="26"/>
        <v>GUARDIAN</v>
      </c>
    </row>
    <row r="1797" spans="5:8" x14ac:dyDescent="0.25">
      <c r="E1797" t="str">
        <f>""</f>
        <v/>
      </c>
      <c r="F1797" t="str">
        <f>""</f>
        <v/>
      </c>
      <c r="H1797" t="str">
        <f t="shared" si="26"/>
        <v>GUARDIAN</v>
      </c>
    </row>
    <row r="1798" spans="5:8" x14ac:dyDescent="0.25">
      <c r="E1798" t="str">
        <f>""</f>
        <v/>
      </c>
      <c r="F1798" t="str">
        <f>""</f>
        <v/>
      </c>
      <c r="H1798" t="str">
        <f t="shared" si="26"/>
        <v>GUARDIAN</v>
      </c>
    </row>
    <row r="1799" spans="5:8" x14ac:dyDescent="0.25">
      <c r="E1799" t="str">
        <f>""</f>
        <v/>
      </c>
      <c r="F1799" t="str">
        <f>""</f>
        <v/>
      </c>
      <c r="H1799" t="str">
        <f t="shared" si="26"/>
        <v>GUARDIAN</v>
      </c>
    </row>
    <row r="1800" spans="5:8" x14ac:dyDescent="0.25">
      <c r="E1800" t="str">
        <f>""</f>
        <v/>
      </c>
      <c r="F1800" t="str">
        <f>""</f>
        <v/>
      </c>
      <c r="H1800" t="str">
        <f t="shared" si="26"/>
        <v>GUARDIAN</v>
      </c>
    </row>
    <row r="1801" spans="5:8" x14ac:dyDescent="0.25">
      <c r="E1801" t="str">
        <f>""</f>
        <v/>
      </c>
      <c r="F1801" t="str">
        <f>""</f>
        <v/>
      </c>
      <c r="H1801" t="str">
        <f t="shared" si="26"/>
        <v>GUARDIAN</v>
      </c>
    </row>
    <row r="1802" spans="5:8" x14ac:dyDescent="0.25">
      <c r="E1802" t="str">
        <f>""</f>
        <v/>
      </c>
      <c r="F1802" t="str">
        <f>""</f>
        <v/>
      </c>
      <c r="H1802" t="str">
        <f t="shared" si="26"/>
        <v>GUARDIAN</v>
      </c>
    </row>
    <row r="1803" spans="5:8" x14ac:dyDescent="0.25">
      <c r="E1803" t="str">
        <f>""</f>
        <v/>
      </c>
      <c r="F1803" t="str">
        <f>""</f>
        <v/>
      </c>
      <c r="H1803" t="str">
        <f t="shared" si="26"/>
        <v>GUARDIAN</v>
      </c>
    </row>
    <row r="1804" spans="5:8" x14ac:dyDescent="0.25">
      <c r="E1804" t="str">
        <f>""</f>
        <v/>
      </c>
      <c r="F1804" t="str">
        <f>""</f>
        <v/>
      </c>
      <c r="H1804" t="str">
        <f t="shared" si="26"/>
        <v>GUARDIAN</v>
      </c>
    </row>
    <row r="1805" spans="5:8" x14ac:dyDescent="0.25">
      <c r="E1805" t="str">
        <f>""</f>
        <v/>
      </c>
      <c r="F1805" t="str">
        <f>""</f>
        <v/>
      </c>
      <c r="H1805" t="str">
        <f t="shared" si="26"/>
        <v>GUARDIAN</v>
      </c>
    </row>
    <row r="1806" spans="5:8" x14ac:dyDescent="0.25">
      <c r="E1806" t="str">
        <f>""</f>
        <v/>
      </c>
      <c r="F1806" t="str">
        <f>""</f>
        <v/>
      </c>
      <c r="H1806" t="str">
        <f t="shared" si="26"/>
        <v>GUARDIAN</v>
      </c>
    </row>
    <row r="1807" spans="5:8" x14ac:dyDescent="0.25">
      <c r="E1807" t="str">
        <f>""</f>
        <v/>
      </c>
      <c r="F1807" t="str">
        <f>""</f>
        <v/>
      </c>
      <c r="H1807" t="str">
        <f t="shared" si="26"/>
        <v>GUARDIAN</v>
      </c>
    </row>
    <row r="1808" spans="5:8" x14ac:dyDescent="0.25">
      <c r="E1808" t="str">
        <f>""</f>
        <v/>
      </c>
      <c r="F1808" t="str">
        <f>""</f>
        <v/>
      </c>
      <c r="H1808" t="str">
        <f t="shared" si="26"/>
        <v>GUARDIAN</v>
      </c>
    </row>
    <row r="1809" spans="5:8" x14ac:dyDescent="0.25">
      <c r="E1809" t="str">
        <f>""</f>
        <v/>
      </c>
      <c r="F1809" t="str">
        <f>""</f>
        <v/>
      </c>
      <c r="H1809" t="str">
        <f t="shared" si="26"/>
        <v>GUARDIAN</v>
      </c>
    </row>
    <row r="1810" spans="5:8" x14ac:dyDescent="0.25">
      <c r="E1810" t="str">
        <f>""</f>
        <v/>
      </c>
      <c r="F1810" t="str">
        <f>""</f>
        <v/>
      </c>
      <c r="H1810" t="str">
        <f t="shared" si="26"/>
        <v>GUARDIAN</v>
      </c>
    </row>
    <row r="1811" spans="5:8" x14ac:dyDescent="0.25">
      <c r="E1811" t="str">
        <f>""</f>
        <v/>
      </c>
      <c r="F1811" t="str">
        <f>""</f>
        <v/>
      </c>
      <c r="H1811" t="str">
        <f t="shared" si="26"/>
        <v>GUARDIAN</v>
      </c>
    </row>
    <row r="1812" spans="5:8" x14ac:dyDescent="0.25">
      <c r="E1812" t="str">
        <f>""</f>
        <v/>
      </c>
      <c r="F1812" t="str">
        <f>""</f>
        <v/>
      </c>
      <c r="H1812" t="str">
        <f t="shared" si="26"/>
        <v>GUARDIAN</v>
      </c>
    </row>
    <row r="1813" spans="5:8" x14ac:dyDescent="0.25">
      <c r="E1813" t="str">
        <f>""</f>
        <v/>
      </c>
      <c r="F1813" t="str">
        <f>""</f>
        <v/>
      </c>
      <c r="H1813" t="str">
        <f t="shared" ref="H1813:H1844" si="27">"GUARDIAN"</f>
        <v>GUARDIAN</v>
      </c>
    </row>
    <row r="1814" spans="5:8" x14ac:dyDescent="0.25">
      <c r="E1814" t="str">
        <f>""</f>
        <v/>
      </c>
      <c r="F1814" t="str">
        <f>""</f>
        <v/>
      </c>
      <c r="H1814" t="str">
        <f t="shared" si="27"/>
        <v>GUARDIAN</v>
      </c>
    </row>
    <row r="1815" spans="5:8" x14ac:dyDescent="0.25">
      <c r="E1815" t="str">
        <f>""</f>
        <v/>
      </c>
      <c r="F1815" t="str">
        <f>""</f>
        <v/>
      </c>
      <c r="H1815" t="str">
        <f t="shared" si="27"/>
        <v>GUARDIAN</v>
      </c>
    </row>
    <row r="1816" spans="5:8" x14ac:dyDescent="0.25">
      <c r="E1816" t="str">
        <f>""</f>
        <v/>
      </c>
      <c r="F1816" t="str">
        <f>""</f>
        <v/>
      </c>
      <c r="H1816" t="str">
        <f t="shared" si="27"/>
        <v>GUARDIAN</v>
      </c>
    </row>
    <row r="1817" spans="5:8" x14ac:dyDescent="0.25">
      <c r="E1817" t="str">
        <f>""</f>
        <v/>
      </c>
      <c r="F1817" t="str">
        <f>""</f>
        <v/>
      </c>
      <c r="H1817" t="str">
        <f t="shared" si="27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27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si="27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27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27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si="27"/>
        <v>GUARDIAN</v>
      </c>
    </row>
    <row r="1823" spans="5:8" x14ac:dyDescent="0.25">
      <c r="E1823" t="str">
        <f>""</f>
        <v/>
      </c>
      <c r="F1823" t="str">
        <f>""</f>
        <v/>
      </c>
      <c r="H1823" t="str">
        <f t="shared" si="27"/>
        <v>GUARDIAN</v>
      </c>
    </row>
    <row r="1824" spans="5:8" x14ac:dyDescent="0.25">
      <c r="E1824" t="str">
        <f>""</f>
        <v/>
      </c>
      <c r="F1824" t="str">
        <f>""</f>
        <v/>
      </c>
      <c r="H1824" t="str">
        <f t="shared" si="27"/>
        <v>GUARDIAN</v>
      </c>
    </row>
    <row r="1825" spans="5:8" x14ac:dyDescent="0.25">
      <c r="E1825" t="str">
        <f>""</f>
        <v/>
      </c>
      <c r="F1825" t="str">
        <f>""</f>
        <v/>
      </c>
      <c r="H1825" t="str">
        <f t="shared" si="27"/>
        <v>GUARDIAN</v>
      </c>
    </row>
    <row r="1826" spans="5:8" x14ac:dyDescent="0.25">
      <c r="E1826" t="str">
        <f>""</f>
        <v/>
      </c>
      <c r="F1826" t="str">
        <f>""</f>
        <v/>
      </c>
      <c r="H1826" t="str">
        <f t="shared" si="27"/>
        <v>GUARDIAN</v>
      </c>
    </row>
    <row r="1827" spans="5:8" x14ac:dyDescent="0.25">
      <c r="E1827" t="str">
        <f>""</f>
        <v/>
      </c>
      <c r="F1827" t="str">
        <f>""</f>
        <v/>
      </c>
      <c r="H1827" t="str">
        <f t="shared" si="27"/>
        <v>GUARDIAN</v>
      </c>
    </row>
    <row r="1828" spans="5:8" x14ac:dyDescent="0.25">
      <c r="E1828" t="str">
        <f>""</f>
        <v/>
      </c>
      <c r="F1828" t="str">
        <f>""</f>
        <v/>
      </c>
      <c r="H1828" t="str">
        <f t="shared" si="27"/>
        <v>GUARDIAN</v>
      </c>
    </row>
    <row r="1829" spans="5:8" x14ac:dyDescent="0.25">
      <c r="E1829" t="str">
        <f>""</f>
        <v/>
      </c>
      <c r="F1829" t="str">
        <f>""</f>
        <v/>
      </c>
      <c r="H1829" t="str">
        <f t="shared" si="27"/>
        <v>GUARDIAN</v>
      </c>
    </row>
    <row r="1830" spans="5:8" x14ac:dyDescent="0.25">
      <c r="E1830" t="str">
        <f>""</f>
        <v/>
      </c>
      <c r="F1830" t="str">
        <f>""</f>
        <v/>
      </c>
      <c r="H1830" t="str">
        <f t="shared" si="27"/>
        <v>GUARDIAN</v>
      </c>
    </row>
    <row r="1831" spans="5:8" x14ac:dyDescent="0.25">
      <c r="E1831" t="str">
        <f>""</f>
        <v/>
      </c>
      <c r="F1831" t="str">
        <f>""</f>
        <v/>
      </c>
      <c r="H1831" t="str">
        <f t="shared" si="27"/>
        <v>GUARDIAN</v>
      </c>
    </row>
    <row r="1832" spans="5:8" x14ac:dyDescent="0.25">
      <c r="E1832" t="str">
        <f>""</f>
        <v/>
      </c>
      <c r="F1832" t="str">
        <f>""</f>
        <v/>
      </c>
      <c r="H1832" t="str">
        <f t="shared" si="27"/>
        <v>GUARDIAN</v>
      </c>
    </row>
    <row r="1833" spans="5:8" x14ac:dyDescent="0.25">
      <c r="E1833" t="str">
        <f>""</f>
        <v/>
      </c>
      <c r="F1833" t="str">
        <f>""</f>
        <v/>
      </c>
      <c r="H1833" t="str">
        <f t="shared" si="27"/>
        <v>GUARDIAN</v>
      </c>
    </row>
    <row r="1834" spans="5:8" x14ac:dyDescent="0.25">
      <c r="E1834" t="str">
        <f>""</f>
        <v/>
      </c>
      <c r="F1834" t="str">
        <f>""</f>
        <v/>
      </c>
      <c r="H1834" t="str">
        <f t="shared" si="27"/>
        <v>GUARDIAN</v>
      </c>
    </row>
    <row r="1835" spans="5:8" x14ac:dyDescent="0.25">
      <c r="E1835" t="str">
        <f>""</f>
        <v/>
      </c>
      <c r="F1835" t="str">
        <f>""</f>
        <v/>
      </c>
      <c r="H1835" t="str">
        <f t="shared" si="27"/>
        <v>GUARDIAN</v>
      </c>
    </row>
    <row r="1836" spans="5:8" x14ac:dyDescent="0.25">
      <c r="E1836" t="str">
        <f>""</f>
        <v/>
      </c>
      <c r="F1836" t="str">
        <f>""</f>
        <v/>
      </c>
      <c r="H1836" t="str">
        <f t="shared" si="27"/>
        <v>GUARDIAN</v>
      </c>
    </row>
    <row r="1837" spans="5:8" x14ac:dyDescent="0.25">
      <c r="E1837" t="str">
        <f>""</f>
        <v/>
      </c>
      <c r="F1837" t="str">
        <f>""</f>
        <v/>
      </c>
      <c r="H1837" t="str">
        <f t="shared" si="27"/>
        <v>GUARDIAN</v>
      </c>
    </row>
    <row r="1838" spans="5:8" x14ac:dyDescent="0.25">
      <c r="E1838" t="str">
        <f>""</f>
        <v/>
      </c>
      <c r="F1838" t="str">
        <f>""</f>
        <v/>
      </c>
      <c r="H1838" t="str">
        <f t="shared" si="27"/>
        <v>GUARDIAN</v>
      </c>
    </row>
    <row r="1839" spans="5:8" x14ac:dyDescent="0.25">
      <c r="E1839" t="str">
        <f>""</f>
        <v/>
      </c>
      <c r="F1839" t="str">
        <f>""</f>
        <v/>
      </c>
      <c r="H1839" t="str">
        <f t="shared" si="27"/>
        <v>GUARDIAN</v>
      </c>
    </row>
    <row r="1840" spans="5:8" x14ac:dyDescent="0.25">
      <c r="E1840" t="str">
        <f>""</f>
        <v/>
      </c>
      <c r="F1840" t="str">
        <f>""</f>
        <v/>
      </c>
      <c r="H1840" t="str">
        <f t="shared" si="27"/>
        <v>GUARDIAN</v>
      </c>
    </row>
    <row r="1841" spans="1:8" x14ac:dyDescent="0.25">
      <c r="E1841" t="str">
        <f>""</f>
        <v/>
      </c>
      <c r="F1841" t="str">
        <f>""</f>
        <v/>
      </c>
      <c r="H1841" t="str">
        <f t="shared" si="27"/>
        <v>GUARDIAN</v>
      </c>
    </row>
    <row r="1842" spans="1:8" x14ac:dyDescent="0.25">
      <c r="E1842" t="str">
        <f>""</f>
        <v/>
      </c>
      <c r="F1842" t="str">
        <f>""</f>
        <v/>
      </c>
      <c r="H1842" t="str">
        <f t="shared" si="27"/>
        <v>GUARDIAN</v>
      </c>
    </row>
    <row r="1843" spans="1:8" x14ac:dyDescent="0.25">
      <c r="E1843" t="str">
        <f>"LIE202007228006"</f>
        <v>LIE202007228006</v>
      </c>
      <c r="F1843" t="str">
        <f>"GUARDIAN"</f>
        <v>GUARDIAN</v>
      </c>
      <c r="G1843" s="2">
        <v>90.2</v>
      </c>
      <c r="H1843" t="str">
        <f t="shared" si="27"/>
        <v>GUARDIAN</v>
      </c>
    </row>
    <row r="1844" spans="1:8" x14ac:dyDescent="0.25">
      <c r="E1844" t="str">
        <f>""</f>
        <v/>
      </c>
      <c r="F1844" t="str">
        <f>""</f>
        <v/>
      </c>
      <c r="H1844" t="str">
        <f t="shared" si="27"/>
        <v>GUARDIAN</v>
      </c>
    </row>
    <row r="1845" spans="1:8" x14ac:dyDescent="0.25">
      <c r="E1845" t="str">
        <f>"LIS202007087798"</f>
        <v>LIS202007087798</v>
      </c>
      <c r="F1845" t="str">
        <f t="shared" ref="F1845:F1852" si="28">"GUARDIAN"</f>
        <v>GUARDIAN</v>
      </c>
      <c r="G1845" s="2">
        <v>500.12</v>
      </c>
      <c r="H1845" t="str">
        <f t="shared" ref="H1845:H1852" si="29">"GUARDIAN"</f>
        <v>GUARDIAN</v>
      </c>
    </row>
    <row r="1846" spans="1:8" x14ac:dyDescent="0.25">
      <c r="E1846" t="str">
        <f>"LIS202007087799"</f>
        <v>LIS202007087799</v>
      </c>
      <c r="F1846" t="str">
        <f t="shared" si="28"/>
        <v>GUARDIAN</v>
      </c>
      <c r="G1846" s="2">
        <v>36.15</v>
      </c>
      <c r="H1846" t="str">
        <f t="shared" si="29"/>
        <v>GUARDIAN</v>
      </c>
    </row>
    <row r="1847" spans="1:8" x14ac:dyDescent="0.25">
      <c r="E1847" t="str">
        <f>"LIS202007228005"</f>
        <v>LIS202007228005</v>
      </c>
      <c r="F1847" t="str">
        <f t="shared" si="28"/>
        <v>GUARDIAN</v>
      </c>
      <c r="G1847" s="2">
        <v>500.12</v>
      </c>
      <c r="H1847" t="str">
        <f t="shared" si="29"/>
        <v>GUARDIAN</v>
      </c>
    </row>
    <row r="1848" spans="1:8" x14ac:dyDescent="0.25">
      <c r="E1848" t="str">
        <f>"LIS202007228006"</f>
        <v>LIS202007228006</v>
      </c>
      <c r="F1848" t="str">
        <f t="shared" si="28"/>
        <v>GUARDIAN</v>
      </c>
      <c r="G1848" s="2">
        <v>36.15</v>
      </c>
      <c r="H1848" t="str">
        <f t="shared" si="29"/>
        <v>GUARDIAN</v>
      </c>
    </row>
    <row r="1849" spans="1:8" x14ac:dyDescent="0.25">
      <c r="E1849" t="str">
        <f>"LTD202007087798"</f>
        <v>LTD202007087798</v>
      </c>
      <c r="F1849" t="str">
        <f t="shared" si="28"/>
        <v>GUARDIAN</v>
      </c>
      <c r="G1849" s="2">
        <v>834.05</v>
      </c>
      <c r="H1849" t="str">
        <f t="shared" si="29"/>
        <v>GUARDIAN</v>
      </c>
    </row>
    <row r="1850" spans="1:8" x14ac:dyDescent="0.25">
      <c r="E1850" t="str">
        <f>"LTD202007087799"</f>
        <v>LTD202007087799</v>
      </c>
      <c r="F1850" t="str">
        <f t="shared" si="28"/>
        <v>GUARDIAN</v>
      </c>
      <c r="G1850" s="2">
        <v>6.11</v>
      </c>
      <c r="H1850" t="str">
        <f t="shared" si="29"/>
        <v>GUARDIAN</v>
      </c>
    </row>
    <row r="1851" spans="1:8" x14ac:dyDescent="0.25">
      <c r="E1851" t="str">
        <f>"LTD202007228005"</f>
        <v>LTD202007228005</v>
      </c>
      <c r="F1851" t="str">
        <f t="shared" si="28"/>
        <v>GUARDIAN</v>
      </c>
      <c r="G1851" s="2">
        <v>834.05</v>
      </c>
      <c r="H1851" t="str">
        <f t="shared" si="29"/>
        <v>GUARDIAN</v>
      </c>
    </row>
    <row r="1852" spans="1:8" x14ac:dyDescent="0.25">
      <c r="E1852" t="str">
        <f>"LTD202007228006"</f>
        <v>LTD202007228006</v>
      </c>
      <c r="F1852" t="str">
        <f t="shared" si="28"/>
        <v>GUARDIAN</v>
      </c>
      <c r="G1852" s="2">
        <v>6.11</v>
      </c>
      <c r="H1852" t="str">
        <f t="shared" si="29"/>
        <v>GUARDIAN</v>
      </c>
    </row>
    <row r="1853" spans="1:8" x14ac:dyDescent="0.25">
      <c r="A1853" t="s">
        <v>336</v>
      </c>
      <c r="B1853">
        <v>640</v>
      </c>
      <c r="C1853" s="2">
        <v>3339.37</v>
      </c>
      <c r="D1853" s="1">
        <v>44041</v>
      </c>
      <c r="E1853" t="str">
        <f>"202007288018"</f>
        <v>202007288018</v>
      </c>
      <c r="F1853" t="str">
        <f>"JULY 2020 OUTAGE - SEE NOTES"</f>
        <v>JULY 2020 OUTAGE - SEE NOTES</v>
      </c>
      <c r="G1853" s="2">
        <v>-83.17</v>
      </c>
      <c r="H1853" t="str">
        <f>"JULY 2020 OUTAGE - SEE NOTES"</f>
        <v>JULY 2020 OUTAGE - SEE NOTES</v>
      </c>
    </row>
    <row r="1854" spans="1:8" x14ac:dyDescent="0.25">
      <c r="E1854" t="str">
        <f>"202007288017"</f>
        <v>202007288017</v>
      </c>
      <c r="F1854" t="str">
        <f>"RETIREE - JULY 2020"</f>
        <v>RETIREE - JULY 2020</v>
      </c>
      <c r="G1854" s="2">
        <v>3422.54</v>
      </c>
      <c r="H1854" t="str">
        <f>"RETIREE - JULY 2020"</f>
        <v>RETIREE - JULY 2020</v>
      </c>
    </row>
    <row r="1855" spans="1:8" x14ac:dyDescent="0.25">
      <c r="A1855" t="s">
        <v>336</v>
      </c>
      <c r="B1855">
        <v>641</v>
      </c>
      <c r="C1855" s="2">
        <v>98.36</v>
      </c>
      <c r="D1855" s="1">
        <v>44041</v>
      </c>
      <c r="E1855" t="str">
        <f>"AEG202007087798"</f>
        <v>AEG202007087798</v>
      </c>
      <c r="F1855" t="str">
        <f>"GUARDIAN"</f>
        <v>GUARDIAN</v>
      </c>
      <c r="G1855" s="2">
        <v>6.66</v>
      </c>
      <c r="H1855" t="str">
        <f>"GUARDIAN"</f>
        <v>GUARDIAN</v>
      </c>
    </row>
    <row r="1856" spans="1:8" x14ac:dyDescent="0.25">
      <c r="E1856" t="str">
        <f>"AEG202007228005"</f>
        <v>AEG202007228005</v>
      </c>
      <c r="F1856" t="str">
        <f>"GUARDIAN"</f>
        <v>GUARDIAN</v>
      </c>
      <c r="G1856" s="2">
        <v>6.66</v>
      </c>
      <c r="H1856" t="str">
        <f>"GUARDIAN"</f>
        <v>GUARDIAN</v>
      </c>
    </row>
    <row r="1857" spans="1:8" x14ac:dyDescent="0.25">
      <c r="E1857" t="str">
        <f>"AFG202007087798"</f>
        <v>AFG202007087798</v>
      </c>
      <c r="F1857" t="str">
        <f>"GUARDIAN"</f>
        <v>GUARDIAN</v>
      </c>
      <c r="G1857" s="2">
        <v>42.52</v>
      </c>
      <c r="H1857" t="str">
        <f>"GUARDIAN"</f>
        <v>GUARDIAN</v>
      </c>
    </row>
    <row r="1858" spans="1:8" x14ac:dyDescent="0.25">
      <c r="E1858" t="str">
        <f>"AFG202007228005"</f>
        <v>AFG202007228005</v>
      </c>
      <c r="F1858" t="str">
        <f>"GUARDIAN"</f>
        <v>GUARDIAN</v>
      </c>
      <c r="G1858" s="2">
        <v>42.52</v>
      </c>
      <c r="H1858" t="str">
        <f>"GUARDIAN"</f>
        <v>GUARDIAN</v>
      </c>
    </row>
    <row r="1859" spans="1:8" x14ac:dyDescent="0.25">
      <c r="A1859" t="s">
        <v>337</v>
      </c>
      <c r="B1859">
        <v>584</v>
      </c>
      <c r="C1859" s="2">
        <v>246024.64</v>
      </c>
      <c r="D1859" s="1">
        <v>44022</v>
      </c>
      <c r="E1859" t="str">
        <f>"T1 202007087798"</f>
        <v>T1 202007087798</v>
      </c>
      <c r="F1859" t="str">
        <f>"FEDERAL WITHHOLDING"</f>
        <v>FEDERAL WITHHOLDING</v>
      </c>
      <c r="G1859" s="2">
        <v>82880.52</v>
      </c>
      <c r="H1859" t="str">
        <f>"FEDERAL WITHHOLDING"</f>
        <v>FEDERAL WITHHOLDING</v>
      </c>
    </row>
    <row r="1860" spans="1:8" x14ac:dyDescent="0.25">
      <c r="E1860" t="str">
        <f>"T1 202007087799"</f>
        <v>T1 202007087799</v>
      </c>
      <c r="F1860" t="str">
        <f>"FEDERAL WITHHOLDING"</f>
        <v>FEDERAL WITHHOLDING</v>
      </c>
      <c r="G1860" s="2">
        <v>3190.46</v>
      </c>
      <c r="H1860" t="str">
        <f>"FEDERAL WITHHOLDING"</f>
        <v>FEDERAL WITHHOLDING</v>
      </c>
    </row>
    <row r="1861" spans="1:8" x14ac:dyDescent="0.25">
      <c r="E1861" t="str">
        <f>"T1 202007087800"</f>
        <v>T1 202007087800</v>
      </c>
      <c r="F1861" t="str">
        <f>"FEDERAL WITHHOLDING"</f>
        <v>FEDERAL WITHHOLDING</v>
      </c>
      <c r="G1861" s="2">
        <v>3511.94</v>
      </c>
      <c r="H1861" t="str">
        <f>"FEDERAL WITHHOLDING"</f>
        <v>FEDERAL WITHHOLDING</v>
      </c>
    </row>
    <row r="1862" spans="1:8" x14ac:dyDescent="0.25">
      <c r="E1862" t="str">
        <f>"T3 202007087798"</f>
        <v>T3 202007087798</v>
      </c>
      <c r="F1862" t="str">
        <f>"SOCIAL SECURITY TAXES"</f>
        <v>SOCIAL SECURITY TAXES</v>
      </c>
      <c r="G1862" s="2">
        <v>117324.98</v>
      </c>
      <c r="H1862" t="str">
        <f t="shared" ref="H1862:H1893" si="30">"SOCIAL SECURITY TAXES"</f>
        <v>SOCIAL SECURITY TAXES</v>
      </c>
    </row>
    <row r="1863" spans="1:8" x14ac:dyDescent="0.25">
      <c r="E1863" t="str">
        <f>""</f>
        <v/>
      </c>
      <c r="F1863" t="str">
        <f>""</f>
        <v/>
      </c>
      <c r="H1863" t="str">
        <f t="shared" si="30"/>
        <v>SOCIAL SECURITY TAXES</v>
      </c>
    </row>
    <row r="1864" spans="1:8" x14ac:dyDescent="0.25">
      <c r="E1864" t="str">
        <f>""</f>
        <v/>
      </c>
      <c r="F1864" t="str">
        <f>""</f>
        <v/>
      </c>
      <c r="H1864" t="str">
        <f t="shared" si="30"/>
        <v>SOCIAL SECURITY TAXES</v>
      </c>
    </row>
    <row r="1865" spans="1:8" x14ac:dyDescent="0.25">
      <c r="E1865" t="str">
        <f>""</f>
        <v/>
      </c>
      <c r="F1865" t="str">
        <f>""</f>
        <v/>
      </c>
      <c r="H1865" t="str">
        <f t="shared" si="30"/>
        <v>SOCIAL SECURITY TAXES</v>
      </c>
    </row>
    <row r="1866" spans="1:8" x14ac:dyDescent="0.25">
      <c r="E1866" t="str">
        <f>""</f>
        <v/>
      </c>
      <c r="F1866" t="str">
        <f>""</f>
        <v/>
      </c>
      <c r="H1866" t="str">
        <f t="shared" si="30"/>
        <v>SOCIAL SECURITY TAXES</v>
      </c>
    </row>
    <row r="1867" spans="1:8" x14ac:dyDescent="0.25">
      <c r="E1867" t="str">
        <f>""</f>
        <v/>
      </c>
      <c r="F1867" t="str">
        <f>""</f>
        <v/>
      </c>
      <c r="H1867" t="str">
        <f t="shared" si="30"/>
        <v>SOCIAL SECURITY TAXES</v>
      </c>
    </row>
    <row r="1868" spans="1:8" x14ac:dyDescent="0.25">
      <c r="E1868" t="str">
        <f>""</f>
        <v/>
      </c>
      <c r="F1868" t="str">
        <f>""</f>
        <v/>
      </c>
      <c r="H1868" t="str">
        <f t="shared" si="30"/>
        <v>SOCIAL SECURITY TAXES</v>
      </c>
    </row>
    <row r="1869" spans="1:8" x14ac:dyDescent="0.25">
      <c r="E1869" t="str">
        <f>""</f>
        <v/>
      </c>
      <c r="F1869" t="str">
        <f>""</f>
        <v/>
      </c>
      <c r="H1869" t="str">
        <f t="shared" si="30"/>
        <v>SOCIAL SECURITY TAXES</v>
      </c>
    </row>
    <row r="1870" spans="1:8" x14ac:dyDescent="0.25">
      <c r="E1870" t="str">
        <f>""</f>
        <v/>
      </c>
      <c r="F1870" t="str">
        <f>""</f>
        <v/>
      </c>
      <c r="H1870" t="str">
        <f t="shared" si="30"/>
        <v>SOCIAL SECURITY TAXES</v>
      </c>
    </row>
    <row r="1871" spans="1:8" x14ac:dyDescent="0.25">
      <c r="E1871" t="str">
        <f>""</f>
        <v/>
      </c>
      <c r="F1871" t="str">
        <f>""</f>
        <v/>
      </c>
      <c r="H1871" t="str">
        <f t="shared" si="30"/>
        <v>SOCIAL SECURITY TAXES</v>
      </c>
    </row>
    <row r="1872" spans="1:8" x14ac:dyDescent="0.25">
      <c r="E1872" t="str">
        <f>""</f>
        <v/>
      </c>
      <c r="F1872" t="str">
        <f>""</f>
        <v/>
      </c>
      <c r="H1872" t="str">
        <f t="shared" si="30"/>
        <v>SOCIAL SECURITY TAXES</v>
      </c>
    </row>
    <row r="1873" spans="5:8" x14ac:dyDescent="0.25">
      <c r="E1873" t="str">
        <f>""</f>
        <v/>
      </c>
      <c r="F1873" t="str">
        <f>""</f>
        <v/>
      </c>
      <c r="H1873" t="str">
        <f t="shared" si="30"/>
        <v>SOCIAL SECURITY TAXES</v>
      </c>
    </row>
    <row r="1874" spans="5:8" x14ac:dyDescent="0.25">
      <c r="E1874" t="str">
        <f>""</f>
        <v/>
      </c>
      <c r="F1874" t="str">
        <f>""</f>
        <v/>
      </c>
      <c r="H1874" t="str">
        <f t="shared" si="30"/>
        <v>SOCIAL SECURITY TAXES</v>
      </c>
    </row>
    <row r="1875" spans="5:8" x14ac:dyDescent="0.25">
      <c r="E1875" t="str">
        <f>""</f>
        <v/>
      </c>
      <c r="F1875" t="str">
        <f>""</f>
        <v/>
      </c>
      <c r="H1875" t="str">
        <f t="shared" si="30"/>
        <v>SOCIAL SECURITY TAXES</v>
      </c>
    </row>
    <row r="1876" spans="5:8" x14ac:dyDescent="0.25">
      <c r="E1876" t="str">
        <f>""</f>
        <v/>
      </c>
      <c r="F1876" t="str">
        <f>""</f>
        <v/>
      </c>
      <c r="H1876" t="str">
        <f t="shared" si="30"/>
        <v>SOCIAL SECURITY TAXES</v>
      </c>
    </row>
    <row r="1877" spans="5:8" x14ac:dyDescent="0.25">
      <c r="E1877" t="str">
        <f>""</f>
        <v/>
      </c>
      <c r="F1877" t="str">
        <f>""</f>
        <v/>
      </c>
      <c r="H1877" t="str">
        <f t="shared" si="30"/>
        <v>SOCIAL SECURITY TAXES</v>
      </c>
    </row>
    <row r="1878" spans="5:8" x14ac:dyDescent="0.25">
      <c r="E1878" t="str">
        <f>""</f>
        <v/>
      </c>
      <c r="F1878" t="str">
        <f>""</f>
        <v/>
      </c>
      <c r="H1878" t="str">
        <f t="shared" si="30"/>
        <v>SOCIAL SECURITY TAXES</v>
      </c>
    </row>
    <row r="1879" spans="5:8" x14ac:dyDescent="0.25">
      <c r="E1879" t="str">
        <f>""</f>
        <v/>
      </c>
      <c r="F1879" t="str">
        <f>""</f>
        <v/>
      </c>
      <c r="H1879" t="str">
        <f t="shared" si="30"/>
        <v>SOCIAL SECURITY TAXES</v>
      </c>
    </row>
    <row r="1880" spans="5:8" x14ac:dyDescent="0.25">
      <c r="E1880" t="str">
        <f>""</f>
        <v/>
      </c>
      <c r="F1880" t="str">
        <f>""</f>
        <v/>
      </c>
      <c r="H1880" t="str">
        <f t="shared" si="30"/>
        <v>SOCIAL SECURITY TAXES</v>
      </c>
    </row>
    <row r="1881" spans="5:8" x14ac:dyDescent="0.25">
      <c r="E1881" t="str">
        <f>""</f>
        <v/>
      </c>
      <c r="F1881" t="str">
        <f>""</f>
        <v/>
      </c>
      <c r="H1881" t="str">
        <f t="shared" si="30"/>
        <v>SOCIAL SECURITY TAXES</v>
      </c>
    </row>
    <row r="1882" spans="5:8" x14ac:dyDescent="0.25">
      <c r="E1882" t="str">
        <f>""</f>
        <v/>
      </c>
      <c r="F1882" t="str">
        <f>""</f>
        <v/>
      </c>
      <c r="H1882" t="str">
        <f t="shared" si="30"/>
        <v>SOCIAL SECURITY TAXES</v>
      </c>
    </row>
    <row r="1883" spans="5:8" x14ac:dyDescent="0.25">
      <c r="E1883" t="str">
        <f>""</f>
        <v/>
      </c>
      <c r="F1883" t="str">
        <f>""</f>
        <v/>
      </c>
      <c r="H1883" t="str">
        <f t="shared" si="30"/>
        <v>SOCIAL SECURITY TAXES</v>
      </c>
    </row>
    <row r="1884" spans="5:8" x14ac:dyDescent="0.25">
      <c r="E1884" t="str">
        <f>""</f>
        <v/>
      </c>
      <c r="F1884" t="str">
        <f>""</f>
        <v/>
      </c>
      <c r="H1884" t="str">
        <f t="shared" si="30"/>
        <v>SOCIAL SECURITY TAXES</v>
      </c>
    </row>
    <row r="1885" spans="5:8" x14ac:dyDescent="0.25">
      <c r="E1885" t="str">
        <f>""</f>
        <v/>
      </c>
      <c r="F1885" t="str">
        <f>""</f>
        <v/>
      </c>
      <c r="H1885" t="str">
        <f t="shared" si="30"/>
        <v>SOCIAL SECURITY TAXES</v>
      </c>
    </row>
    <row r="1886" spans="5:8" x14ac:dyDescent="0.25">
      <c r="E1886" t="str">
        <f>""</f>
        <v/>
      </c>
      <c r="F1886" t="str">
        <f>""</f>
        <v/>
      </c>
      <c r="H1886" t="str">
        <f t="shared" si="30"/>
        <v>SOCIAL SECURITY TAXES</v>
      </c>
    </row>
    <row r="1887" spans="5:8" x14ac:dyDescent="0.25">
      <c r="E1887" t="str">
        <f>""</f>
        <v/>
      </c>
      <c r="F1887" t="str">
        <f>""</f>
        <v/>
      </c>
      <c r="H1887" t="str">
        <f t="shared" si="30"/>
        <v>SOCIAL SECURITY TAXES</v>
      </c>
    </row>
    <row r="1888" spans="5:8" x14ac:dyDescent="0.25">
      <c r="E1888" t="str">
        <f>""</f>
        <v/>
      </c>
      <c r="F1888" t="str">
        <f>""</f>
        <v/>
      </c>
      <c r="H1888" t="str">
        <f t="shared" si="30"/>
        <v>SOCIAL SECURITY TAXES</v>
      </c>
    </row>
    <row r="1889" spans="5:8" x14ac:dyDescent="0.25">
      <c r="E1889" t="str">
        <f>""</f>
        <v/>
      </c>
      <c r="F1889" t="str">
        <f>""</f>
        <v/>
      </c>
      <c r="H1889" t="str">
        <f t="shared" si="30"/>
        <v>SOCIAL SECURITY TAXES</v>
      </c>
    </row>
    <row r="1890" spans="5:8" x14ac:dyDescent="0.25">
      <c r="E1890" t="str">
        <f>""</f>
        <v/>
      </c>
      <c r="F1890" t="str">
        <f>""</f>
        <v/>
      </c>
      <c r="H1890" t="str">
        <f t="shared" si="30"/>
        <v>SOCIAL SECURITY TAXES</v>
      </c>
    </row>
    <row r="1891" spans="5:8" x14ac:dyDescent="0.25">
      <c r="E1891" t="str">
        <f>""</f>
        <v/>
      </c>
      <c r="F1891" t="str">
        <f>""</f>
        <v/>
      </c>
      <c r="H1891" t="str">
        <f t="shared" si="30"/>
        <v>SOCIAL SECURITY TAXES</v>
      </c>
    </row>
    <row r="1892" spans="5:8" x14ac:dyDescent="0.25">
      <c r="E1892" t="str">
        <f>""</f>
        <v/>
      </c>
      <c r="F1892" t="str">
        <f>""</f>
        <v/>
      </c>
      <c r="H1892" t="str">
        <f t="shared" si="30"/>
        <v>SOCIAL SECURITY TAXES</v>
      </c>
    </row>
    <row r="1893" spans="5:8" x14ac:dyDescent="0.25">
      <c r="E1893" t="str">
        <f>""</f>
        <v/>
      </c>
      <c r="F1893" t="str">
        <f>""</f>
        <v/>
      </c>
      <c r="H1893" t="str">
        <f t="shared" si="30"/>
        <v>SOCIAL SECURITY TAXES</v>
      </c>
    </row>
    <row r="1894" spans="5:8" x14ac:dyDescent="0.25">
      <c r="E1894" t="str">
        <f>""</f>
        <v/>
      </c>
      <c r="F1894" t="str">
        <f>""</f>
        <v/>
      </c>
      <c r="H1894" t="str">
        <f t="shared" ref="H1894:H1918" si="31">"SOCIAL SECURITY TAXES"</f>
        <v>SOCIAL SECURITY TAXES</v>
      </c>
    </row>
    <row r="1895" spans="5:8" x14ac:dyDescent="0.25">
      <c r="E1895" t="str">
        <f>""</f>
        <v/>
      </c>
      <c r="F1895" t="str">
        <f>""</f>
        <v/>
      </c>
      <c r="H1895" t="str">
        <f t="shared" si="31"/>
        <v>SOCIAL SECURITY TAXES</v>
      </c>
    </row>
    <row r="1896" spans="5:8" x14ac:dyDescent="0.25">
      <c r="E1896" t="str">
        <f>""</f>
        <v/>
      </c>
      <c r="F1896" t="str">
        <f>""</f>
        <v/>
      </c>
      <c r="H1896" t="str">
        <f t="shared" si="31"/>
        <v>SOCIAL SECURITY TAXES</v>
      </c>
    </row>
    <row r="1897" spans="5:8" x14ac:dyDescent="0.25">
      <c r="E1897" t="str">
        <f>""</f>
        <v/>
      </c>
      <c r="F1897" t="str">
        <f>""</f>
        <v/>
      </c>
      <c r="H1897" t="str">
        <f t="shared" si="31"/>
        <v>SOCIAL SECURITY TAXES</v>
      </c>
    </row>
    <row r="1898" spans="5:8" x14ac:dyDescent="0.25">
      <c r="E1898" t="str">
        <f>""</f>
        <v/>
      </c>
      <c r="F1898" t="str">
        <f>""</f>
        <v/>
      </c>
      <c r="H1898" t="str">
        <f t="shared" si="31"/>
        <v>SOCIAL SECURITY TAXES</v>
      </c>
    </row>
    <row r="1899" spans="5:8" x14ac:dyDescent="0.25">
      <c r="E1899" t="str">
        <f>""</f>
        <v/>
      </c>
      <c r="F1899" t="str">
        <f>""</f>
        <v/>
      </c>
      <c r="H1899" t="str">
        <f t="shared" si="31"/>
        <v>SOCIAL SECURITY TAXES</v>
      </c>
    </row>
    <row r="1900" spans="5:8" x14ac:dyDescent="0.25">
      <c r="E1900" t="str">
        <f>""</f>
        <v/>
      </c>
      <c r="F1900" t="str">
        <f>""</f>
        <v/>
      </c>
      <c r="H1900" t="str">
        <f t="shared" si="31"/>
        <v>SOCIAL SECURITY TAXES</v>
      </c>
    </row>
    <row r="1901" spans="5:8" x14ac:dyDescent="0.25">
      <c r="E1901" t="str">
        <f>""</f>
        <v/>
      </c>
      <c r="F1901" t="str">
        <f>""</f>
        <v/>
      </c>
      <c r="H1901" t="str">
        <f t="shared" si="31"/>
        <v>SOCIAL SECURITY TAXES</v>
      </c>
    </row>
    <row r="1902" spans="5:8" x14ac:dyDescent="0.25">
      <c r="E1902" t="str">
        <f>""</f>
        <v/>
      </c>
      <c r="F1902" t="str">
        <f>""</f>
        <v/>
      </c>
      <c r="H1902" t="str">
        <f t="shared" si="31"/>
        <v>SOCIAL SECURITY TAXES</v>
      </c>
    </row>
    <row r="1903" spans="5:8" x14ac:dyDescent="0.25">
      <c r="E1903" t="str">
        <f>""</f>
        <v/>
      </c>
      <c r="F1903" t="str">
        <f>""</f>
        <v/>
      </c>
      <c r="H1903" t="str">
        <f t="shared" si="31"/>
        <v>SOCIAL SECURITY TAXES</v>
      </c>
    </row>
    <row r="1904" spans="5:8" x14ac:dyDescent="0.25">
      <c r="E1904" t="str">
        <f>""</f>
        <v/>
      </c>
      <c r="F1904" t="str">
        <f>""</f>
        <v/>
      </c>
      <c r="H1904" t="str">
        <f t="shared" si="31"/>
        <v>SOCIAL SECURITY TAXES</v>
      </c>
    </row>
    <row r="1905" spans="5:8" x14ac:dyDescent="0.25">
      <c r="E1905" t="str">
        <f>""</f>
        <v/>
      </c>
      <c r="F1905" t="str">
        <f>""</f>
        <v/>
      </c>
      <c r="H1905" t="str">
        <f t="shared" si="31"/>
        <v>SOCIAL SECURITY TAXES</v>
      </c>
    </row>
    <row r="1906" spans="5:8" x14ac:dyDescent="0.25">
      <c r="E1906" t="str">
        <f>""</f>
        <v/>
      </c>
      <c r="F1906" t="str">
        <f>""</f>
        <v/>
      </c>
      <c r="H1906" t="str">
        <f t="shared" si="31"/>
        <v>SOCIAL SECURITY TAXES</v>
      </c>
    </row>
    <row r="1907" spans="5:8" x14ac:dyDescent="0.25">
      <c r="E1907" t="str">
        <f>""</f>
        <v/>
      </c>
      <c r="F1907" t="str">
        <f>""</f>
        <v/>
      </c>
      <c r="H1907" t="str">
        <f t="shared" si="31"/>
        <v>SOCIAL SECURITY TAXES</v>
      </c>
    </row>
    <row r="1908" spans="5:8" x14ac:dyDescent="0.25">
      <c r="E1908" t="str">
        <f>""</f>
        <v/>
      </c>
      <c r="F1908" t="str">
        <f>""</f>
        <v/>
      </c>
      <c r="H1908" t="str">
        <f t="shared" si="31"/>
        <v>SOCIAL SECURITY TAXES</v>
      </c>
    </row>
    <row r="1909" spans="5:8" x14ac:dyDescent="0.25">
      <c r="E1909" t="str">
        <f>""</f>
        <v/>
      </c>
      <c r="F1909" t="str">
        <f>""</f>
        <v/>
      </c>
      <c r="H1909" t="str">
        <f t="shared" si="31"/>
        <v>SOCIAL SECURITY TAXES</v>
      </c>
    </row>
    <row r="1910" spans="5:8" x14ac:dyDescent="0.25">
      <c r="E1910" t="str">
        <f>""</f>
        <v/>
      </c>
      <c r="F1910" t="str">
        <f>""</f>
        <v/>
      </c>
      <c r="H1910" t="str">
        <f t="shared" si="31"/>
        <v>SOCIAL SECURITY TAXES</v>
      </c>
    </row>
    <row r="1911" spans="5:8" x14ac:dyDescent="0.25">
      <c r="E1911" t="str">
        <f>""</f>
        <v/>
      </c>
      <c r="F1911" t="str">
        <f>""</f>
        <v/>
      </c>
      <c r="H1911" t="str">
        <f t="shared" si="31"/>
        <v>SOCIAL SECURITY TAXES</v>
      </c>
    </row>
    <row r="1912" spans="5:8" x14ac:dyDescent="0.25">
      <c r="E1912" t="str">
        <f>""</f>
        <v/>
      </c>
      <c r="F1912" t="str">
        <f>""</f>
        <v/>
      </c>
      <c r="H1912" t="str">
        <f t="shared" si="31"/>
        <v>SOCIAL SECURITY TAXES</v>
      </c>
    </row>
    <row r="1913" spans="5:8" x14ac:dyDescent="0.25">
      <c r="E1913" t="str">
        <f>""</f>
        <v/>
      </c>
      <c r="F1913" t="str">
        <f>""</f>
        <v/>
      </c>
      <c r="H1913" t="str">
        <f t="shared" si="31"/>
        <v>SOCIAL SECURITY TAXES</v>
      </c>
    </row>
    <row r="1914" spans="5:8" x14ac:dyDescent="0.25">
      <c r="E1914" t="str">
        <f>""</f>
        <v/>
      </c>
      <c r="F1914" t="str">
        <f>""</f>
        <v/>
      </c>
      <c r="H1914" t="str">
        <f t="shared" si="31"/>
        <v>SOCIAL SECURITY TAXES</v>
      </c>
    </row>
    <row r="1915" spans="5:8" x14ac:dyDescent="0.25">
      <c r="E1915" t="str">
        <f>"T3 202007087799"</f>
        <v>T3 202007087799</v>
      </c>
      <c r="F1915" t="str">
        <f>"SOCIAL SECURITY TAXES"</f>
        <v>SOCIAL SECURITY TAXES</v>
      </c>
      <c r="G1915" s="2">
        <v>4402.46</v>
      </c>
      <c r="H1915" t="str">
        <f t="shared" si="31"/>
        <v>SOCIAL SECURITY TAXES</v>
      </c>
    </row>
    <row r="1916" spans="5:8" x14ac:dyDescent="0.25">
      <c r="E1916" t="str">
        <f>""</f>
        <v/>
      </c>
      <c r="F1916" t="str">
        <f>""</f>
        <v/>
      </c>
      <c r="H1916" t="str">
        <f t="shared" si="31"/>
        <v>SOCIAL SECURITY TAXES</v>
      </c>
    </row>
    <row r="1917" spans="5:8" x14ac:dyDescent="0.25">
      <c r="E1917" t="str">
        <f>"T3 202007087800"</f>
        <v>T3 202007087800</v>
      </c>
      <c r="F1917" t="str">
        <f>"SOCIAL SECURITY TAXES"</f>
        <v>SOCIAL SECURITY TAXES</v>
      </c>
      <c r="G1917" s="2">
        <v>5062.0600000000004</v>
      </c>
      <c r="H1917" t="str">
        <f t="shared" si="31"/>
        <v>SOCIAL SECURITY TAXES</v>
      </c>
    </row>
    <row r="1918" spans="5:8" x14ac:dyDescent="0.25">
      <c r="E1918" t="str">
        <f>""</f>
        <v/>
      </c>
      <c r="F1918" t="str">
        <f>""</f>
        <v/>
      </c>
      <c r="H1918" t="str">
        <f t="shared" si="31"/>
        <v>SOCIAL SECURITY TAXES</v>
      </c>
    </row>
    <row r="1919" spans="5:8" x14ac:dyDescent="0.25">
      <c r="E1919" t="str">
        <f>"T4 202007087798"</f>
        <v>T4 202007087798</v>
      </c>
      <c r="F1919" t="str">
        <f>"MEDICARE TAXES"</f>
        <v>MEDICARE TAXES</v>
      </c>
      <c r="G1919" s="2">
        <v>27438.7</v>
      </c>
      <c r="H1919" t="str">
        <f t="shared" ref="H1919:H1950" si="32">"MEDICARE TAXES"</f>
        <v>MEDICARE TAXES</v>
      </c>
    </row>
    <row r="1920" spans="5:8" x14ac:dyDescent="0.25">
      <c r="E1920" t="str">
        <f>""</f>
        <v/>
      </c>
      <c r="F1920" t="str">
        <f>""</f>
        <v/>
      </c>
      <c r="H1920" t="str">
        <f t="shared" si="32"/>
        <v>MEDICARE TAXES</v>
      </c>
    </row>
    <row r="1921" spans="5:8" x14ac:dyDescent="0.25">
      <c r="E1921" t="str">
        <f>""</f>
        <v/>
      </c>
      <c r="F1921" t="str">
        <f>""</f>
        <v/>
      </c>
      <c r="H1921" t="str">
        <f t="shared" si="32"/>
        <v>MEDICARE TAXES</v>
      </c>
    </row>
    <row r="1922" spans="5:8" x14ac:dyDescent="0.25">
      <c r="E1922" t="str">
        <f>""</f>
        <v/>
      </c>
      <c r="F1922" t="str">
        <f>""</f>
        <v/>
      </c>
      <c r="H1922" t="str">
        <f t="shared" si="32"/>
        <v>MEDICARE TAXES</v>
      </c>
    </row>
    <row r="1923" spans="5:8" x14ac:dyDescent="0.25">
      <c r="E1923" t="str">
        <f>""</f>
        <v/>
      </c>
      <c r="F1923" t="str">
        <f>""</f>
        <v/>
      </c>
      <c r="H1923" t="str">
        <f t="shared" si="32"/>
        <v>MEDICARE TAXES</v>
      </c>
    </row>
    <row r="1924" spans="5:8" x14ac:dyDescent="0.25">
      <c r="E1924" t="str">
        <f>""</f>
        <v/>
      </c>
      <c r="F1924" t="str">
        <f>""</f>
        <v/>
      </c>
      <c r="H1924" t="str">
        <f t="shared" si="32"/>
        <v>MEDICARE TAXES</v>
      </c>
    </row>
    <row r="1925" spans="5:8" x14ac:dyDescent="0.25">
      <c r="E1925" t="str">
        <f>""</f>
        <v/>
      </c>
      <c r="F1925" t="str">
        <f>""</f>
        <v/>
      </c>
      <c r="H1925" t="str">
        <f t="shared" si="32"/>
        <v>MEDICARE TAXES</v>
      </c>
    </row>
    <row r="1926" spans="5:8" x14ac:dyDescent="0.25">
      <c r="E1926" t="str">
        <f>""</f>
        <v/>
      </c>
      <c r="F1926" t="str">
        <f>""</f>
        <v/>
      </c>
      <c r="H1926" t="str">
        <f t="shared" si="32"/>
        <v>MEDICARE TAXES</v>
      </c>
    </row>
    <row r="1927" spans="5:8" x14ac:dyDescent="0.25">
      <c r="E1927" t="str">
        <f>""</f>
        <v/>
      </c>
      <c r="F1927" t="str">
        <f>""</f>
        <v/>
      </c>
      <c r="H1927" t="str">
        <f t="shared" si="32"/>
        <v>MEDICARE TAXES</v>
      </c>
    </row>
    <row r="1928" spans="5:8" x14ac:dyDescent="0.25">
      <c r="E1928" t="str">
        <f>""</f>
        <v/>
      </c>
      <c r="F1928" t="str">
        <f>""</f>
        <v/>
      </c>
      <c r="H1928" t="str">
        <f t="shared" si="32"/>
        <v>MEDICARE TAXES</v>
      </c>
    </row>
    <row r="1929" spans="5:8" x14ac:dyDescent="0.25">
      <c r="E1929" t="str">
        <f>""</f>
        <v/>
      </c>
      <c r="F1929" t="str">
        <f>""</f>
        <v/>
      </c>
      <c r="H1929" t="str">
        <f t="shared" si="32"/>
        <v>MEDICARE TAXES</v>
      </c>
    </row>
    <row r="1930" spans="5:8" x14ac:dyDescent="0.25">
      <c r="E1930" t="str">
        <f>""</f>
        <v/>
      </c>
      <c r="F1930" t="str">
        <f>""</f>
        <v/>
      </c>
      <c r="H1930" t="str">
        <f t="shared" si="32"/>
        <v>MEDICARE TAXES</v>
      </c>
    </row>
    <row r="1931" spans="5:8" x14ac:dyDescent="0.25">
      <c r="E1931" t="str">
        <f>""</f>
        <v/>
      </c>
      <c r="F1931" t="str">
        <f>""</f>
        <v/>
      </c>
      <c r="H1931" t="str">
        <f t="shared" si="32"/>
        <v>MEDICARE TAXES</v>
      </c>
    </row>
    <row r="1932" spans="5:8" x14ac:dyDescent="0.25">
      <c r="E1932" t="str">
        <f>""</f>
        <v/>
      </c>
      <c r="F1932" t="str">
        <f>""</f>
        <v/>
      </c>
      <c r="H1932" t="str">
        <f t="shared" si="32"/>
        <v>MEDICARE TAXES</v>
      </c>
    </row>
    <row r="1933" spans="5:8" x14ac:dyDescent="0.25">
      <c r="E1933" t="str">
        <f>""</f>
        <v/>
      </c>
      <c r="F1933" t="str">
        <f>""</f>
        <v/>
      </c>
      <c r="H1933" t="str">
        <f t="shared" si="32"/>
        <v>MEDICARE TAXES</v>
      </c>
    </row>
    <row r="1934" spans="5:8" x14ac:dyDescent="0.25">
      <c r="E1934" t="str">
        <f>""</f>
        <v/>
      </c>
      <c r="F1934" t="str">
        <f>""</f>
        <v/>
      </c>
      <c r="H1934" t="str">
        <f t="shared" si="32"/>
        <v>MEDICARE TAXES</v>
      </c>
    </row>
    <row r="1935" spans="5:8" x14ac:dyDescent="0.25">
      <c r="E1935" t="str">
        <f>""</f>
        <v/>
      </c>
      <c r="F1935" t="str">
        <f>""</f>
        <v/>
      </c>
      <c r="H1935" t="str">
        <f t="shared" si="32"/>
        <v>MEDICARE TAXES</v>
      </c>
    </row>
    <row r="1936" spans="5:8" x14ac:dyDescent="0.25">
      <c r="E1936" t="str">
        <f>""</f>
        <v/>
      </c>
      <c r="F1936" t="str">
        <f>""</f>
        <v/>
      </c>
      <c r="H1936" t="str">
        <f t="shared" si="32"/>
        <v>MEDICARE TAXES</v>
      </c>
    </row>
    <row r="1937" spans="5:8" x14ac:dyDescent="0.25">
      <c r="E1937" t="str">
        <f>""</f>
        <v/>
      </c>
      <c r="F1937" t="str">
        <f>""</f>
        <v/>
      </c>
      <c r="H1937" t="str">
        <f t="shared" si="32"/>
        <v>MEDICARE TAXES</v>
      </c>
    </row>
    <row r="1938" spans="5:8" x14ac:dyDescent="0.25">
      <c r="E1938" t="str">
        <f>""</f>
        <v/>
      </c>
      <c r="F1938" t="str">
        <f>""</f>
        <v/>
      </c>
      <c r="H1938" t="str">
        <f t="shared" si="32"/>
        <v>MEDICARE TAXES</v>
      </c>
    </row>
    <row r="1939" spans="5:8" x14ac:dyDescent="0.25">
      <c r="E1939" t="str">
        <f>""</f>
        <v/>
      </c>
      <c r="F1939" t="str">
        <f>""</f>
        <v/>
      </c>
      <c r="H1939" t="str">
        <f t="shared" si="32"/>
        <v>MEDICARE TAXES</v>
      </c>
    </row>
    <row r="1940" spans="5:8" x14ac:dyDescent="0.25">
      <c r="E1940" t="str">
        <f>""</f>
        <v/>
      </c>
      <c r="F1940" t="str">
        <f>""</f>
        <v/>
      </c>
      <c r="H1940" t="str">
        <f t="shared" si="32"/>
        <v>MEDICARE TAXES</v>
      </c>
    </row>
    <row r="1941" spans="5:8" x14ac:dyDescent="0.25">
      <c r="E1941" t="str">
        <f>""</f>
        <v/>
      </c>
      <c r="F1941" t="str">
        <f>""</f>
        <v/>
      </c>
      <c r="H1941" t="str">
        <f t="shared" si="32"/>
        <v>MEDICARE TAXES</v>
      </c>
    </row>
    <row r="1942" spans="5:8" x14ac:dyDescent="0.25">
      <c r="E1942" t="str">
        <f>""</f>
        <v/>
      </c>
      <c r="F1942" t="str">
        <f>""</f>
        <v/>
      </c>
      <c r="H1942" t="str">
        <f t="shared" si="32"/>
        <v>MEDICARE TAXES</v>
      </c>
    </row>
    <row r="1943" spans="5:8" x14ac:dyDescent="0.25">
      <c r="E1943" t="str">
        <f>""</f>
        <v/>
      </c>
      <c r="F1943" t="str">
        <f>""</f>
        <v/>
      </c>
      <c r="H1943" t="str">
        <f t="shared" si="32"/>
        <v>MEDICARE TAXES</v>
      </c>
    </row>
    <row r="1944" spans="5:8" x14ac:dyDescent="0.25">
      <c r="E1944" t="str">
        <f>""</f>
        <v/>
      </c>
      <c r="F1944" t="str">
        <f>""</f>
        <v/>
      </c>
      <c r="H1944" t="str">
        <f t="shared" si="32"/>
        <v>MEDICARE TAXES</v>
      </c>
    </row>
    <row r="1945" spans="5:8" x14ac:dyDescent="0.25">
      <c r="E1945" t="str">
        <f>""</f>
        <v/>
      </c>
      <c r="F1945" t="str">
        <f>""</f>
        <v/>
      </c>
      <c r="H1945" t="str">
        <f t="shared" si="32"/>
        <v>MEDICARE TAXES</v>
      </c>
    </row>
    <row r="1946" spans="5:8" x14ac:dyDescent="0.25">
      <c r="E1946" t="str">
        <f>""</f>
        <v/>
      </c>
      <c r="F1946" t="str">
        <f>""</f>
        <v/>
      </c>
      <c r="H1946" t="str">
        <f t="shared" si="32"/>
        <v>MEDICARE TAXES</v>
      </c>
    </row>
    <row r="1947" spans="5:8" x14ac:dyDescent="0.25">
      <c r="E1947" t="str">
        <f>""</f>
        <v/>
      </c>
      <c r="F1947" t="str">
        <f>""</f>
        <v/>
      </c>
      <c r="H1947" t="str">
        <f t="shared" si="32"/>
        <v>MEDICARE TAXES</v>
      </c>
    </row>
    <row r="1948" spans="5:8" x14ac:dyDescent="0.25">
      <c r="E1948" t="str">
        <f>""</f>
        <v/>
      </c>
      <c r="F1948" t="str">
        <f>""</f>
        <v/>
      </c>
      <c r="H1948" t="str">
        <f t="shared" si="32"/>
        <v>MEDICARE TAXES</v>
      </c>
    </row>
    <row r="1949" spans="5:8" x14ac:dyDescent="0.25">
      <c r="E1949" t="str">
        <f>""</f>
        <v/>
      </c>
      <c r="F1949" t="str">
        <f>""</f>
        <v/>
      </c>
      <c r="H1949" t="str">
        <f t="shared" si="32"/>
        <v>MEDICARE TAXES</v>
      </c>
    </row>
    <row r="1950" spans="5:8" x14ac:dyDescent="0.25">
      <c r="E1950" t="str">
        <f>""</f>
        <v/>
      </c>
      <c r="F1950" t="str">
        <f>""</f>
        <v/>
      </c>
      <c r="H1950" t="str">
        <f t="shared" si="32"/>
        <v>MEDICARE TAXES</v>
      </c>
    </row>
    <row r="1951" spans="5:8" x14ac:dyDescent="0.25">
      <c r="E1951" t="str">
        <f>""</f>
        <v/>
      </c>
      <c r="F1951" t="str">
        <f>""</f>
        <v/>
      </c>
      <c r="H1951" t="str">
        <f t="shared" ref="H1951:H1975" si="33">"MEDICARE TAXES"</f>
        <v>MEDICARE TAXES</v>
      </c>
    </row>
    <row r="1952" spans="5:8" x14ac:dyDescent="0.25">
      <c r="E1952" t="str">
        <f>""</f>
        <v/>
      </c>
      <c r="F1952" t="str">
        <f>""</f>
        <v/>
      </c>
      <c r="H1952" t="str">
        <f t="shared" si="33"/>
        <v>MEDICARE TAXES</v>
      </c>
    </row>
    <row r="1953" spans="5:8" x14ac:dyDescent="0.25">
      <c r="E1953" t="str">
        <f>""</f>
        <v/>
      </c>
      <c r="F1953" t="str">
        <f>""</f>
        <v/>
      </c>
      <c r="H1953" t="str">
        <f t="shared" si="33"/>
        <v>MEDICARE TAXES</v>
      </c>
    </row>
    <row r="1954" spans="5:8" x14ac:dyDescent="0.25">
      <c r="E1954" t="str">
        <f>""</f>
        <v/>
      </c>
      <c r="F1954" t="str">
        <f>""</f>
        <v/>
      </c>
      <c r="H1954" t="str">
        <f t="shared" si="33"/>
        <v>MEDICARE TAXES</v>
      </c>
    </row>
    <row r="1955" spans="5:8" x14ac:dyDescent="0.25">
      <c r="E1955" t="str">
        <f>""</f>
        <v/>
      </c>
      <c r="F1955" t="str">
        <f>""</f>
        <v/>
      </c>
      <c r="H1955" t="str">
        <f t="shared" si="33"/>
        <v>MEDICARE TAXES</v>
      </c>
    </row>
    <row r="1956" spans="5:8" x14ac:dyDescent="0.25">
      <c r="E1956" t="str">
        <f>""</f>
        <v/>
      </c>
      <c r="F1956" t="str">
        <f>""</f>
        <v/>
      </c>
      <c r="H1956" t="str">
        <f t="shared" si="33"/>
        <v>MEDICARE TAXES</v>
      </c>
    </row>
    <row r="1957" spans="5:8" x14ac:dyDescent="0.25">
      <c r="E1957" t="str">
        <f>""</f>
        <v/>
      </c>
      <c r="F1957" t="str">
        <f>""</f>
        <v/>
      </c>
      <c r="H1957" t="str">
        <f t="shared" si="33"/>
        <v>MEDICARE TAXES</v>
      </c>
    </row>
    <row r="1958" spans="5:8" x14ac:dyDescent="0.25">
      <c r="E1958" t="str">
        <f>""</f>
        <v/>
      </c>
      <c r="F1958" t="str">
        <f>""</f>
        <v/>
      </c>
      <c r="H1958" t="str">
        <f t="shared" si="33"/>
        <v>MEDICARE TAXES</v>
      </c>
    </row>
    <row r="1959" spans="5:8" x14ac:dyDescent="0.25">
      <c r="E1959" t="str">
        <f>""</f>
        <v/>
      </c>
      <c r="F1959" t="str">
        <f>""</f>
        <v/>
      </c>
      <c r="H1959" t="str">
        <f t="shared" si="33"/>
        <v>MEDICARE TAXES</v>
      </c>
    </row>
    <row r="1960" spans="5:8" x14ac:dyDescent="0.25">
      <c r="E1960" t="str">
        <f>""</f>
        <v/>
      </c>
      <c r="F1960" t="str">
        <f>""</f>
        <v/>
      </c>
      <c r="H1960" t="str">
        <f t="shared" si="33"/>
        <v>MEDICARE TAXES</v>
      </c>
    </row>
    <row r="1961" spans="5:8" x14ac:dyDescent="0.25">
      <c r="E1961" t="str">
        <f>""</f>
        <v/>
      </c>
      <c r="F1961" t="str">
        <f>""</f>
        <v/>
      </c>
      <c r="H1961" t="str">
        <f t="shared" si="33"/>
        <v>MEDICARE TAXES</v>
      </c>
    </row>
    <row r="1962" spans="5:8" x14ac:dyDescent="0.25">
      <c r="E1962" t="str">
        <f>""</f>
        <v/>
      </c>
      <c r="F1962" t="str">
        <f>""</f>
        <v/>
      </c>
      <c r="H1962" t="str">
        <f t="shared" si="33"/>
        <v>MEDICARE TAXES</v>
      </c>
    </row>
    <row r="1963" spans="5:8" x14ac:dyDescent="0.25">
      <c r="E1963" t="str">
        <f>""</f>
        <v/>
      </c>
      <c r="F1963" t="str">
        <f>""</f>
        <v/>
      </c>
      <c r="H1963" t="str">
        <f t="shared" si="33"/>
        <v>MEDICARE TAXES</v>
      </c>
    </row>
    <row r="1964" spans="5:8" x14ac:dyDescent="0.25">
      <c r="E1964" t="str">
        <f>""</f>
        <v/>
      </c>
      <c r="F1964" t="str">
        <f>""</f>
        <v/>
      </c>
      <c r="H1964" t="str">
        <f t="shared" si="33"/>
        <v>MEDICARE TAXES</v>
      </c>
    </row>
    <row r="1965" spans="5:8" x14ac:dyDescent="0.25">
      <c r="E1965" t="str">
        <f>""</f>
        <v/>
      </c>
      <c r="F1965" t="str">
        <f>""</f>
        <v/>
      </c>
      <c r="H1965" t="str">
        <f t="shared" si="33"/>
        <v>MEDICARE TAXES</v>
      </c>
    </row>
    <row r="1966" spans="5:8" x14ac:dyDescent="0.25">
      <c r="E1966" t="str">
        <f>""</f>
        <v/>
      </c>
      <c r="F1966" t="str">
        <f>""</f>
        <v/>
      </c>
      <c r="H1966" t="str">
        <f t="shared" si="33"/>
        <v>MEDICARE TAXES</v>
      </c>
    </row>
    <row r="1967" spans="5:8" x14ac:dyDescent="0.25">
      <c r="E1967" t="str">
        <f>""</f>
        <v/>
      </c>
      <c r="F1967" t="str">
        <f>""</f>
        <v/>
      </c>
      <c r="H1967" t="str">
        <f t="shared" si="33"/>
        <v>MEDICARE TAXES</v>
      </c>
    </row>
    <row r="1968" spans="5:8" x14ac:dyDescent="0.25">
      <c r="E1968" t="str">
        <f>""</f>
        <v/>
      </c>
      <c r="F1968" t="str">
        <f>""</f>
        <v/>
      </c>
      <c r="H1968" t="str">
        <f t="shared" si="33"/>
        <v>MEDICARE TAXES</v>
      </c>
    </row>
    <row r="1969" spans="1:8" x14ac:dyDescent="0.25">
      <c r="E1969" t="str">
        <f>""</f>
        <v/>
      </c>
      <c r="F1969" t="str">
        <f>""</f>
        <v/>
      </c>
      <c r="H1969" t="str">
        <f t="shared" si="33"/>
        <v>MEDICARE TAXES</v>
      </c>
    </row>
    <row r="1970" spans="1:8" x14ac:dyDescent="0.25">
      <c r="E1970" t="str">
        <f>""</f>
        <v/>
      </c>
      <c r="F1970" t="str">
        <f>""</f>
        <v/>
      </c>
      <c r="H1970" t="str">
        <f t="shared" si="33"/>
        <v>MEDICARE TAXES</v>
      </c>
    </row>
    <row r="1971" spans="1:8" x14ac:dyDescent="0.25">
      <c r="E1971" t="str">
        <f>""</f>
        <v/>
      </c>
      <c r="F1971" t="str">
        <f>""</f>
        <v/>
      </c>
      <c r="H1971" t="str">
        <f t="shared" si="33"/>
        <v>MEDICARE TAXES</v>
      </c>
    </row>
    <row r="1972" spans="1:8" x14ac:dyDescent="0.25">
      <c r="E1972" t="str">
        <f>"T4 202007087799"</f>
        <v>T4 202007087799</v>
      </c>
      <c r="F1972" t="str">
        <f>"MEDICARE TAXES"</f>
        <v>MEDICARE TAXES</v>
      </c>
      <c r="G1972" s="2">
        <v>1029.6199999999999</v>
      </c>
      <c r="H1972" t="str">
        <f t="shared" si="33"/>
        <v>MEDICARE TAXES</v>
      </c>
    </row>
    <row r="1973" spans="1:8" x14ac:dyDescent="0.25">
      <c r="E1973" t="str">
        <f>""</f>
        <v/>
      </c>
      <c r="F1973" t="str">
        <f>""</f>
        <v/>
      </c>
      <c r="H1973" t="str">
        <f t="shared" si="33"/>
        <v>MEDICARE TAXES</v>
      </c>
    </row>
    <row r="1974" spans="1:8" x14ac:dyDescent="0.25">
      <c r="E1974" t="str">
        <f>"T4 202007087800"</f>
        <v>T4 202007087800</v>
      </c>
      <c r="F1974" t="str">
        <f>"MEDICARE TAXES"</f>
        <v>MEDICARE TAXES</v>
      </c>
      <c r="G1974" s="2">
        <v>1183.9000000000001</v>
      </c>
      <c r="H1974" t="str">
        <f t="shared" si="33"/>
        <v>MEDICARE TAXES</v>
      </c>
    </row>
    <row r="1975" spans="1:8" x14ac:dyDescent="0.25">
      <c r="E1975" t="str">
        <f>""</f>
        <v/>
      </c>
      <c r="F1975" t="str">
        <f>""</f>
        <v/>
      </c>
      <c r="H1975" t="str">
        <f t="shared" si="33"/>
        <v>MEDICARE TAXES</v>
      </c>
    </row>
    <row r="1976" spans="1:8" x14ac:dyDescent="0.25">
      <c r="A1976" t="s">
        <v>337</v>
      </c>
      <c r="B1976">
        <v>628</v>
      </c>
      <c r="C1976" s="2">
        <v>8316.06</v>
      </c>
      <c r="D1976" s="1">
        <v>44033</v>
      </c>
      <c r="E1976" t="str">
        <f>"T3 202007207949"</f>
        <v>T3 202007207949</v>
      </c>
      <c r="F1976" t="str">
        <f>"SOCIAL SECURITY TAXES"</f>
        <v>SOCIAL SECURITY TAXES</v>
      </c>
      <c r="G1976" s="2">
        <v>6739.82</v>
      </c>
      <c r="H1976" t="str">
        <f>"SOCIAL SECURITY TAXES"</f>
        <v>SOCIAL SECURITY TAXES</v>
      </c>
    </row>
    <row r="1977" spans="1:8" x14ac:dyDescent="0.25">
      <c r="E1977" t="str">
        <f>""</f>
        <v/>
      </c>
      <c r="F1977" t="str">
        <f>""</f>
        <v/>
      </c>
      <c r="H1977" t="str">
        <f>"SOCIAL SECURITY TAXES"</f>
        <v>SOCIAL SECURITY TAXES</v>
      </c>
    </row>
    <row r="1978" spans="1:8" x14ac:dyDescent="0.25">
      <c r="E1978" t="str">
        <f>"T4 202007207949"</f>
        <v>T4 202007207949</v>
      </c>
      <c r="F1978" t="str">
        <f>"MEDICARE TAXES"</f>
        <v>MEDICARE TAXES</v>
      </c>
      <c r="G1978" s="2">
        <v>1576.24</v>
      </c>
      <c r="H1978" t="str">
        <f>"MEDICARE TAXES"</f>
        <v>MEDICARE TAXES</v>
      </c>
    </row>
    <row r="1979" spans="1:8" x14ac:dyDescent="0.25">
      <c r="E1979" t="str">
        <f>""</f>
        <v/>
      </c>
      <c r="F1979" t="str">
        <f>""</f>
        <v/>
      </c>
      <c r="H1979" t="str">
        <f>"MEDICARE TAXES"</f>
        <v>MEDICARE TAXES</v>
      </c>
    </row>
    <row r="1980" spans="1:8" x14ac:dyDescent="0.25">
      <c r="A1980" t="s">
        <v>337</v>
      </c>
      <c r="B1980">
        <v>629</v>
      </c>
      <c r="C1980" s="2">
        <v>250603.58</v>
      </c>
      <c r="D1980" s="1">
        <v>44036</v>
      </c>
      <c r="E1980" t="str">
        <f>"T1 202007228005"</f>
        <v>T1 202007228005</v>
      </c>
      <c r="F1980" t="str">
        <f>"FEDERAL WITHHOLDING"</f>
        <v>FEDERAL WITHHOLDING</v>
      </c>
      <c r="G1980" s="2">
        <v>85403.97</v>
      </c>
      <c r="H1980" t="str">
        <f>"FEDERAL WITHHOLDING"</f>
        <v>FEDERAL WITHHOLDING</v>
      </c>
    </row>
    <row r="1981" spans="1:8" x14ac:dyDescent="0.25">
      <c r="E1981" t="str">
        <f>"T1 202007228006"</f>
        <v>T1 202007228006</v>
      </c>
      <c r="F1981" t="str">
        <f>"FEDERAL WITHHOLDING"</f>
        <v>FEDERAL WITHHOLDING</v>
      </c>
      <c r="G1981" s="2">
        <v>3197.9</v>
      </c>
      <c r="H1981" t="str">
        <f>"FEDERAL WITHHOLDING"</f>
        <v>FEDERAL WITHHOLDING</v>
      </c>
    </row>
    <row r="1982" spans="1:8" x14ac:dyDescent="0.25">
      <c r="E1982" t="str">
        <f>"T1 202007228007"</f>
        <v>T1 202007228007</v>
      </c>
      <c r="F1982" t="str">
        <f>"FEDERAL WITHHOLDING"</f>
        <v>FEDERAL WITHHOLDING</v>
      </c>
      <c r="G1982" s="2">
        <v>3397.09</v>
      </c>
      <c r="H1982" t="str">
        <f>"FEDERAL WITHHOLDING"</f>
        <v>FEDERAL WITHHOLDING</v>
      </c>
    </row>
    <row r="1983" spans="1:8" x14ac:dyDescent="0.25">
      <c r="E1983" t="str">
        <f>"T3 202007228005"</f>
        <v>T3 202007228005</v>
      </c>
      <c r="F1983" t="str">
        <f>"SOCIAL SECURITY TAXES"</f>
        <v>SOCIAL SECURITY TAXES</v>
      </c>
      <c r="G1983" s="2">
        <v>119151.84</v>
      </c>
      <c r="H1983" t="str">
        <f t="shared" ref="H1983:H2014" si="34">"SOCIAL SECURITY TAXES"</f>
        <v>SOCIAL SECURITY TAXES</v>
      </c>
    </row>
    <row r="1984" spans="1:8" x14ac:dyDescent="0.25">
      <c r="E1984" t="str">
        <f>""</f>
        <v/>
      </c>
      <c r="F1984" t="str">
        <f>""</f>
        <v/>
      </c>
      <c r="H1984" t="str">
        <f t="shared" si="34"/>
        <v>SOCIAL SECURITY TAXES</v>
      </c>
    </row>
    <row r="1985" spans="5:8" x14ac:dyDescent="0.25">
      <c r="E1985" t="str">
        <f>""</f>
        <v/>
      </c>
      <c r="F1985" t="str">
        <f>""</f>
        <v/>
      </c>
      <c r="H1985" t="str">
        <f t="shared" si="34"/>
        <v>SOCIAL SECURITY TAXES</v>
      </c>
    </row>
    <row r="1986" spans="5:8" x14ac:dyDescent="0.25">
      <c r="E1986" t="str">
        <f>""</f>
        <v/>
      </c>
      <c r="F1986" t="str">
        <f>""</f>
        <v/>
      </c>
      <c r="H1986" t="str">
        <f t="shared" si="34"/>
        <v>SOCIAL SECURITY TAXES</v>
      </c>
    </row>
    <row r="1987" spans="5:8" x14ac:dyDescent="0.25">
      <c r="E1987" t="str">
        <f>""</f>
        <v/>
      </c>
      <c r="F1987" t="str">
        <f>""</f>
        <v/>
      </c>
      <c r="H1987" t="str">
        <f t="shared" si="34"/>
        <v>SOCIAL SECURITY TAXES</v>
      </c>
    </row>
    <row r="1988" spans="5:8" x14ac:dyDescent="0.25">
      <c r="E1988" t="str">
        <f>""</f>
        <v/>
      </c>
      <c r="F1988" t="str">
        <f>""</f>
        <v/>
      </c>
      <c r="H1988" t="str">
        <f t="shared" si="34"/>
        <v>SOCIAL SECURITY TAXES</v>
      </c>
    </row>
    <row r="1989" spans="5:8" x14ac:dyDescent="0.25">
      <c r="E1989" t="str">
        <f>""</f>
        <v/>
      </c>
      <c r="F1989" t="str">
        <f>""</f>
        <v/>
      </c>
      <c r="H1989" t="str">
        <f t="shared" si="34"/>
        <v>SOCIAL SECURITY TAXES</v>
      </c>
    </row>
    <row r="1990" spans="5:8" x14ac:dyDescent="0.25">
      <c r="E1990" t="str">
        <f>""</f>
        <v/>
      </c>
      <c r="F1990" t="str">
        <f>""</f>
        <v/>
      </c>
      <c r="H1990" t="str">
        <f t="shared" si="34"/>
        <v>SOCIAL SECURITY TAXES</v>
      </c>
    </row>
    <row r="1991" spans="5:8" x14ac:dyDescent="0.25">
      <c r="E1991" t="str">
        <f>""</f>
        <v/>
      </c>
      <c r="F1991" t="str">
        <f>""</f>
        <v/>
      </c>
      <c r="H1991" t="str">
        <f t="shared" si="34"/>
        <v>SOCIAL SECURITY TAXES</v>
      </c>
    </row>
    <row r="1992" spans="5:8" x14ac:dyDescent="0.25">
      <c r="E1992" t="str">
        <f>""</f>
        <v/>
      </c>
      <c r="F1992" t="str">
        <f>""</f>
        <v/>
      </c>
      <c r="H1992" t="str">
        <f t="shared" si="34"/>
        <v>SOCIAL SECURITY TAXES</v>
      </c>
    </row>
    <row r="1993" spans="5:8" x14ac:dyDescent="0.25">
      <c r="E1993" t="str">
        <f>""</f>
        <v/>
      </c>
      <c r="F1993" t="str">
        <f>""</f>
        <v/>
      </c>
      <c r="H1993" t="str">
        <f t="shared" si="34"/>
        <v>SOCIAL SECURITY TAXES</v>
      </c>
    </row>
    <row r="1994" spans="5:8" x14ac:dyDescent="0.25">
      <c r="E1994" t="str">
        <f>""</f>
        <v/>
      </c>
      <c r="F1994" t="str">
        <f>""</f>
        <v/>
      </c>
      <c r="H1994" t="str">
        <f t="shared" si="34"/>
        <v>SOCIAL SECURITY TAXES</v>
      </c>
    </row>
    <row r="1995" spans="5:8" x14ac:dyDescent="0.25">
      <c r="E1995" t="str">
        <f>""</f>
        <v/>
      </c>
      <c r="F1995" t="str">
        <f>""</f>
        <v/>
      </c>
      <c r="H1995" t="str">
        <f t="shared" si="34"/>
        <v>SOCIAL SECURITY TAXES</v>
      </c>
    </row>
    <row r="1996" spans="5:8" x14ac:dyDescent="0.25">
      <c r="E1996" t="str">
        <f>""</f>
        <v/>
      </c>
      <c r="F1996" t="str">
        <f>""</f>
        <v/>
      </c>
      <c r="H1996" t="str">
        <f t="shared" si="34"/>
        <v>SOCIAL SECURITY TAXES</v>
      </c>
    </row>
    <row r="1997" spans="5:8" x14ac:dyDescent="0.25">
      <c r="E1997" t="str">
        <f>""</f>
        <v/>
      </c>
      <c r="F1997" t="str">
        <f>""</f>
        <v/>
      </c>
      <c r="H1997" t="str">
        <f t="shared" si="34"/>
        <v>SOCIAL SECURITY TAXES</v>
      </c>
    </row>
    <row r="1998" spans="5:8" x14ac:dyDescent="0.25">
      <c r="E1998" t="str">
        <f>""</f>
        <v/>
      </c>
      <c r="F1998" t="str">
        <f>""</f>
        <v/>
      </c>
      <c r="H1998" t="str">
        <f t="shared" si="34"/>
        <v>SOCIAL SECURITY TAXES</v>
      </c>
    </row>
    <row r="1999" spans="5:8" x14ac:dyDescent="0.25">
      <c r="E1999" t="str">
        <f>""</f>
        <v/>
      </c>
      <c r="F1999" t="str">
        <f>""</f>
        <v/>
      </c>
      <c r="H1999" t="str">
        <f t="shared" si="34"/>
        <v>SOCIAL SECURITY TAXES</v>
      </c>
    </row>
    <row r="2000" spans="5:8" x14ac:dyDescent="0.25">
      <c r="E2000" t="str">
        <f>""</f>
        <v/>
      </c>
      <c r="F2000" t="str">
        <f>""</f>
        <v/>
      </c>
      <c r="H2000" t="str">
        <f t="shared" si="34"/>
        <v>SOCIAL SECURITY TAXES</v>
      </c>
    </row>
    <row r="2001" spans="5:8" x14ac:dyDescent="0.25">
      <c r="E2001" t="str">
        <f>""</f>
        <v/>
      </c>
      <c r="F2001" t="str">
        <f>""</f>
        <v/>
      </c>
      <c r="H2001" t="str">
        <f t="shared" si="34"/>
        <v>SOCIAL SECURITY TAXES</v>
      </c>
    </row>
    <row r="2002" spans="5:8" x14ac:dyDescent="0.25">
      <c r="E2002" t="str">
        <f>""</f>
        <v/>
      </c>
      <c r="F2002" t="str">
        <f>""</f>
        <v/>
      </c>
      <c r="H2002" t="str">
        <f t="shared" si="34"/>
        <v>SOCIAL SECURITY TAXES</v>
      </c>
    </row>
    <row r="2003" spans="5:8" x14ac:dyDescent="0.25">
      <c r="E2003" t="str">
        <f>""</f>
        <v/>
      </c>
      <c r="F2003" t="str">
        <f>""</f>
        <v/>
      </c>
      <c r="H2003" t="str">
        <f t="shared" si="34"/>
        <v>SOCIAL SECURITY TAXES</v>
      </c>
    </row>
    <row r="2004" spans="5:8" x14ac:dyDescent="0.25">
      <c r="E2004" t="str">
        <f>""</f>
        <v/>
      </c>
      <c r="F2004" t="str">
        <f>""</f>
        <v/>
      </c>
      <c r="H2004" t="str">
        <f t="shared" si="34"/>
        <v>SOCIAL SECURITY TAXES</v>
      </c>
    </row>
    <row r="2005" spans="5:8" x14ac:dyDescent="0.25">
      <c r="E2005" t="str">
        <f>""</f>
        <v/>
      </c>
      <c r="F2005" t="str">
        <f>""</f>
        <v/>
      </c>
      <c r="H2005" t="str">
        <f t="shared" si="34"/>
        <v>SOCIAL SECURITY TAXES</v>
      </c>
    </row>
    <row r="2006" spans="5:8" x14ac:dyDescent="0.25">
      <c r="E2006" t="str">
        <f>""</f>
        <v/>
      </c>
      <c r="F2006" t="str">
        <f>""</f>
        <v/>
      </c>
      <c r="H2006" t="str">
        <f t="shared" si="34"/>
        <v>SOCIAL SECURITY TAXES</v>
      </c>
    </row>
    <row r="2007" spans="5:8" x14ac:dyDescent="0.25">
      <c r="E2007" t="str">
        <f>""</f>
        <v/>
      </c>
      <c r="F2007" t="str">
        <f>""</f>
        <v/>
      </c>
      <c r="H2007" t="str">
        <f t="shared" si="34"/>
        <v>SOCIAL SECURITY TAXES</v>
      </c>
    </row>
    <row r="2008" spans="5:8" x14ac:dyDescent="0.25">
      <c r="E2008" t="str">
        <f>""</f>
        <v/>
      </c>
      <c r="F2008" t="str">
        <f>""</f>
        <v/>
      </c>
      <c r="H2008" t="str">
        <f t="shared" si="34"/>
        <v>SOCIAL SECURITY TAXES</v>
      </c>
    </row>
    <row r="2009" spans="5:8" x14ac:dyDescent="0.25">
      <c r="E2009" t="str">
        <f>""</f>
        <v/>
      </c>
      <c r="F2009" t="str">
        <f>""</f>
        <v/>
      </c>
      <c r="H2009" t="str">
        <f t="shared" si="34"/>
        <v>SOCIAL SECURITY TAXES</v>
      </c>
    </row>
    <row r="2010" spans="5:8" x14ac:dyDescent="0.25">
      <c r="E2010" t="str">
        <f>""</f>
        <v/>
      </c>
      <c r="F2010" t="str">
        <f>""</f>
        <v/>
      </c>
      <c r="H2010" t="str">
        <f t="shared" si="34"/>
        <v>SOCIAL SECURITY TAXES</v>
      </c>
    </row>
    <row r="2011" spans="5:8" x14ac:dyDescent="0.25">
      <c r="E2011" t="str">
        <f>""</f>
        <v/>
      </c>
      <c r="F2011" t="str">
        <f>""</f>
        <v/>
      </c>
      <c r="H2011" t="str">
        <f t="shared" si="34"/>
        <v>SOCIAL SECURITY TAXES</v>
      </c>
    </row>
    <row r="2012" spans="5:8" x14ac:dyDescent="0.25">
      <c r="E2012" t="str">
        <f>""</f>
        <v/>
      </c>
      <c r="F2012" t="str">
        <f>""</f>
        <v/>
      </c>
      <c r="H2012" t="str">
        <f t="shared" si="34"/>
        <v>SOCIAL SECURITY TAXES</v>
      </c>
    </row>
    <row r="2013" spans="5:8" x14ac:dyDescent="0.25">
      <c r="E2013" t="str">
        <f>""</f>
        <v/>
      </c>
      <c r="F2013" t="str">
        <f>""</f>
        <v/>
      </c>
      <c r="H2013" t="str">
        <f t="shared" si="34"/>
        <v>SOCIAL SECURITY TAXES</v>
      </c>
    </row>
    <row r="2014" spans="5:8" x14ac:dyDescent="0.25">
      <c r="E2014" t="str">
        <f>""</f>
        <v/>
      </c>
      <c r="F2014" t="str">
        <f>""</f>
        <v/>
      </c>
      <c r="H2014" t="str">
        <f t="shared" si="34"/>
        <v>SOCIAL SECURITY TAXES</v>
      </c>
    </row>
    <row r="2015" spans="5:8" x14ac:dyDescent="0.25">
      <c r="E2015" t="str">
        <f>""</f>
        <v/>
      </c>
      <c r="F2015" t="str">
        <f>""</f>
        <v/>
      </c>
      <c r="H2015" t="str">
        <f t="shared" ref="H2015:H2039" si="35">"SOCIAL SECURITY TAXES"</f>
        <v>SOCIAL SECURITY TAXES</v>
      </c>
    </row>
    <row r="2016" spans="5:8" x14ac:dyDescent="0.25">
      <c r="E2016" t="str">
        <f>""</f>
        <v/>
      </c>
      <c r="F2016" t="str">
        <f>""</f>
        <v/>
      </c>
      <c r="H2016" t="str">
        <f t="shared" si="35"/>
        <v>SOCIAL SECURITY TAXES</v>
      </c>
    </row>
    <row r="2017" spans="5:8" x14ac:dyDescent="0.25">
      <c r="E2017" t="str">
        <f>""</f>
        <v/>
      </c>
      <c r="F2017" t="str">
        <f>""</f>
        <v/>
      </c>
      <c r="H2017" t="str">
        <f t="shared" si="35"/>
        <v>SOCIAL SECURITY TAXES</v>
      </c>
    </row>
    <row r="2018" spans="5:8" x14ac:dyDescent="0.25">
      <c r="E2018" t="str">
        <f>""</f>
        <v/>
      </c>
      <c r="F2018" t="str">
        <f>""</f>
        <v/>
      </c>
      <c r="H2018" t="str">
        <f t="shared" si="35"/>
        <v>SOCIAL SECURITY TAXES</v>
      </c>
    </row>
    <row r="2019" spans="5:8" x14ac:dyDescent="0.25">
      <c r="E2019" t="str">
        <f>""</f>
        <v/>
      </c>
      <c r="F2019" t="str">
        <f>""</f>
        <v/>
      </c>
      <c r="H2019" t="str">
        <f t="shared" si="35"/>
        <v>SOCIAL SECURITY TAXES</v>
      </c>
    </row>
    <row r="2020" spans="5:8" x14ac:dyDescent="0.25">
      <c r="E2020" t="str">
        <f>""</f>
        <v/>
      </c>
      <c r="F2020" t="str">
        <f>""</f>
        <v/>
      </c>
      <c r="H2020" t="str">
        <f t="shared" si="35"/>
        <v>SOCIAL SECURITY TAXES</v>
      </c>
    </row>
    <row r="2021" spans="5:8" x14ac:dyDescent="0.25">
      <c r="E2021" t="str">
        <f>""</f>
        <v/>
      </c>
      <c r="F2021" t="str">
        <f>""</f>
        <v/>
      </c>
      <c r="H2021" t="str">
        <f t="shared" si="35"/>
        <v>SOCIAL SECURITY TAXES</v>
      </c>
    </row>
    <row r="2022" spans="5:8" x14ac:dyDescent="0.25">
      <c r="E2022" t="str">
        <f>""</f>
        <v/>
      </c>
      <c r="F2022" t="str">
        <f>""</f>
        <v/>
      </c>
      <c r="H2022" t="str">
        <f t="shared" si="35"/>
        <v>SOCIAL SECURITY TAXES</v>
      </c>
    </row>
    <row r="2023" spans="5:8" x14ac:dyDescent="0.25">
      <c r="E2023" t="str">
        <f>""</f>
        <v/>
      </c>
      <c r="F2023" t="str">
        <f>""</f>
        <v/>
      </c>
      <c r="H2023" t="str">
        <f t="shared" si="35"/>
        <v>SOCIAL SECURITY TAXES</v>
      </c>
    </row>
    <row r="2024" spans="5:8" x14ac:dyDescent="0.25">
      <c r="E2024" t="str">
        <f>""</f>
        <v/>
      </c>
      <c r="F2024" t="str">
        <f>""</f>
        <v/>
      </c>
      <c r="H2024" t="str">
        <f t="shared" si="35"/>
        <v>SOCIAL SECURITY TAXES</v>
      </c>
    </row>
    <row r="2025" spans="5:8" x14ac:dyDescent="0.25">
      <c r="E2025" t="str">
        <f>""</f>
        <v/>
      </c>
      <c r="F2025" t="str">
        <f>""</f>
        <v/>
      </c>
      <c r="H2025" t="str">
        <f t="shared" si="35"/>
        <v>SOCIAL SECURITY TAXES</v>
      </c>
    </row>
    <row r="2026" spans="5:8" x14ac:dyDescent="0.25">
      <c r="E2026" t="str">
        <f>""</f>
        <v/>
      </c>
      <c r="F2026" t="str">
        <f>""</f>
        <v/>
      </c>
      <c r="H2026" t="str">
        <f t="shared" si="35"/>
        <v>SOCIAL SECURITY TAXES</v>
      </c>
    </row>
    <row r="2027" spans="5:8" x14ac:dyDescent="0.25">
      <c r="E2027" t="str">
        <f>""</f>
        <v/>
      </c>
      <c r="F2027" t="str">
        <f>""</f>
        <v/>
      </c>
      <c r="H2027" t="str">
        <f t="shared" si="35"/>
        <v>SOCIAL SECURITY TAXES</v>
      </c>
    </row>
    <row r="2028" spans="5:8" x14ac:dyDescent="0.25">
      <c r="E2028" t="str">
        <f>""</f>
        <v/>
      </c>
      <c r="F2028" t="str">
        <f>""</f>
        <v/>
      </c>
      <c r="H2028" t="str">
        <f t="shared" si="35"/>
        <v>SOCIAL SECURITY TAXES</v>
      </c>
    </row>
    <row r="2029" spans="5:8" x14ac:dyDescent="0.25">
      <c r="E2029" t="str">
        <f>""</f>
        <v/>
      </c>
      <c r="F2029" t="str">
        <f>""</f>
        <v/>
      </c>
      <c r="H2029" t="str">
        <f t="shared" si="35"/>
        <v>SOCIAL SECURITY TAXES</v>
      </c>
    </row>
    <row r="2030" spans="5:8" x14ac:dyDescent="0.25">
      <c r="E2030" t="str">
        <f>""</f>
        <v/>
      </c>
      <c r="F2030" t="str">
        <f>""</f>
        <v/>
      </c>
      <c r="H2030" t="str">
        <f t="shared" si="35"/>
        <v>SOCIAL SECURITY TAXES</v>
      </c>
    </row>
    <row r="2031" spans="5:8" x14ac:dyDescent="0.25">
      <c r="E2031" t="str">
        <f>""</f>
        <v/>
      </c>
      <c r="F2031" t="str">
        <f>""</f>
        <v/>
      </c>
      <c r="H2031" t="str">
        <f t="shared" si="35"/>
        <v>SOCIAL SECURITY TAXES</v>
      </c>
    </row>
    <row r="2032" spans="5:8" x14ac:dyDescent="0.25">
      <c r="E2032" t="str">
        <f>""</f>
        <v/>
      </c>
      <c r="F2032" t="str">
        <f>""</f>
        <v/>
      </c>
      <c r="H2032" t="str">
        <f t="shared" si="35"/>
        <v>SOCIAL SECURITY TAXES</v>
      </c>
    </row>
    <row r="2033" spans="5:8" x14ac:dyDescent="0.25">
      <c r="E2033" t="str">
        <f>""</f>
        <v/>
      </c>
      <c r="F2033" t="str">
        <f>""</f>
        <v/>
      </c>
      <c r="H2033" t="str">
        <f t="shared" si="35"/>
        <v>SOCIAL SECURITY TAXES</v>
      </c>
    </row>
    <row r="2034" spans="5:8" x14ac:dyDescent="0.25">
      <c r="E2034" t="str">
        <f>""</f>
        <v/>
      </c>
      <c r="F2034" t="str">
        <f>""</f>
        <v/>
      </c>
      <c r="H2034" t="str">
        <f t="shared" si="35"/>
        <v>SOCIAL SECURITY TAXES</v>
      </c>
    </row>
    <row r="2035" spans="5:8" x14ac:dyDescent="0.25">
      <c r="E2035" t="str">
        <f>""</f>
        <v/>
      </c>
      <c r="F2035" t="str">
        <f>""</f>
        <v/>
      </c>
      <c r="H2035" t="str">
        <f t="shared" si="35"/>
        <v>SOCIAL SECURITY TAXES</v>
      </c>
    </row>
    <row r="2036" spans="5:8" x14ac:dyDescent="0.25">
      <c r="E2036" t="str">
        <f>"T3 202007228006"</f>
        <v>T3 202007228006</v>
      </c>
      <c r="F2036" t="str">
        <f>"SOCIAL SECURITY TAXES"</f>
        <v>SOCIAL SECURITY TAXES</v>
      </c>
      <c r="G2036" s="2">
        <v>4402.46</v>
      </c>
      <c r="H2036" t="str">
        <f t="shared" si="35"/>
        <v>SOCIAL SECURITY TAXES</v>
      </c>
    </row>
    <row r="2037" spans="5:8" x14ac:dyDescent="0.25">
      <c r="E2037" t="str">
        <f>""</f>
        <v/>
      </c>
      <c r="F2037" t="str">
        <f>""</f>
        <v/>
      </c>
      <c r="H2037" t="str">
        <f t="shared" si="35"/>
        <v>SOCIAL SECURITY TAXES</v>
      </c>
    </row>
    <row r="2038" spans="5:8" x14ac:dyDescent="0.25">
      <c r="E2038" t="str">
        <f>"T3 202007228007"</f>
        <v>T3 202007228007</v>
      </c>
      <c r="F2038" t="str">
        <f>"SOCIAL SECURITY TAXES"</f>
        <v>SOCIAL SECURITY TAXES</v>
      </c>
      <c r="G2038" s="2">
        <v>4988.1400000000003</v>
      </c>
      <c r="H2038" t="str">
        <f t="shared" si="35"/>
        <v>SOCIAL SECURITY TAXES</v>
      </c>
    </row>
    <row r="2039" spans="5:8" x14ac:dyDescent="0.25">
      <c r="E2039" t="str">
        <f>""</f>
        <v/>
      </c>
      <c r="F2039" t="str">
        <f>""</f>
        <v/>
      </c>
      <c r="H2039" t="str">
        <f t="shared" si="35"/>
        <v>SOCIAL SECURITY TAXES</v>
      </c>
    </row>
    <row r="2040" spans="5:8" x14ac:dyDescent="0.25">
      <c r="E2040" t="str">
        <f>"T4 202007228005"</f>
        <v>T4 202007228005</v>
      </c>
      <c r="F2040" t="str">
        <f>"MEDICARE TAXES"</f>
        <v>MEDICARE TAXES</v>
      </c>
      <c r="G2040" s="2">
        <v>27865.96</v>
      </c>
      <c r="H2040" t="str">
        <f t="shared" ref="H2040:H2071" si="36">"MEDICARE TAXES"</f>
        <v>MEDICARE TAXES</v>
      </c>
    </row>
    <row r="2041" spans="5:8" x14ac:dyDescent="0.25">
      <c r="E2041" t="str">
        <f>""</f>
        <v/>
      </c>
      <c r="F2041" t="str">
        <f>""</f>
        <v/>
      </c>
      <c r="H2041" t="str">
        <f t="shared" si="36"/>
        <v>MEDICARE TAXES</v>
      </c>
    </row>
    <row r="2042" spans="5:8" x14ac:dyDescent="0.25">
      <c r="E2042" t="str">
        <f>""</f>
        <v/>
      </c>
      <c r="F2042" t="str">
        <f>""</f>
        <v/>
      </c>
      <c r="H2042" t="str">
        <f t="shared" si="36"/>
        <v>MEDICARE TAXES</v>
      </c>
    </row>
    <row r="2043" spans="5:8" x14ac:dyDescent="0.25">
      <c r="E2043" t="str">
        <f>""</f>
        <v/>
      </c>
      <c r="F2043" t="str">
        <f>""</f>
        <v/>
      </c>
      <c r="H2043" t="str">
        <f t="shared" si="36"/>
        <v>MEDICARE TAXES</v>
      </c>
    </row>
    <row r="2044" spans="5:8" x14ac:dyDescent="0.25">
      <c r="E2044" t="str">
        <f>""</f>
        <v/>
      </c>
      <c r="F2044" t="str">
        <f>""</f>
        <v/>
      </c>
      <c r="H2044" t="str">
        <f t="shared" si="36"/>
        <v>MEDICARE TAXES</v>
      </c>
    </row>
    <row r="2045" spans="5:8" x14ac:dyDescent="0.25">
      <c r="E2045" t="str">
        <f>""</f>
        <v/>
      </c>
      <c r="F2045" t="str">
        <f>""</f>
        <v/>
      </c>
      <c r="H2045" t="str">
        <f t="shared" si="36"/>
        <v>MEDICARE TAXES</v>
      </c>
    </row>
    <row r="2046" spans="5:8" x14ac:dyDescent="0.25">
      <c r="E2046" t="str">
        <f>""</f>
        <v/>
      </c>
      <c r="F2046" t="str">
        <f>""</f>
        <v/>
      </c>
      <c r="H2046" t="str">
        <f t="shared" si="36"/>
        <v>MEDICARE TAXES</v>
      </c>
    </row>
    <row r="2047" spans="5:8" x14ac:dyDescent="0.25">
      <c r="E2047" t="str">
        <f>""</f>
        <v/>
      </c>
      <c r="F2047" t="str">
        <f>""</f>
        <v/>
      </c>
      <c r="H2047" t="str">
        <f t="shared" si="36"/>
        <v>MEDICARE TAXES</v>
      </c>
    </row>
    <row r="2048" spans="5:8" x14ac:dyDescent="0.25">
      <c r="E2048" t="str">
        <f>""</f>
        <v/>
      </c>
      <c r="F2048" t="str">
        <f>""</f>
        <v/>
      </c>
      <c r="H2048" t="str">
        <f t="shared" si="36"/>
        <v>MEDICARE TAXES</v>
      </c>
    </row>
    <row r="2049" spans="5:8" x14ac:dyDescent="0.25">
      <c r="E2049" t="str">
        <f>""</f>
        <v/>
      </c>
      <c r="F2049" t="str">
        <f>""</f>
        <v/>
      </c>
      <c r="H2049" t="str">
        <f t="shared" si="36"/>
        <v>MEDICARE TAXES</v>
      </c>
    </row>
    <row r="2050" spans="5:8" x14ac:dyDescent="0.25">
      <c r="E2050" t="str">
        <f>""</f>
        <v/>
      </c>
      <c r="F2050" t="str">
        <f>""</f>
        <v/>
      </c>
      <c r="H2050" t="str">
        <f t="shared" si="36"/>
        <v>MEDICARE TAXES</v>
      </c>
    </row>
    <row r="2051" spans="5:8" x14ac:dyDescent="0.25">
      <c r="E2051" t="str">
        <f>""</f>
        <v/>
      </c>
      <c r="F2051" t="str">
        <f>""</f>
        <v/>
      </c>
      <c r="H2051" t="str">
        <f t="shared" si="36"/>
        <v>MEDICARE TAXES</v>
      </c>
    </row>
    <row r="2052" spans="5:8" x14ac:dyDescent="0.25">
      <c r="E2052" t="str">
        <f>""</f>
        <v/>
      </c>
      <c r="F2052" t="str">
        <f>""</f>
        <v/>
      </c>
      <c r="H2052" t="str">
        <f t="shared" si="36"/>
        <v>MEDICARE TAXES</v>
      </c>
    </row>
    <row r="2053" spans="5:8" x14ac:dyDescent="0.25">
      <c r="E2053" t="str">
        <f>""</f>
        <v/>
      </c>
      <c r="F2053" t="str">
        <f>""</f>
        <v/>
      </c>
      <c r="H2053" t="str">
        <f t="shared" si="36"/>
        <v>MEDICARE TAXES</v>
      </c>
    </row>
    <row r="2054" spans="5:8" x14ac:dyDescent="0.25">
      <c r="E2054" t="str">
        <f>""</f>
        <v/>
      </c>
      <c r="F2054" t="str">
        <f>""</f>
        <v/>
      </c>
      <c r="H2054" t="str">
        <f t="shared" si="36"/>
        <v>MEDICARE TAXES</v>
      </c>
    </row>
    <row r="2055" spans="5:8" x14ac:dyDescent="0.25">
      <c r="E2055" t="str">
        <f>""</f>
        <v/>
      </c>
      <c r="F2055" t="str">
        <f>""</f>
        <v/>
      </c>
      <c r="H2055" t="str">
        <f t="shared" si="36"/>
        <v>MEDICARE TAXES</v>
      </c>
    </row>
    <row r="2056" spans="5:8" x14ac:dyDescent="0.25">
      <c r="E2056" t="str">
        <f>""</f>
        <v/>
      </c>
      <c r="F2056" t="str">
        <f>""</f>
        <v/>
      </c>
      <c r="H2056" t="str">
        <f t="shared" si="36"/>
        <v>MEDICARE TAXES</v>
      </c>
    </row>
    <row r="2057" spans="5:8" x14ac:dyDescent="0.25">
      <c r="E2057" t="str">
        <f>""</f>
        <v/>
      </c>
      <c r="F2057" t="str">
        <f>""</f>
        <v/>
      </c>
      <c r="H2057" t="str">
        <f t="shared" si="36"/>
        <v>MEDICARE TAXES</v>
      </c>
    </row>
    <row r="2058" spans="5:8" x14ac:dyDescent="0.25">
      <c r="E2058" t="str">
        <f>""</f>
        <v/>
      </c>
      <c r="F2058" t="str">
        <f>""</f>
        <v/>
      </c>
      <c r="H2058" t="str">
        <f t="shared" si="36"/>
        <v>MEDICARE TAXES</v>
      </c>
    </row>
    <row r="2059" spans="5:8" x14ac:dyDescent="0.25">
      <c r="E2059" t="str">
        <f>""</f>
        <v/>
      </c>
      <c r="F2059" t="str">
        <f>""</f>
        <v/>
      </c>
      <c r="H2059" t="str">
        <f t="shared" si="36"/>
        <v>MEDICARE TAXES</v>
      </c>
    </row>
    <row r="2060" spans="5:8" x14ac:dyDescent="0.25">
      <c r="E2060" t="str">
        <f>""</f>
        <v/>
      </c>
      <c r="F2060" t="str">
        <f>""</f>
        <v/>
      </c>
      <c r="H2060" t="str">
        <f t="shared" si="36"/>
        <v>MEDICARE TAXES</v>
      </c>
    </row>
    <row r="2061" spans="5:8" x14ac:dyDescent="0.25">
      <c r="E2061" t="str">
        <f>""</f>
        <v/>
      </c>
      <c r="F2061" t="str">
        <f>""</f>
        <v/>
      </c>
      <c r="H2061" t="str">
        <f t="shared" si="36"/>
        <v>MEDICARE TAXES</v>
      </c>
    </row>
    <row r="2062" spans="5:8" x14ac:dyDescent="0.25">
      <c r="E2062" t="str">
        <f>""</f>
        <v/>
      </c>
      <c r="F2062" t="str">
        <f>""</f>
        <v/>
      </c>
      <c r="H2062" t="str">
        <f t="shared" si="36"/>
        <v>MEDICARE TAXES</v>
      </c>
    </row>
    <row r="2063" spans="5:8" x14ac:dyDescent="0.25">
      <c r="E2063" t="str">
        <f>""</f>
        <v/>
      </c>
      <c r="F2063" t="str">
        <f>""</f>
        <v/>
      </c>
      <c r="H2063" t="str">
        <f t="shared" si="36"/>
        <v>MEDICARE TAXES</v>
      </c>
    </row>
    <row r="2064" spans="5:8" x14ac:dyDescent="0.25">
      <c r="E2064" t="str">
        <f>""</f>
        <v/>
      </c>
      <c r="F2064" t="str">
        <f>""</f>
        <v/>
      </c>
      <c r="H2064" t="str">
        <f t="shared" si="36"/>
        <v>MEDICARE TAXES</v>
      </c>
    </row>
    <row r="2065" spans="5:8" x14ac:dyDescent="0.25">
      <c r="E2065" t="str">
        <f>""</f>
        <v/>
      </c>
      <c r="F2065" t="str">
        <f>""</f>
        <v/>
      </c>
      <c r="H2065" t="str">
        <f t="shared" si="36"/>
        <v>MEDICARE TAXES</v>
      </c>
    </row>
    <row r="2066" spans="5:8" x14ac:dyDescent="0.25">
      <c r="E2066" t="str">
        <f>""</f>
        <v/>
      </c>
      <c r="F2066" t="str">
        <f>""</f>
        <v/>
      </c>
      <c r="H2066" t="str">
        <f t="shared" si="36"/>
        <v>MEDICARE TAXES</v>
      </c>
    </row>
    <row r="2067" spans="5:8" x14ac:dyDescent="0.25">
      <c r="E2067" t="str">
        <f>""</f>
        <v/>
      </c>
      <c r="F2067" t="str">
        <f>""</f>
        <v/>
      </c>
      <c r="H2067" t="str">
        <f t="shared" si="36"/>
        <v>MEDICARE TAXES</v>
      </c>
    </row>
    <row r="2068" spans="5:8" x14ac:dyDescent="0.25">
      <c r="E2068" t="str">
        <f>""</f>
        <v/>
      </c>
      <c r="F2068" t="str">
        <f>""</f>
        <v/>
      </c>
      <c r="H2068" t="str">
        <f t="shared" si="36"/>
        <v>MEDICARE TAXES</v>
      </c>
    </row>
    <row r="2069" spans="5:8" x14ac:dyDescent="0.25">
      <c r="E2069" t="str">
        <f>""</f>
        <v/>
      </c>
      <c r="F2069" t="str">
        <f>""</f>
        <v/>
      </c>
      <c r="H2069" t="str">
        <f t="shared" si="36"/>
        <v>MEDICARE TAXES</v>
      </c>
    </row>
    <row r="2070" spans="5:8" x14ac:dyDescent="0.25">
      <c r="E2070" t="str">
        <f>""</f>
        <v/>
      </c>
      <c r="F2070" t="str">
        <f>""</f>
        <v/>
      </c>
      <c r="H2070" t="str">
        <f t="shared" si="36"/>
        <v>MEDICARE TAXES</v>
      </c>
    </row>
    <row r="2071" spans="5:8" x14ac:dyDescent="0.25">
      <c r="E2071" t="str">
        <f>""</f>
        <v/>
      </c>
      <c r="F2071" t="str">
        <f>""</f>
        <v/>
      </c>
      <c r="H2071" t="str">
        <f t="shared" si="36"/>
        <v>MEDICARE TAXES</v>
      </c>
    </row>
    <row r="2072" spans="5:8" x14ac:dyDescent="0.25">
      <c r="E2072" t="str">
        <f>""</f>
        <v/>
      </c>
      <c r="F2072" t="str">
        <f>""</f>
        <v/>
      </c>
      <c r="H2072" t="str">
        <f t="shared" ref="H2072:H2096" si="37">"MEDICARE TAXES"</f>
        <v>MEDICARE TAXES</v>
      </c>
    </row>
    <row r="2073" spans="5:8" x14ac:dyDescent="0.25">
      <c r="E2073" t="str">
        <f>""</f>
        <v/>
      </c>
      <c r="F2073" t="str">
        <f>""</f>
        <v/>
      </c>
      <c r="H2073" t="str">
        <f t="shared" si="37"/>
        <v>MEDICARE TAXES</v>
      </c>
    </row>
    <row r="2074" spans="5:8" x14ac:dyDescent="0.25">
      <c r="E2074" t="str">
        <f>""</f>
        <v/>
      </c>
      <c r="F2074" t="str">
        <f>""</f>
        <v/>
      </c>
      <c r="H2074" t="str">
        <f t="shared" si="37"/>
        <v>MEDICARE TAXES</v>
      </c>
    </row>
    <row r="2075" spans="5:8" x14ac:dyDescent="0.25">
      <c r="E2075" t="str">
        <f>""</f>
        <v/>
      </c>
      <c r="F2075" t="str">
        <f>""</f>
        <v/>
      </c>
      <c r="H2075" t="str">
        <f t="shared" si="37"/>
        <v>MEDICARE TAXES</v>
      </c>
    </row>
    <row r="2076" spans="5:8" x14ac:dyDescent="0.25">
      <c r="E2076" t="str">
        <f>""</f>
        <v/>
      </c>
      <c r="F2076" t="str">
        <f>""</f>
        <v/>
      </c>
      <c r="H2076" t="str">
        <f t="shared" si="37"/>
        <v>MEDICARE TAXES</v>
      </c>
    </row>
    <row r="2077" spans="5:8" x14ac:dyDescent="0.25">
      <c r="E2077" t="str">
        <f>""</f>
        <v/>
      </c>
      <c r="F2077" t="str">
        <f>""</f>
        <v/>
      </c>
      <c r="H2077" t="str">
        <f t="shared" si="37"/>
        <v>MEDICARE TAXES</v>
      </c>
    </row>
    <row r="2078" spans="5:8" x14ac:dyDescent="0.25">
      <c r="E2078" t="str">
        <f>""</f>
        <v/>
      </c>
      <c r="F2078" t="str">
        <f>""</f>
        <v/>
      </c>
      <c r="H2078" t="str">
        <f t="shared" si="37"/>
        <v>MEDICARE TAXES</v>
      </c>
    </row>
    <row r="2079" spans="5:8" x14ac:dyDescent="0.25">
      <c r="E2079" t="str">
        <f>""</f>
        <v/>
      </c>
      <c r="F2079" t="str">
        <f>""</f>
        <v/>
      </c>
      <c r="H2079" t="str">
        <f t="shared" si="37"/>
        <v>MEDICARE TAXES</v>
      </c>
    </row>
    <row r="2080" spans="5:8" x14ac:dyDescent="0.25">
      <c r="E2080" t="str">
        <f>""</f>
        <v/>
      </c>
      <c r="F2080" t="str">
        <f>""</f>
        <v/>
      </c>
      <c r="H2080" t="str">
        <f t="shared" si="37"/>
        <v>MEDICARE TAXES</v>
      </c>
    </row>
    <row r="2081" spans="5:8" x14ac:dyDescent="0.25">
      <c r="E2081" t="str">
        <f>""</f>
        <v/>
      </c>
      <c r="F2081" t="str">
        <f>""</f>
        <v/>
      </c>
      <c r="H2081" t="str">
        <f t="shared" si="37"/>
        <v>MEDICARE TAXES</v>
      </c>
    </row>
    <row r="2082" spans="5:8" x14ac:dyDescent="0.25">
      <c r="E2082" t="str">
        <f>""</f>
        <v/>
      </c>
      <c r="F2082" t="str">
        <f>""</f>
        <v/>
      </c>
      <c r="H2082" t="str">
        <f t="shared" si="37"/>
        <v>MEDICARE TAXES</v>
      </c>
    </row>
    <row r="2083" spans="5:8" x14ac:dyDescent="0.25">
      <c r="E2083" t="str">
        <f>""</f>
        <v/>
      </c>
      <c r="F2083" t="str">
        <f>""</f>
        <v/>
      </c>
      <c r="H2083" t="str">
        <f t="shared" si="37"/>
        <v>MEDICARE TAXES</v>
      </c>
    </row>
    <row r="2084" spans="5:8" x14ac:dyDescent="0.25">
      <c r="E2084" t="str">
        <f>""</f>
        <v/>
      </c>
      <c r="F2084" t="str">
        <f>""</f>
        <v/>
      </c>
      <c r="H2084" t="str">
        <f t="shared" si="37"/>
        <v>MEDICARE TAXES</v>
      </c>
    </row>
    <row r="2085" spans="5:8" x14ac:dyDescent="0.25">
      <c r="E2085" t="str">
        <f>""</f>
        <v/>
      </c>
      <c r="F2085" t="str">
        <f>""</f>
        <v/>
      </c>
      <c r="H2085" t="str">
        <f t="shared" si="37"/>
        <v>MEDICARE TAXES</v>
      </c>
    </row>
    <row r="2086" spans="5:8" x14ac:dyDescent="0.25">
      <c r="E2086" t="str">
        <f>""</f>
        <v/>
      </c>
      <c r="F2086" t="str">
        <f>""</f>
        <v/>
      </c>
      <c r="H2086" t="str">
        <f t="shared" si="37"/>
        <v>MEDICARE TAXES</v>
      </c>
    </row>
    <row r="2087" spans="5:8" x14ac:dyDescent="0.25">
      <c r="E2087" t="str">
        <f>""</f>
        <v/>
      </c>
      <c r="F2087" t="str">
        <f>""</f>
        <v/>
      </c>
      <c r="H2087" t="str">
        <f t="shared" si="37"/>
        <v>MEDICARE TAXES</v>
      </c>
    </row>
    <row r="2088" spans="5:8" x14ac:dyDescent="0.25">
      <c r="E2088" t="str">
        <f>""</f>
        <v/>
      </c>
      <c r="F2088" t="str">
        <f>""</f>
        <v/>
      </c>
      <c r="H2088" t="str">
        <f t="shared" si="37"/>
        <v>MEDICARE TAXES</v>
      </c>
    </row>
    <row r="2089" spans="5:8" x14ac:dyDescent="0.25">
      <c r="E2089" t="str">
        <f>""</f>
        <v/>
      </c>
      <c r="F2089" t="str">
        <f>""</f>
        <v/>
      </c>
      <c r="H2089" t="str">
        <f t="shared" si="37"/>
        <v>MEDICARE TAXES</v>
      </c>
    </row>
    <row r="2090" spans="5:8" x14ac:dyDescent="0.25">
      <c r="E2090" t="str">
        <f>""</f>
        <v/>
      </c>
      <c r="F2090" t="str">
        <f>""</f>
        <v/>
      </c>
      <c r="H2090" t="str">
        <f t="shared" si="37"/>
        <v>MEDICARE TAXES</v>
      </c>
    </row>
    <row r="2091" spans="5:8" x14ac:dyDescent="0.25">
      <c r="E2091" t="str">
        <f>""</f>
        <v/>
      </c>
      <c r="F2091" t="str">
        <f>""</f>
        <v/>
      </c>
      <c r="H2091" t="str">
        <f t="shared" si="37"/>
        <v>MEDICARE TAXES</v>
      </c>
    </row>
    <row r="2092" spans="5:8" x14ac:dyDescent="0.25">
      <c r="E2092" t="str">
        <f>""</f>
        <v/>
      </c>
      <c r="F2092" t="str">
        <f>""</f>
        <v/>
      </c>
      <c r="H2092" t="str">
        <f t="shared" si="37"/>
        <v>MEDICARE TAXES</v>
      </c>
    </row>
    <row r="2093" spans="5:8" x14ac:dyDescent="0.25">
      <c r="E2093" t="str">
        <f>"T4 202007228006"</f>
        <v>T4 202007228006</v>
      </c>
      <c r="F2093" t="str">
        <f>"MEDICARE TAXES"</f>
        <v>MEDICARE TAXES</v>
      </c>
      <c r="G2093" s="2">
        <v>1029.6199999999999</v>
      </c>
      <c r="H2093" t="str">
        <f t="shared" si="37"/>
        <v>MEDICARE TAXES</v>
      </c>
    </row>
    <row r="2094" spans="5:8" x14ac:dyDescent="0.25">
      <c r="E2094" t="str">
        <f>""</f>
        <v/>
      </c>
      <c r="F2094" t="str">
        <f>""</f>
        <v/>
      </c>
      <c r="H2094" t="str">
        <f t="shared" si="37"/>
        <v>MEDICARE TAXES</v>
      </c>
    </row>
    <row r="2095" spans="5:8" x14ac:dyDescent="0.25">
      <c r="E2095" t="str">
        <f>"T4 202007228007"</f>
        <v>T4 202007228007</v>
      </c>
      <c r="F2095" t="str">
        <f>"MEDICARE TAXES"</f>
        <v>MEDICARE TAXES</v>
      </c>
      <c r="G2095" s="2">
        <v>1166.5999999999999</v>
      </c>
      <c r="H2095" t="str">
        <f t="shared" si="37"/>
        <v>MEDICARE TAXES</v>
      </c>
    </row>
    <row r="2096" spans="5:8" x14ac:dyDescent="0.25">
      <c r="E2096" t="str">
        <f>""</f>
        <v/>
      </c>
      <c r="F2096" t="str">
        <f>""</f>
        <v/>
      </c>
      <c r="H2096" t="str">
        <f t="shared" si="37"/>
        <v>MEDICARE TAXES</v>
      </c>
    </row>
    <row r="2097" spans="1:8" x14ac:dyDescent="0.25">
      <c r="A2097" t="s">
        <v>337</v>
      </c>
      <c r="B2097">
        <v>635</v>
      </c>
      <c r="C2097" s="2">
        <v>353.14</v>
      </c>
      <c r="D2097" s="1">
        <v>44036</v>
      </c>
      <c r="E2097" t="str">
        <f>"T3 202007238016"</f>
        <v>T3 202007238016</v>
      </c>
      <c r="F2097" t="str">
        <f>"SOCIAL SECURITY TAXES"</f>
        <v>SOCIAL SECURITY TAXES</v>
      </c>
      <c r="G2097" s="2">
        <v>286.2</v>
      </c>
      <c r="H2097" t="str">
        <f>"SOCIAL SECURITY TAXES"</f>
        <v>SOCIAL SECURITY TAXES</v>
      </c>
    </row>
    <row r="2098" spans="1:8" x14ac:dyDescent="0.25">
      <c r="E2098" t="str">
        <f>""</f>
        <v/>
      </c>
      <c r="F2098" t="str">
        <f>""</f>
        <v/>
      </c>
      <c r="H2098" t="str">
        <f>"SOCIAL SECURITY TAXES"</f>
        <v>SOCIAL SECURITY TAXES</v>
      </c>
    </row>
    <row r="2099" spans="1:8" x14ac:dyDescent="0.25">
      <c r="E2099" t="str">
        <f>"T4 202007238016"</f>
        <v>T4 202007238016</v>
      </c>
      <c r="F2099" t="str">
        <f>"MEDICARE TAXES"</f>
        <v>MEDICARE TAXES</v>
      </c>
      <c r="G2099" s="2">
        <v>66.94</v>
      </c>
      <c r="H2099" t="str">
        <f>"MEDICARE TAXES"</f>
        <v>MEDICARE TAXES</v>
      </c>
    </row>
    <row r="2100" spans="1:8" x14ac:dyDescent="0.25">
      <c r="E2100" t="str">
        <f>""</f>
        <v/>
      </c>
      <c r="F2100" t="str">
        <f>""</f>
        <v/>
      </c>
      <c r="H2100" t="str">
        <f>"MEDICARE TAXES"</f>
        <v>MEDICARE TAXES</v>
      </c>
    </row>
    <row r="2101" spans="1:8" x14ac:dyDescent="0.25">
      <c r="A2101" t="s">
        <v>338</v>
      </c>
      <c r="B2101">
        <v>642</v>
      </c>
      <c r="C2101" s="2">
        <v>535.82000000000005</v>
      </c>
      <c r="D2101" s="1">
        <v>44040</v>
      </c>
      <c r="E2101" t="str">
        <f>"LIX202007087798"</f>
        <v>LIX202007087798</v>
      </c>
      <c r="F2101" t="str">
        <f>"TEXAS LIFE/OLIVO GROUP"</f>
        <v>TEXAS LIFE/OLIVO GROUP</v>
      </c>
      <c r="G2101" s="2">
        <v>267.91000000000003</v>
      </c>
      <c r="H2101" t="str">
        <f>"TEXAS LIFE/OLIVO GROUP"</f>
        <v>TEXAS LIFE/OLIVO GROUP</v>
      </c>
    </row>
    <row r="2102" spans="1:8" x14ac:dyDescent="0.25">
      <c r="E2102" t="str">
        <f>"LIX202007228005"</f>
        <v>LIX202007228005</v>
      </c>
      <c r="F2102" t="str">
        <f>"TEXAS LIFE/OLIVO GROUP"</f>
        <v>TEXAS LIFE/OLIVO GROUP</v>
      </c>
      <c r="G2102" s="2">
        <v>267.91000000000003</v>
      </c>
      <c r="H2102" t="str">
        <f>"TEXAS LIFE/OLIVO GROUP"</f>
        <v>TEXAS LIFE/OLIVO GROUP</v>
      </c>
    </row>
    <row r="2103" spans="1:8" x14ac:dyDescent="0.25">
      <c r="A2103" t="s">
        <v>339</v>
      </c>
      <c r="B2103">
        <v>48021</v>
      </c>
      <c r="C2103" s="2">
        <v>370130.94</v>
      </c>
      <c r="D2103" s="1">
        <v>44041</v>
      </c>
      <c r="E2103" t="str">
        <f>"202007288019"</f>
        <v>202007288019</v>
      </c>
      <c r="F2103" t="str">
        <f>"RETIREE - JULY 2020"</f>
        <v>RETIREE - JULY 2020</v>
      </c>
      <c r="G2103" s="2">
        <v>16155.12</v>
      </c>
      <c r="H2103" t="str">
        <f>"RETIREE - JULY 2020"</f>
        <v>RETIREE - JULY 2020</v>
      </c>
    </row>
    <row r="2104" spans="1:8" x14ac:dyDescent="0.25">
      <c r="E2104" t="str">
        <f>"202007288021"</f>
        <v>202007288021</v>
      </c>
      <c r="F2104" t="str">
        <f>"JULY 2020 OUTAGE - SEE NOTES"</f>
        <v>JULY 2020 OUTAGE - SEE NOTES</v>
      </c>
      <c r="G2104" s="2">
        <v>745.2</v>
      </c>
      <c r="H2104" t="str">
        <f>"JULY 2020 OUTAGE - SEE NOTES"</f>
        <v>JULY 2020 OUTAGE - SEE NOTES</v>
      </c>
    </row>
    <row r="2105" spans="1:8" x14ac:dyDescent="0.25">
      <c r="E2105" t="str">
        <f>"2EC202007087798"</f>
        <v>2EC202007087798</v>
      </c>
      <c r="F2105" t="str">
        <f>"BCBS PAYABLE"</f>
        <v>BCBS PAYABLE</v>
      </c>
      <c r="G2105" s="2">
        <v>51993.120000000003</v>
      </c>
      <c r="H2105" t="str">
        <f t="shared" ref="H2105:H2136" si="38">"BCBS PAYABLE"</f>
        <v>BCBS PAYABLE</v>
      </c>
    </row>
    <row r="2106" spans="1:8" x14ac:dyDescent="0.25">
      <c r="E2106" t="str">
        <f>""</f>
        <v/>
      </c>
      <c r="F2106" t="str">
        <f>""</f>
        <v/>
      </c>
      <c r="H2106" t="str">
        <f t="shared" si="38"/>
        <v>BCBS PAYABLE</v>
      </c>
    </row>
    <row r="2107" spans="1:8" x14ac:dyDescent="0.25">
      <c r="E2107" t="str">
        <f>""</f>
        <v/>
      </c>
      <c r="F2107" t="str">
        <f>""</f>
        <v/>
      </c>
      <c r="H2107" t="str">
        <f t="shared" si="38"/>
        <v>BCBS PAYABLE</v>
      </c>
    </row>
    <row r="2108" spans="1:8" x14ac:dyDescent="0.25">
      <c r="E2108" t="str">
        <f>""</f>
        <v/>
      </c>
      <c r="F2108" t="str">
        <f>""</f>
        <v/>
      </c>
      <c r="H2108" t="str">
        <f t="shared" si="38"/>
        <v>BCBS PAYABLE</v>
      </c>
    </row>
    <row r="2109" spans="1:8" x14ac:dyDescent="0.25">
      <c r="E2109" t="str">
        <f>""</f>
        <v/>
      </c>
      <c r="F2109" t="str">
        <f>""</f>
        <v/>
      </c>
      <c r="H2109" t="str">
        <f t="shared" si="38"/>
        <v>BCBS PAYABLE</v>
      </c>
    </row>
    <row r="2110" spans="1:8" x14ac:dyDescent="0.25">
      <c r="E2110" t="str">
        <f>""</f>
        <v/>
      </c>
      <c r="F2110" t="str">
        <f>""</f>
        <v/>
      </c>
      <c r="H2110" t="str">
        <f t="shared" si="38"/>
        <v>BCBS PAYABLE</v>
      </c>
    </row>
    <row r="2111" spans="1:8" x14ac:dyDescent="0.25">
      <c r="E2111" t="str">
        <f>""</f>
        <v/>
      </c>
      <c r="F2111" t="str">
        <f>""</f>
        <v/>
      </c>
      <c r="H2111" t="str">
        <f t="shared" si="38"/>
        <v>BCBS PAYABLE</v>
      </c>
    </row>
    <row r="2112" spans="1:8" x14ac:dyDescent="0.25">
      <c r="E2112" t="str">
        <f>""</f>
        <v/>
      </c>
      <c r="F2112" t="str">
        <f>""</f>
        <v/>
      </c>
      <c r="H2112" t="str">
        <f t="shared" si="38"/>
        <v>BCBS PAYABLE</v>
      </c>
    </row>
    <row r="2113" spans="5:8" x14ac:dyDescent="0.25">
      <c r="E2113" t="str">
        <f>""</f>
        <v/>
      </c>
      <c r="F2113" t="str">
        <f>""</f>
        <v/>
      </c>
      <c r="H2113" t="str">
        <f t="shared" si="38"/>
        <v>BCBS PAYABLE</v>
      </c>
    </row>
    <row r="2114" spans="5:8" x14ac:dyDescent="0.25">
      <c r="E2114" t="str">
        <f>""</f>
        <v/>
      </c>
      <c r="F2114" t="str">
        <f>""</f>
        <v/>
      </c>
      <c r="H2114" t="str">
        <f t="shared" si="38"/>
        <v>BCBS PAYABLE</v>
      </c>
    </row>
    <row r="2115" spans="5:8" x14ac:dyDescent="0.25">
      <c r="E2115" t="str">
        <f>""</f>
        <v/>
      </c>
      <c r="F2115" t="str">
        <f>""</f>
        <v/>
      </c>
      <c r="H2115" t="str">
        <f t="shared" si="38"/>
        <v>BCBS PAYABLE</v>
      </c>
    </row>
    <row r="2116" spans="5:8" x14ac:dyDescent="0.25">
      <c r="E2116" t="str">
        <f>""</f>
        <v/>
      </c>
      <c r="F2116" t="str">
        <f>""</f>
        <v/>
      </c>
      <c r="H2116" t="str">
        <f t="shared" si="38"/>
        <v>BCBS PAYABLE</v>
      </c>
    </row>
    <row r="2117" spans="5:8" x14ac:dyDescent="0.25">
      <c r="E2117" t="str">
        <f>""</f>
        <v/>
      </c>
      <c r="F2117" t="str">
        <f>""</f>
        <v/>
      </c>
      <c r="H2117" t="str">
        <f t="shared" si="38"/>
        <v>BCBS PAYABLE</v>
      </c>
    </row>
    <row r="2118" spans="5:8" x14ac:dyDescent="0.25">
      <c r="E2118" t="str">
        <f>""</f>
        <v/>
      </c>
      <c r="F2118" t="str">
        <f>""</f>
        <v/>
      </c>
      <c r="H2118" t="str">
        <f t="shared" si="38"/>
        <v>BCBS PAYABLE</v>
      </c>
    </row>
    <row r="2119" spans="5:8" x14ac:dyDescent="0.25">
      <c r="E2119" t="str">
        <f>""</f>
        <v/>
      </c>
      <c r="F2119" t="str">
        <f>""</f>
        <v/>
      </c>
      <c r="H2119" t="str">
        <f t="shared" si="38"/>
        <v>BCBS PAYABLE</v>
      </c>
    </row>
    <row r="2120" spans="5:8" x14ac:dyDescent="0.25">
      <c r="E2120" t="str">
        <f>""</f>
        <v/>
      </c>
      <c r="F2120" t="str">
        <f>""</f>
        <v/>
      </c>
      <c r="H2120" t="str">
        <f t="shared" si="38"/>
        <v>BCBS PAYABLE</v>
      </c>
    </row>
    <row r="2121" spans="5:8" x14ac:dyDescent="0.25">
      <c r="E2121" t="str">
        <f>""</f>
        <v/>
      </c>
      <c r="F2121" t="str">
        <f>""</f>
        <v/>
      </c>
      <c r="H2121" t="str">
        <f t="shared" si="38"/>
        <v>BCBS PAYABLE</v>
      </c>
    </row>
    <row r="2122" spans="5:8" x14ac:dyDescent="0.25">
      <c r="E2122" t="str">
        <f>""</f>
        <v/>
      </c>
      <c r="F2122" t="str">
        <f>""</f>
        <v/>
      </c>
      <c r="H2122" t="str">
        <f t="shared" si="38"/>
        <v>BCBS PAYABLE</v>
      </c>
    </row>
    <row r="2123" spans="5:8" x14ac:dyDescent="0.25">
      <c r="E2123" t="str">
        <f>""</f>
        <v/>
      </c>
      <c r="F2123" t="str">
        <f>""</f>
        <v/>
      </c>
      <c r="H2123" t="str">
        <f t="shared" si="38"/>
        <v>BCBS PAYABLE</v>
      </c>
    </row>
    <row r="2124" spans="5:8" x14ac:dyDescent="0.25">
      <c r="E2124" t="str">
        <f>""</f>
        <v/>
      </c>
      <c r="F2124" t="str">
        <f>""</f>
        <v/>
      </c>
      <c r="H2124" t="str">
        <f t="shared" si="38"/>
        <v>BCBS PAYABLE</v>
      </c>
    </row>
    <row r="2125" spans="5:8" x14ac:dyDescent="0.25">
      <c r="E2125" t="str">
        <f>""</f>
        <v/>
      </c>
      <c r="F2125" t="str">
        <f>""</f>
        <v/>
      </c>
      <c r="H2125" t="str">
        <f t="shared" si="38"/>
        <v>BCBS PAYABLE</v>
      </c>
    </row>
    <row r="2126" spans="5:8" x14ac:dyDescent="0.25">
      <c r="E2126" t="str">
        <f>""</f>
        <v/>
      </c>
      <c r="F2126" t="str">
        <f>""</f>
        <v/>
      </c>
      <c r="H2126" t="str">
        <f t="shared" si="38"/>
        <v>BCBS PAYABLE</v>
      </c>
    </row>
    <row r="2127" spans="5:8" x14ac:dyDescent="0.25">
      <c r="E2127" t="str">
        <f>""</f>
        <v/>
      </c>
      <c r="F2127" t="str">
        <f>""</f>
        <v/>
      </c>
      <c r="H2127" t="str">
        <f t="shared" si="38"/>
        <v>BCBS PAYABLE</v>
      </c>
    </row>
    <row r="2128" spans="5:8" x14ac:dyDescent="0.25">
      <c r="E2128" t="str">
        <f>""</f>
        <v/>
      </c>
      <c r="F2128" t="str">
        <f>""</f>
        <v/>
      </c>
      <c r="H2128" t="str">
        <f t="shared" si="38"/>
        <v>BCBS PAYABLE</v>
      </c>
    </row>
    <row r="2129" spans="5:8" x14ac:dyDescent="0.25">
      <c r="E2129" t="str">
        <f>""</f>
        <v/>
      </c>
      <c r="F2129" t="str">
        <f>""</f>
        <v/>
      </c>
      <c r="H2129" t="str">
        <f t="shared" si="38"/>
        <v>BCBS PAYABLE</v>
      </c>
    </row>
    <row r="2130" spans="5:8" x14ac:dyDescent="0.25">
      <c r="E2130" t="str">
        <f>""</f>
        <v/>
      </c>
      <c r="F2130" t="str">
        <f>""</f>
        <v/>
      </c>
      <c r="H2130" t="str">
        <f t="shared" si="38"/>
        <v>BCBS PAYABLE</v>
      </c>
    </row>
    <row r="2131" spans="5:8" x14ac:dyDescent="0.25">
      <c r="E2131" t="str">
        <f>""</f>
        <v/>
      </c>
      <c r="F2131" t="str">
        <f>""</f>
        <v/>
      </c>
      <c r="H2131" t="str">
        <f t="shared" si="38"/>
        <v>BCBS PAYABLE</v>
      </c>
    </row>
    <row r="2132" spans="5:8" x14ac:dyDescent="0.25">
      <c r="E2132" t="str">
        <f>""</f>
        <v/>
      </c>
      <c r="F2132" t="str">
        <f>""</f>
        <v/>
      </c>
      <c r="H2132" t="str">
        <f t="shared" si="38"/>
        <v>BCBS PAYABLE</v>
      </c>
    </row>
    <row r="2133" spans="5:8" x14ac:dyDescent="0.25">
      <c r="E2133" t="str">
        <f>""</f>
        <v/>
      </c>
      <c r="F2133" t="str">
        <f>""</f>
        <v/>
      </c>
      <c r="H2133" t="str">
        <f t="shared" si="38"/>
        <v>BCBS PAYABLE</v>
      </c>
    </row>
    <row r="2134" spans="5:8" x14ac:dyDescent="0.25">
      <c r="E2134" t="str">
        <f>""</f>
        <v/>
      </c>
      <c r="F2134" t="str">
        <f>""</f>
        <v/>
      </c>
      <c r="H2134" t="str">
        <f t="shared" si="38"/>
        <v>BCBS PAYABLE</v>
      </c>
    </row>
    <row r="2135" spans="5:8" x14ac:dyDescent="0.25">
      <c r="E2135" t="str">
        <f>""</f>
        <v/>
      </c>
      <c r="F2135" t="str">
        <f>""</f>
        <v/>
      </c>
      <c r="H2135" t="str">
        <f t="shared" si="38"/>
        <v>BCBS PAYABLE</v>
      </c>
    </row>
    <row r="2136" spans="5:8" x14ac:dyDescent="0.25">
      <c r="E2136" t="str">
        <f>"2EC202007087799"</f>
        <v>2EC202007087799</v>
      </c>
      <c r="F2136" t="str">
        <f>"BCBS PAYABLE"</f>
        <v>BCBS PAYABLE</v>
      </c>
      <c r="G2136" s="2">
        <v>1824.32</v>
      </c>
      <c r="H2136" t="str">
        <f t="shared" si="38"/>
        <v>BCBS PAYABLE</v>
      </c>
    </row>
    <row r="2137" spans="5:8" x14ac:dyDescent="0.25">
      <c r="E2137" t="str">
        <f>""</f>
        <v/>
      </c>
      <c r="F2137" t="str">
        <f>""</f>
        <v/>
      </c>
      <c r="H2137" t="str">
        <f t="shared" ref="H2137:H2168" si="39">"BCBS PAYABLE"</f>
        <v>BCBS PAYABLE</v>
      </c>
    </row>
    <row r="2138" spans="5:8" x14ac:dyDescent="0.25">
      <c r="E2138" t="str">
        <f>"2EC202007228005"</f>
        <v>2EC202007228005</v>
      </c>
      <c r="F2138" t="str">
        <f>"BCBS PAYABLE"</f>
        <v>BCBS PAYABLE</v>
      </c>
      <c r="G2138" s="2">
        <v>49256.639999999999</v>
      </c>
      <c r="H2138" t="str">
        <f t="shared" si="39"/>
        <v>BCBS PAYABLE</v>
      </c>
    </row>
    <row r="2139" spans="5:8" x14ac:dyDescent="0.25">
      <c r="E2139" t="str">
        <f>""</f>
        <v/>
      </c>
      <c r="F2139" t="str">
        <f>""</f>
        <v/>
      </c>
      <c r="H2139" t="str">
        <f t="shared" si="39"/>
        <v>BCBS PAYABLE</v>
      </c>
    </row>
    <row r="2140" spans="5:8" x14ac:dyDescent="0.25">
      <c r="E2140" t="str">
        <f>""</f>
        <v/>
      </c>
      <c r="F2140" t="str">
        <f>""</f>
        <v/>
      </c>
      <c r="H2140" t="str">
        <f t="shared" si="39"/>
        <v>BCBS PAYABLE</v>
      </c>
    </row>
    <row r="2141" spans="5:8" x14ac:dyDescent="0.25">
      <c r="E2141" t="str">
        <f>""</f>
        <v/>
      </c>
      <c r="F2141" t="str">
        <f>""</f>
        <v/>
      </c>
      <c r="H2141" t="str">
        <f t="shared" si="39"/>
        <v>BCBS PAYABLE</v>
      </c>
    </row>
    <row r="2142" spans="5:8" x14ac:dyDescent="0.25">
      <c r="E2142" t="str">
        <f>""</f>
        <v/>
      </c>
      <c r="F2142" t="str">
        <f>""</f>
        <v/>
      </c>
      <c r="H2142" t="str">
        <f t="shared" si="39"/>
        <v>BCBS PAYABLE</v>
      </c>
    </row>
    <row r="2143" spans="5:8" x14ac:dyDescent="0.25">
      <c r="E2143" t="str">
        <f>""</f>
        <v/>
      </c>
      <c r="F2143" t="str">
        <f>""</f>
        <v/>
      </c>
      <c r="H2143" t="str">
        <f t="shared" si="39"/>
        <v>BCBS PAYABLE</v>
      </c>
    </row>
    <row r="2144" spans="5:8" x14ac:dyDescent="0.25">
      <c r="E2144" t="str">
        <f>""</f>
        <v/>
      </c>
      <c r="F2144" t="str">
        <f>""</f>
        <v/>
      </c>
      <c r="H2144" t="str">
        <f t="shared" si="39"/>
        <v>BCBS PAYABLE</v>
      </c>
    </row>
    <row r="2145" spans="5:8" x14ac:dyDescent="0.25">
      <c r="E2145" t="str">
        <f>""</f>
        <v/>
      </c>
      <c r="F2145" t="str">
        <f>""</f>
        <v/>
      </c>
      <c r="H2145" t="str">
        <f t="shared" si="39"/>
        <v>BCBS PAYABLE</v>
      </c>
    </row>
    <row r="2146" spans="5:8" x14ac:dyDescent="0.25">
      <c r="E2146" t="str">
        <f>""</f>
        <v/>
      </c>
      <c r="F2146" t="str">
        <f>""</f>
        <v/>
      </c>
      <c r="H2146" t="str">
        <f t="shared" si="39"/>
        <v>BCBS PAYABLE</v>
      </c>
    </row>
    <row r="2147" spans="5:8" x14ac:dyDescent="0.25">
      <c r="E2147" t="str">
        <f>""</f>
        <v/>
      </c>
      <c r="F2147" t="str">
        <f>""</f>
        <v/>
      </c>
      <c r="H2147" t="str">
        <f t="shared" si="39"/>
        <v>BCBS PAYABLE</v>
      </c>
    </row>
    <row r="2148" spans="5:8" x14ac:dyDescent="0.25">
      <c r="E2148" t="str">
        <f>""</f>
        <v/>
      </c>
      <c r="F2148" t="str">
        <f>""</f>
        <v/>
      </c>
      <c r="H2148" t="str">
        <f t="shared" si="39"/>
        <v>BCBS PAYABLE</v>
      </c>
    </row>
    <row r="2149" spans="5:8" x14ac:dyDescent="0.25">
      <c r="E2149" t="str">
        <f>""</f>
        <v/>
      </c>
      <c r="F2149" t="str">
        <f>""</f>
        <v/>
      </c>
      <c r="H2149" t="str">
        <f t="shared" si="39"/>
        <v>BCBS PAYABLE</v>
      </c>
    </row>
    <row r="2150" spans="5:8" x14ac:dyDescent="0.25">
      <c r="E2150" t="str">
        <f>""</f>
        <v/>
      </c>
      <c r="F2150" t="str">
        <f>""</f>
        <v/>
      </c>
      <c r="H2150" t="str">
        <f t="shared" si="39"/>
        <v>BCBS PAYABLE</v>
      </c>
    </row>
    <row r="2151" spans="5:8" x14ac:dyDescent="0.25">
      <c r="E2151" t="str">
        <f>""</f>
        <v/>
      </c>
      <c r="F2151" t="str">
        <f>""</f>
        <v/>
      </c>
      <c r="H2151" t="str">
        <f t="shared" si="39"/>
        <v>BCBS PAYABLE</v>
      </c>
    </row>
    <row r="2152" spans="5:8" x14ac:dyDescent="0.25">
      <c r="E2152" t="str">
        <f>""</f>
        <v/>
      </c>
      <c r="F2152" t="str">
        <f>""</f>
        <v/>
      </c>
      <c r="H2152" t="str">
        <f t="shared" si="39"/>
        <v>BCBS PAYABLE</v>
      </c>
    </row>
    <row r="2153" spans="5:8" x14ac:dyDescent="0.25">
      <c r="E2153" t="str">
        <f>""</f>
        <v/>
      </c>
      <c r="F2153" t="str">
        <f>""</f>
        <v/>
      </c>
      <c r="H2153" t="str">
        <f t="shared" si="39"/>
        <v>BCBS PAYABLE</v>
      </c>
    </row>
    <row r="2154" spans="5:8" x14ac:dyDescent="0.25">
      <c r="E2154" t="str">
        <f>""</f>
        <v/>
      </c>
      <c r="F2154" t="str">
        <f>""</f>
        <v/>
      </c>
      <c r="H2154" t="str">
        <f t="shared" si="39"/>
        <v>BCBS PAYABLE</v>
      </c>
    </row>
    <row r="2155" spans="5:8" x14ac:dyDescent="0.25">
      <c r="E2155" t="str">
        <f>""</f>
        <v/>
      </c>
      <c r="F2155" t="str">
        <f>""</f>
        <v/>
      </c>
      <c r="H2155" t="str">
        <f t="shared" si="39"/>
        <v>BCBS PAYABLE</v>
      </c>
    </row>
    <row r="2156" spans="5:8" x14ac:dyDescent="0.25">
      <c r="E2156" t="str">
        <f>""</f>
        <v/>
      </c>
      <c r="F2156" t="str">
        <f>""</f>
        <v/>
      </c>
      <c r="H2156" t="str">
        <f t="shared" si="39"/>
        <v>BCBS PAYABLE</v>
      </c>
    </row>
    <row r="2157" spans="5:8" x14ac:dyDescent="0.25">
      <c r="E2157" t="str">
        <f>""</f>
        <v/>
      </c>
      <c r="F2157" t="str">
        <f>""</f>
        <v/>
      </c>
      <c r="H2157" t="str">
        <f t="shared" si="39"/>
        <v>BCBS PAYABLE</v>
      </c>
    </row>
    <row r="2158" spans="5:8" x14ac:dyDescent="0.25">
      <c r="E2158" t="str">
        <f>""</f>
        <v/>
      </c>
      <c r="F2158" t="str">
        <f>""</f>
        <v/>
      </c>
      <c r="H2158" t="str">
        <f t="shared" si="39"/>
        <v>BCBS PAYABLE</v>
      </c>
    </row>
    <row r="2159" spans="5:8" x14ac:dyDescent="0.25">
      <c r="E2159" t="str">
        <f>""</f>
        <v/>
      </c>
      <c r="F2159" t="str">
        <f>""</f>
        <v/>
      </c>
      <c r="H2159" t="str">
        <f t="shared" si="39"/>
        <v>BCBS PAYABLE</v>
      </c>
    </row>
    <row r="2160" spans="5:8" x14ac:dyDescent="0.25">
      <c r="E2160" t="str">
        <f>""</f>
        <v/>
      </c>
      <c r="F2160" t="str">
        <f>""</f>
        <v/>
      </c>
      <c r="H2160" t="str">
        <f t="shared" si="39"/>
        <v>BCBS PAYABLE</v>
      </c>
    </row>
    <row r="2161" spans="5:8" x14ac:dyDescent="0.25">
      <c r="E2161" t="str">
        <f>""</f>
        <v/>
      </c>
      <c r="F2161" t="str">
        <f>""</f>
        <v/>
      </c>
      <c r="H2161" t="str">
        <f t="shared" si="39"/>
        <v>BCBS PAYABLE</v>
      </c>
    </row>
    <row r="2162" spans="5:8" x14ac:dyDescent="0.25">
      <c r="E2162" t="str">
        <f>""</f>
        <v/>
      </c>
      <c r="F2162" t="str">
        <f>""</f>
        <v/>
      </c>
      <c r="H2162" t="str">
        <f t="shared" si="39"/>
        <v>BCBS PAYABLE</v>
      </c>
    </row>
    <row r="2163" spans="5:8" x14ac:dyDescent="0.25">
      <c r="E2163" t="str">
        <f>""</f>
        <v/>
      </c>
      <c r="F2163" t="str">
        <f>""</f>
        <v/>
      </c>
      <c r="H2163" t="str">
        <f t="shared" si="39"/>
        <v>BCBS PAYABLE</v>
      </c>
    </row>
    <row r="2164" spans="5:8" x14ac:dyDescent="0.25">
      <c r="E2164" t="str">
        <f>""</f>
        <v/>
      </c>
      <c r="F2164" t="str">
        <f>""</f>
        <v/>
      </c>
      <c r="H2164" t="str">
        <f t="shared" si="39"/>
        <v>BCBS PAYABLE</v>
      </c>
    </row>
    <row r="2165" spans="5:8" x14ac:dyDescent="0.25">
      <c r="E2165" t="str">
        <f>""</f>
        <v/>
      </c>
      <c r="F2165" t="str">
        <f>""</f>
        <v/>
      </c>
      <c r="H2165" t="str">
        <f t="shared" si="39"/>
        <v>BCBS PAYABLE</v>
      </c>
    </row>
    <row r="2166" spans="5:8" x14ac:dyDescent="0.25">
      <c r="E2166" t="str">
        <f>""</f>
        <v/>
      </c>
      <c r="F2166" t="str">
        <f>""</f>
        <v/>
      </c>
      <c r="H2166" t="str">
        <f t="shared" si="39"/>
        <v>BCBS PAYABLE</v>
      </c>
    </row>
    <row r="2167" spans="5:8" x14ac:dyDescent="0.25">
      <c r="E2167" t="str">
        <f>""</f>
        <v/>
      </c>
      <c r="F2167" t="str">
        <f>""</f>
        <v/>
      </c>
      <c r="H2167" t="str">
        <f t="shared" si="39"/>
        <v>BCBS PAYABLE</v>
      </c>
    </row>
    <row r="2168" spans="5:8" x14ac:dyDescent="0.25">
      <c r="E2168" t="str">
        <f>""</f>
        <v/>
      </c>
      <c r="F2168" t="str">
        <f>""</f>
        <v/>
      </c>
      <c r="H2168" t="str">
        <f t="shared" si="39"/>
        <v>BCBS PAYABLE</v>
      </c>
    </row>
    <row r="2169" spans="5:8" x14ac:dyDescent="0.25">
      <c r="E2169" t="str">
        <f>"2EC202007228006"</f>
        <v>2EC202007228006</v>
      </c>
      <c r="F2169" t="str">
        <f>"BCBS PAYABLE"</f>
        <v>BCBS PAYABLE</v>
      </c>
      <c r="G2169" s="2">
        <v>1824.32</v>
      </c>
      <c r="H2169" t="str">
        <f t="shared" ref="H2169:H2200" si="40">"BCBS PAYABLE"</f>
        <v>BCBS PAYABLE</v>
      </c>
    </row>
    <row r="2170" spans="5:8" x14ac:dyDescent="0.25">
      <c r="E2170" t="str">
        <f>""</f>
        <v/>
      </c>
      <c r="F2170" t="str">
        <f>""</f>
        <v/>
      </c>
      <c r="H2170" t="str">
        <f t="shared" si="40"/>
        <v>BCBS PAYABLE</v>
      </c>
    </row>
    <row r="2171" spans="5:8" x14ac:dyDescent="0.25">
      <c r="E2171" t="str">
        <f>"2EF202007087798"</f>
        <v>2EF202007087798</v>
      </c>
      <c r="F2171" t="str">
        <f>"BCBS PAYABLE"</f>
        <v>BCBS PAYABLE</v>
      </c>
      <c r="G2171" s="2">
        <v>2718.27</v>
      </c>
      <c r="H2171" t="str">
        <f t="shared" si="40"/>
        <v>BCBS PAYABLE</v>
      </c>
    </row>
    <row r="2172" spans="5:8" x14ac:dyDescent="0.25">
      <c r="E2172" t="str">
        <f>""</f>
        <v/>
      </c>
      <c r="F2172" t="str">
        <f>""</f>
        <v/>
      </c>
      <c r="H2172" t="str">
        <f t="shared" si="40"/>
        <v>BCBS PAYABLE</v>
      </c>
    </row>
    <row r="2173" spans="5:8" x14ac:dyDescent="0.25">
      <c r="E2173" t="str">
        <f>""</f>
        <v/>
      </c>
      <c r="F2173" t="str">
        <f>""</f>
        <v/>
      </c>
      <c r="H2173" t="str">
        <f t="shared" si="40"/>
        <v>BCBS PAYABLE</v>
      </c>
    </row>
    <row r="2174" spans="5:8" x14ac:dyDescent="0.25">
      <c r="E2174" t="str">
        <f>"2EF202007228005"</f>
        <v>2EF202007228005</v>
      </c>
      <c r="F2174" t="str">
        <f>"BCBS PAYABLE"</f>
        <v>BCBS PAYABLE</v>
      </c>
      <c r="G2174" s="2">
        <v>2718.27</v>
      </c>
      <c r="H2174" t="str">
        <f t="shared" si="40"/>
        <v>BCBS PAYABLE</v>
      </c>
    </row>
    <row r="2175" spans="5:8" x14ac:dyDescent="0.25">
      <c r="E2175" t="str">
        <f>""</f>
        <v/>
      </c>
      <c r="F2175" t="str">
        <f>""</f>
        <v/>
      </c>
      <c r="H2175" t="str">
        <f t="shared" si="40"/>
        <v>BCBS PAYABLE</v>
      </c>
    </row>
    <row r="2176" spans="5:8" x14ac:dyDescent="0.25">
      <c r="E2176" t="str">
        <f>""</f>
        <v/>
      </c>
      <c r="F2176" t="str">
        <f>""</f>
        <v/>
      </c>
      <c r="H2176" t="str">
        <f t="shared" si="40"/>
        <v>BCBS PAYABLE</v>
      </c>
    </row>
    <row r="2177" spans="5:8" x14ac:dyDescent="0.25">
      <c r="E2177" t="str">
        <f>"2EO202007087798"</f>
        <v>2EO202007087798</v>
      </c>
      <c r="F2177" t="str">
        <f>"BCBS PAYABLE"</f>
        <v>BCBS PAYABLE</v>
      </c>
      <c r="G2177" s="2">
        <v>103214.68</v>
      </c>
      <c r="H2177" t="str">
        <f t="shared" si="40"/>
        <v>BCBS PAYABLE</v>
      </c>
    </row>
    <row r="2178" spans="5:8" x14ac:dyDescent="0.25">
      <c r="E2178" t="str">
        <f>""</f>
        <v/>
      </c>
      <c r="F2178" t="str">
        <f>""</f>
        <v/>
      </c>
      <c r="H2178" t="str">
        <f t="shared" si="40"/>
        <v>BCBS PAYABLE</v>
      </c>
    </row>
    <row r="2179" spans="5:8" x14ac:dyDescent="0.25">
      <c r="E2179" t="str">
        <f>""</f>
        <v/>
      </c>
      <c r="F2179" t="str">
        <f>""</f>
        <v/>
      </c>
      <c r="H2179" t="str">
        <f t="shared" si="40"/>
        <v>BCBS PAYABLE</v>
      </c>
    </row>
    <row r="2180" spans="5:8" x14ac:dyDescent="0.25">
      <c r="E2180" t="str">
        <f>""</f>
        <v/>
      </c>
      <c r="F2180" t="str">
        <f>""</f>
        <v/>
      </c>
      <c r="H2180" t="str">
        <f t="shared" si="40"/>
        <v>BCBS PAYABLE</v>
      </c>
    </row>
    <row r="2181" spans="5:8" x14ac:dyDescent="0.25">
      <c r="E2181" t="str">
        <f>""</f>
        <v/>
      </c>
      <c r="F2181" t="str">
        <f>""</f>
        <v/>
      </c>
      <c r="H2181" t="str">
        <f t="shared" si="40"/>
        <v>BCBS PAYABLE</v>
      </c>
    </row>
    <row r="2182" spans="5:8" x14ac:dyDescent="0.25">
      <c r="E2182" t="str">
        <f>""</f>
        <v/>
      </c>
      <c r="F2182" t="str">
        <f>""</f>
        <v/>
      </c>
      <c r="H2182" t="str">
        <f t="shared" si="40"/>
        <v>BCBS PAYABLE</v>
      </c>
    </row>
    <row r="2183" spans="5:8" x14ac:dyDescent="0.25">
      <c r="E2183" t="str">
        <f>""</f>
        <v/>
      </c>
      <c r="F2183" t="str">
        <f>""</f>
        <v/>
      </c>
      <c r="H2183" t="str">
        <f t="shared" si="40"/>
        <v>BCBS PAYABLE</v>
      </c>
    </row>
    <row r="2184" spans="5:8" x14ac:dyDescent="0.25">
      <c r="E2184" t="str">
        <f>""</f>
        <v/>
      </c>
      <c r="F2184" t="str">
        <f>""</f>
        <v/>
      </c>
      <c r="H2184" t="str">
        <f t="shared" si="40"/>
        <v>BCBS PAYABLE</v>
      </c>
    </row>
    <row r="2185" spans="5:8" x14ac:dyDescent="0.25">
      <c r="E2185" t="str">
        <f>""</f>
        <v/>
      </c>
      <c r="F2185" t="str">
        <f>""</f>
        <v/>
      </c>
      <c r="H2185" t="str">
        <f t="shared" si="40"/>
        <v>BCBS PAYABLE</v>
      </c>
    </row>
    <row r="2186" spans="5:8" x14ac:dyDescent="0.25">
      <c r="E2186" t="str">
        <f>""</f>
        <v/>
      </c>
      <c r="F2186" t="str">
        <f>""</f>
        <v/>
      </c>
      <c r="H2186" t="str">
        <f t="shared" si="40"/>
        <v>BCBS PAYABLE</v>
      </c>
    </row>
    <row r="2187" spans="5:8" x14ac:dyDescent="0.25">
      <c r="E2187" t="str">
        <f>""</f>
        <v/>
      </c>
      <c r="F2187" t="str">
        <f>""</f>
        <v/>
      </c>
      <c r="H2187" t="str">
        <f t="shared" si="40"/>
        <v>BCBS PAYABLE</v>
      </c>
    </row>
    <row r="2188" spans="5:8" x14ac:dyDescent="0.25">
      <c r="E2188" t="str">
        <f>""</f>
        <v/>
      </c>
      <c r="F2188" t="str">
        <f>""</f>
        <v/>
      </c>
      <c r="H2188" t="str">
        <f t="shared" si="40"/>
        <v>BCBS PAYABLE</v>
      </c>
    </row>
    <row r="2189" spans="5:8" x14ac:dyDescent="0.25">
      <c r="E2189" t="str">
        <f>""</f>
        <v/>
      </c>
      <c r="F2189" t="str">
        <f>""</f>
        <v/>
      </c>
      <c r="H2189" t="str">
        <f t="shared" si="40"/>
        <v>BCBS PAYABLE</v>
      </c>
    </row>
    <row r="2190" spans="5:8" x14ac:dyDescent="0.25">
      <c r="E2190" t="str">
        <f>""</f>
        <v/>
      </c>
      <c r="F2190" t="str">
        <f>""</f>
        <v/>
      </c>
      <c r="H2190" t="str">
        <f t="shared" si="40"/>
        <v>BCBS PAYABLE</v>
      </c>
    </row>
    <row r="2191" spans="5:8" x14ac:dyDescent="0.25">
      <c r="E2191" t="str">
        <f>""</f>
        <v/>
      </c>
      <c r="F2191" t="str">
        <f>""</f>
        <v/>
      </c>
      <c r="H2191" t="str">
        <f t="shared" si="40"/>
        <v>BCBS PAYABLE</v>
      </c>
    </row>
    <row r="2192" spans="5:8" x14ac:dyDescent="0.25">
      <c r="E2192" t="str">
        <f>""</f>
        <v/>
      </c>
      <c r="F2192" t="str">
        <f>""</f>
        <v/>
      </c>
      <c r="H2192" t="str">
        <f t="shared" si="40"/>
        <v>BCBS PAYABLE</v>
      </c>
    </row>
    <row r="2193" spans="5:8" x14ac:dyDescent="0.25">
      <c r="E2193" t="str">
        <f>""</f>
        <v/>
      </c>
      <c r="F2193" t="str">
        <f>""</f>
        <v/>
      </c>
      <c r="H2193" t="str">
        <f t="shared" si="40"/>
        <v>BCBS PAYABLE</v>
      </c>
    </row>
    <row r="2194" spans="5:8" x14ac:dyDescent="0.25">
      <c r="E2194" t="str">
        <f>""</f>
        <v/>
      </c>
      <c r="F2194" t="str">
        <f>""</f>
        <v/>
      </c>
      <c r="H2194" t="str">
        <f t="shared" si="40"/>
        <v>BCBS PAYABLE</v>
      </c>
    </row>
    <row r="2195" spans="5:8" x14ac:dyDescent="0.25">
      <c r="E2195" t="str">
        <f>""</f>
        <v/>
      </c>
      <c r="F2195" t="str">
        <f>""</f>
        <v/>
      </c>
      <c r="H2195" t="str">
        <f t="shared" si="40"/>
        <v>BCBS PAYABLE</v>
      </c>
    </row>
    <row r="2196" spans="5:8" x14ac:dyDescent="0.25">
      <c r="E2196" t="str">
        <f>""</f>
        <v/>
      </c>
      <c r="F2196" t="str">
        <f>""</f>
        <v/>
      </c>
      <c r="H2196" t="str">
        <f t="shared" si="40"/>
        <v>BCBS PAYABLE</v>
      </c>
    </row>
    <row r="2197" spans="5:8" x14ac:dyDescent="0.25">
      <c r="E2197" t="str">
        <f>""</f>
        <v/>
      </c>
      <c r="F2197" t="str">
        <f>""</f>
        <v/>
      </c>
      <c r="H2197" t="str">
        <f t="shared" si="40"/>
        <v>BCBS PAYABLE</v>
      </c>
    </row>
    <row r="2198" spans="5:8" x14ac:dyDescent="0.25">
      <c r="E2198" t="str">
        <f>""</f>
        <v/>
      </c>
      <c r="F2198" t="str">
        <f>""</f>
        <v/>
      </c>
      <c r="H2198" t="str">
        <f t="shared" si="40"/>
        <v>BCBS PAYABLE</v>
      </c>
    </row>
    <row r="2199" spans="5:8" x14ac:dyDescent="0.25">
      <c r="E2199" t="str">
        <f>""</f>
        <v/>
      </c>
      <c r="F2199" t="str">
        <f>""</f>
        <v/>
      </c>
      <c r="H2199" t="str">
        <f t="shared" si="40"/>
        <v>BCBS PAYABLE</v>
      </c>
    </row>
    <row r="2200" spans="5:8" x14ac:dyDescent="0.25">
      <c r="E2200" t="str">
        <f>""</f>
        <v/>
      </c>
      <c r="F2200" t="str">
        <f>""</f>
        <v/>
      </c>
      <c r="H2200" t="str">
        <f t="shared" si="40"/>
        <v>BCBS PAYABLE</v>
      </c>
    </row>
    <row r="2201" spans="5:8" x14ac:dyDescent="0.25">
      <c r="E2201" t="str">
        <f>""</f>
        <v/>
      </c>
      <c r="F2201" t="str">
        <f>""</f>
        <v/>
      </c>
      <c r="H2201" t="str">
        <f t="shared" ref="H2201:H2232" si="41">"BCBS PAYABLE"</f>
        <v>BCBS PAYABLE</v>
      </c>
    </row>
    <row r="2202" spans="5:8" x14ac:dyDescent="0.25">
      <c r="E2202" t="str">
        <f>""</f>
        <v/>
      </c>
      <c r="F2202" t="str">
        <f>""</f>
        <v/>
      </c>
      <c r="H2202" t="str">
        <f t="shared" si="41"/>
        <v>BCBS PAYABLE</v>
      </c>
    </row>
    <row r="2203" spans="5:8" x14ac:dyDescent="0.25">
      <c r="E2203" t="str">
        <f>""</f>
        <v/>
      </c>
      <c r="F2203" t="str">
        <f>""</f>
        <v/>
      </c>
      <c r="H2203" t="str">
        <f t="shared" si="41"/>
        <v>BCBS PAYABLE</v>
      </c>
    </row>
    <row r="2204" spans="5:8" x14ac:dyDescent="0.25">
      <c r="E2204" t="str">
        <f>""</f>
        <v/>
      </c>
      <c r="F2204" t="str">
        <f>""</f>
        <v/>
      </c>
      <c r="H2204" t="str">
        <f t="shared" si="41"/>
        <v>BCBS PAYABLE</v>
      </c>
    </row>
    <row r="2205" spans="5:8" x14ac:dyDescent="0.25">
      <c r="E2205" t="str">
        <f>""</f>
        <v/>
      </c>
      <c r="F2205" t="str">
        <f>""</f>
        <v/>
      </c>
      <c r="H2205" t="str">
        <f t="shared" si="41"/>
        <v>BCBS PAYABLE</v>
      </c>
    </row>
    <row r="2206" spans="5:8" x14ac:dyDescent="0.25">
      <c r="E2206" t="str">
        <f>""</f>
        <v/>
      </c>
      <c r="F2206" t="str">
        <f>""</f>
        <v/>
      </c>
      <c r="H2206" t="str">
        <f t="shared" si="41"/>
        <v>BCBS PAYABLE</v>
      </c>
    </row>
    <row r="2207" spans="5:8" x14ac:dyDescent="0.25">
      <c r="E2207" t="str">
        <f>""</f>
        <v/>
      </c>
      <c r="F2207" t="str">
        <f>""</f>
        <v/>
      </c>
      <c r="H2207" t="str">
        <f t="shared" si="41"/>
        <v>BCBS PAYABLE</v>
      </c>
    </row>
    <row r="2208" spans="5:8" x14ac:dyDescent="0.25">
      <c r="E2208" t="str">
        <f>""</f>
        <v/>
      </c>
      <c r="F2208" t="str">
        <f>""</f>
        <v/>
      </c>
      <c r="H2208" t="str">
        <f t="shared" si="41"/>
        <v>BCBS PAYABLE</v>
      </c>
    </row>
    <row r="2209" spans="5:8" x14ac:dyDescent="0.25">
      <c r="E2209" t="str">
        <f>""</f>
        <v/>
      </c>
      <c r="F2209" t="str">
        <f>""</f>
        <v/>
      </c>
      <c r="H2209" t="str">
        <f t="shared" si="41"/>
        <v>BCBS PAYABLE</v>
      </c>
    </row>
    <row r="2210" spans="5:8" x14ac:dyDescent="0.25">
      <c r="E2210" t="str">
        <f>""</f>
        <v/>
      </c>
      <c r="F2210" t="str">
        <f>""</f>
        <v/>
      </c>
      <c r="H2210" t="str">
        <f t="shared" si="41"/>
        <v>BCBS PAYABLE</v>
      </c>
    </row>
    <row r="2211" spans="5:8" x14ac:dyDescent="0.25">
      <c r="E2211" t="str">
        <f>""</f>
        <v/>
      </c>
      <c r="F2211" t="str">
        <f>""</f>
        <v/>
      </c>
      <c r="H2211" t="str">
        <f t="shared" si="41"/>
        <v>BCBS PAYABLE</v>
      </c>
    </row>
    <row r="2212" spans="5:8" x14ac:dyDescent="0.25">
      <c r="E2212" t="str">
        <f>""</f>
        <v/>
      </c>
      <c r="F2212" t="str">
        <f>""</f>
        <v/>
      </c>
      <c r="H2212" t="str">
        <f t="shared" si="41"/>
        <v>BCBS PAYABLE</v>
      </c>
    </row>
    <row r="2213" spans="5:8" x14ac:dyDescent="0.25">
      <c r="E2213" t="str">
        <f>""</f>
        <v/>
      </c>
      <c r="F2213" t="str">
        <f>""</f>
        <v/>
      </c>
      <c r="H2213" t="str">
        <f t="shared" si="41"/>
        <v>BCBS PAYABLE</v>
      </c>
    </row>
    <row r="2214" spans="5:8" x14ac:dyDescent="0.25">
      <c r="E2214" t="str">
        <f>""</f>
        <v/>
      </c>
      <c r="F2214" t="str">
        <f>""</f>
        <v/>
      </c>
      <c r="H2214" t="str">
        <f t="shared" si="41"/>
        <v>BCBS PAYABLE</v>
      </c>
    </row>
    <row r="2215" spans="5:8" x14ac:dyDescent="0.25">
      <c r="E2215" t="str">
        <f>""</f>
        <v/>
      </c>
      <c r="F2215" t="str">
        <f>""</f>
        <v/>
      </c>
      <c r="H2215" t="str">
        <f t="shared" si="41"/>
        <v>BCBS PAYABLE</v>
      </c>
    </row>
    <row r="2216" spans="5:8" x14ac:dyDescent="0.25">
      <c r="E2216" t="str">
        <f>""</f>
        <v/>
      </c>
      <c r="F2216" t="str">
        <f>""</f>
        <v/>
      </c>
      <c r="H2216" t="str">
        <f t="shared" si="41"/>
        <v>BCBS PAYABLE</v>
      </c>
    </row>
    <row r="2217" spans="5:8" x14ac:dyDescent="0.25">
      <c r="E2217" t="str">
        <f>""</f>
        <v/>
      </c>
      <c r="F2217" t="str">
        <f>""</f>
        <v/>
      </c>
      <c r="H2217" t="str">
        <f t="shared" si="41"/>
        <v>BCBS PAYABLE</v>
      </c>
    </row>
    <row r="2218" spans="5:8" x14ac:dyDescent="0.25">
      <c r="E2218" t="str">
        <f>""</f>
        <v/>
      </c>
      <c r="F2218" t="str">
        <f>""</f>
        <v/>
      </c>
      <c r="H2218" t="str">
        <f t="shared" si="41"/>
        <v>BCBS PAYABLE</v>
      </c>
    </row>
    <row r="2219" spans="5:8" x14ac:dyDescent="0.25">
      <c r="E2219" t="str">
        <f>""</f>
        <v/>
      </c>
      <c r="F2219" t="str">
        <f>""</f>
        <v/>
      </c>
      <c r="H2219" t="str">
        <f t="shared" si="41"/>
        <v>BCBS PAYABLE</v>
      </c>
    </row>
    <row r="2220" spans="5:8" x14ac:dyDescent="0.25">
      <c r="E2220" t="str">
        <f>""</f>
        <v/>
      </c>
      <c r="F2220" t="str">
        <f>""</f>
        <v/>
      </c>
      <c r="H2220" t="str">
        <f t="shared" si="41"/>
        <v>BCBS PAYABLE</v>
      </c>
    </row>
    <row r="2221" spans="5:8" x14ac:dyDescent="0.25">
      <c r="E2221" t="str">
        <f>""</f>
        <v/>
      </c>
      <c r="F2221" t="str">
        <f>""</f>
        <v/>
      </c>
      <c r="H2221" t="str">
        <f t="shared" si="41"/>
        <v>BCBS PAYABLE</v>
      </c>
    </row>
    <row r="2222" spans="5:8" x14ac:dyDescent="0.25">
      <c r="E2222" t="str">
        <f>""</f>
        <v/>
      </c>
      <c r="F2222" t="str">
        <f>""</f>
        <v/>
      </c>
      <c r="H2222" t="str">
        <f t="shared" si="41"/>
        <v>BCBS PAYABLE</v>
      </c>
    </row>
    <row r="2223" spans="5:8" x14ac:dyDescent="0.25">
      <c r="E2223" t="str">
        <f>""</f>
        <v/>
      </c>
      <c r="F2223" t="str">
        <f>""</f>
        <v/>
      </c>
      <c r="H2223" t="str">
        <f t="shared" si="41"/>
        <v>BCBS PAYABLE</v>
      </c>
    </row>
    <row r="2224" spans="5:8" x14ac:dyDescent="0.25">
      <c r="E2224" t="str">
        <f>""</f>
        <v/>
      </c>
      <c r="F2224" t="str">
        <f>""</f>
        <v/>
      </c>
      <c r="H2224" t="str">
        <f t="shared" si="41"/>
        <v>BCBS PAYABLE</v>
      </c>
    </row>
    <row r="2225" spans="5:8" x14ac:dyDescent="0.25">
      <c r="E2225" t="str">
        <f>"2EO202007087799"</f>
        <v>2EO202007087799</v>
      </c>
      <c r="F2225" t="str">
        <f>"BCBS PAYABLE"</f>
        <v>BCBS PAYABLE</v>
      </c>
      <c r="G2225" s="2">
        <v>4314.4399999999996</v>
      </c>
      <c r="H2225" t="str">
        <f t="shared" si="41"/>
        <v>BCBS PAYABLE</v>
      </c>
    </row>
    <row r="2226" spans="5:8" x14ac:dyDescent="0.25">
      <c r="E2226" t="str">
        <f>"2EO202007228005"</f>
        <v>2EO202007228005</v>
      </c>
      <c r="F2226" t="str">
        <f>"BCBS PAYABLE"</f>
        <v>BCBS PAYABLE</v>
      </c>
      <c r="G2226" s="2">
        <v>102550.92</v>
      </c>
      <c r="H2226" t="str">
        <f t="shared" si="41"/>
        <v>BCBS PAYABLE</v>
      </c>
    </row>
    <row r="2227" spans="5:8" x14ac:dyDescent="0.25">
      <c r="E2227" t="str">
        <f>""</f>
        <v/>
      </c>
      <c r="F2227" t="str">
        <f>""</f>
        <v/>
      </c>
      <c r="H2227" t="str">
        <f t="shared" si="41"/>
        <v>BCBS PAYABLE</v>
      </c>
    </row>
    <row r="2228" spans="5:8" x14ac:dyDescent="0.25">
      <c r="E2228" t="str">
        <f>""</f>
        <v/>
      </c>
      <c r="F2228" t="str">
        <f>""</f>
        <v/>
      </c>
      <c r="H2228" t="str">
        <f t="shared" si="41"/>
        <v>BCBS PAYABLE</v>
      </c>
    </row>
    <row r="2229" spans="5:8" x14ac:dyDescent="0.25">
      <c r="E2229" t="str">
        <f>""</f>
        <v/>
      </c>
      <c r="F2229" t="str">
        <f>""</f>
        <v/>
      </c>
      <c r="H2229" t="str">
        <f t="shared" si="41"/>
        <v>BCBS PAYABLE</v>
      </c>
    </row>
    <row r="2230" spans="5:8" x14ac:dyDescent="0.25">
      <c r="E2230" t="str">
        <f>""</f>
        <v/>
      </c>
      <c r="F2230" t="str">
        <f>""</f>
        <v/>
      </c>
      <c r="H2230" t="str">
        <f t="shared" si="41"/>
        <v>BCBS PAYABLE</v>
      </c>
    </row>
    <row r="2231" spans="5:8" x14ac:dyDescent="0.25">
      <c r="E2231" t="str">
        <f>""</f>
        <v/>
      </c>
      <c r="F2231" t="str">
        <f>""</f>
        <v/>
      </c>
      <c r="H2231" t="str">
        <f t="shared" si="41"/>
        <v>BCBS PAYABLE</v>
      </c>
    </row>
    <row r="2232" spans="5:8" x14ac:dyDescent="0.25">
      <c r="E2232" t="str">
        <f>""</f>
        <v/>
      </c>
      <c r="F2232" t="str">
        <f>""</f>
        <v/>
      </c>
      <c r="H2232" t="str">
        <f t="shared" si="41"/>
        <v>BCBS PAYABLE</v>
      </c>
    </row>
    <row r="2233" spans="5:8" x14ac:dyDescent="0.25">
      <c r="E2233" t="str">
        <f>""</f>
        <v/>
      </c>
      <c r="F2233" t="str">
        <f>""</f>
        <v/>
      </c>
      <c r="H2233" t="str">
        <f t="shared" ref="H2233:H2264" si="42">"BCBS PAYABLE"</f>
        <v>BCBS PAYABLE</v>
      </c>
    </row>
    <row r="2234" spans="5:8" x14ac:dyDescent="0.25">
      <c r="E2234" t="str">
        <f>""</f>
        <v/>
      </c>
      <c r="F2234" t="str">
        <f>""</f>
        <v/>
      </c>
      <c r="H2234" t="str">
        <f t="shared" si="42"/>
        <v>BCBS PAYABLE</v>
      </c>
    </row>
    <row r="2235" spans="5:8" x14ac:dyDescent="0.25">
      <c r="E2235" t="str">
        <f>""</f>
        <v/>
      </c>
      <c r="F2235" t="str">
        <f>""</f>
        <v/>
      </c>
      <c r="H2235" t="str">
        <f t="shared" si="42"/>
        <v>BCBS PAYABLE</v>
      </c>
    </row>
    <row r="2236" spans="5:8" x14ac:dyDescent="0.25">
      <c r="E2236" t="str">
        <f>""</f>
        <v/>
      </c>
      <c r="F2236" t="str">
        <f>""</f>
        <v/>
      </c>
      <c r="H2236" t="str">
        <f t="shared" si="42"/>
        <v>BCBS PAYABLE</v>
      </c>
    </row>
    <row r="2237" spans="5:8" x14ac:dyDescent="0.25">
      <c r="E2237" t="str">
        <f>""</f>
        <v/>
      </c>
      <c r="F2237" t="str">
        <f>""</f>
        <v/>
      </c>
      <c r="H2237" t="str">
        <f t="shared" si="42"/>
        <v>BCBS PAYABLE</v>
      </c>
    </row>
    <row r="2238" spans="5:8" x14ac:dyDescent="0.25">
      <c r="E2238" t="str">
        <f>""</f>
        <v/>
      </c>
      <c r="F2238" t="str">
        <f>""</f>
        <v/>
      </c>
      <c r="H2238" t="str">
        <f t="shared" si="42"/>
        <v>BCBS PAYABLE</v>
      </c>
    </row>
    <row r="2239" spans="5:8" x14ac:dyDescent="0.25">
      <c r="E2239" t="str">
        <f>""</f>
        <v/>
      </c>
      <c r="F2239" t="str">
        <f>""</f>
        <v/>
      </c>
      <c r="H2239" t="str">
        <f t="shared" si="42"/>
        <v>BCBS PAYABLE</v>
      </c>
    </row>
    <row r="2240" spans="5:8" x14ac:dyDescent="0.25">
      <c r="E2240" t="str">
        <f>""</f>
        <v/>
      </c>
      <c r="F2240" t="str">
        <f>""</f>
        <v/>
      </c>
      <c r="H2240" t="str">
        <f t="shared" si="42"/>
        <v>BCBS PAYABLE</v>
      </c>
    </row>
    <row r="2241" spans="5:8" x14ac:dyDescent="0.25">
      <c r="E2241" t="str">
        <f>""</f>
        <v/>
      </c>
      <c r="F2241" t="str">
        <f>""</f>
        <v/>
      </c>
      <c r="H2241" t="str">
        <f t="shared" si="42"/>
        <v>BCBS PAYABLE</v>
      </c>
    </row>
    <row r="2242" spans="5:8" x14ac:dyDescent="0.25">
      <c r="E2242" t="str">
        <f>""</f>
        <v/>
      </c>
      <c r="F2242" t="str">
        <f>""</f>
        <v/>
      </c>
      <c r="H2242" t="str">
        <f t="shared" si="42"/>
        <v>BCBS PAYABLE</v>
      </c>
    </row>
    <row r="2243" spans="5:8" x14ac:dyDescent="0.25">
      <c r="E2243" t="str">
        <f>""</f>
        <v/>
      </c>
      <c r="F2243" t="str">
        <f>""</f>
        <v/>
      </c>
      <c r="H2243" t="str">
        <f t="shared" si="42"/>
        <v>BCBS PAYABLE</v>
      </c>
    </row>
    <row r="2244" spans="5:8" x14ac:dyDescent="0.25">
      <c r="E2244" t="str">
        <f>""</f>
        <v/>
      </c>
      <c r="F2244" t="str">
        <f>""</f>
        <v/>
      </c>
      <c r="H2244" t="str">
        <f t="shared" si="42"/>
        <v>BCBS PAYABLE</v>
      </c>
    </row>
    <row r="2245" spans="5:8" x14ac:dyDescent="0.25">
      <c r="E2245" t="str">
        <f>""</f>
        <v/>
      </c>
      <c r="F2245" t="str">
        <f>""</f>
        <v/>
      </c>
      <c r="H2245" t="str">
        <f t="shared" si="42"/>
        <v>BCBS PAYABLE</v>
      </c>
    </row>
    <row r="2246" spans="5:8" x14ac:dyDescent="0.25">
      <c r="E2246" t="str">
        <f>""</f>
        <v/>
      </c>
      <c r="F2246" t="str">
        <f>""</f>
        <v/>
      </c>
      <c r="H2246" t="str">
        <f t="shared" si="42"/>
        <v>BCBS PAYABLE</v>
      </c>
    </row>
    <row r="2247" spans="5:8" x14ac:dyDescent="0.25">
      <c r="E2247" t="str">
        <f>""</f>
        <v/>
      </c>
      <c r="F2247" t="str">
        <f>""</f>
        <v/>
      </c>
      <c r="H2247" t="str">
        <f t="shared" si="42"/>
        <v>BCBS PAYABLE</v>
      </c>
    </row>
    <row r="2248" spans="5:8" x14ac:dyDescent="0.25">
      <c r="E2248" t="str">
        <f>""</f>
        <v/>
      </c>
      <c r="F2248" t="str">
        <f>""</f>
        <v/>
      </c>
      <c r="H2248" t="str">
        <f t="shared" si="42"/>
        <v>BCBS PAYABLE</v>
      </c>
    </row>
    <row r="2249" spans="5:8" x14ac:dyDescent="0.25">
      <c r="E2249" t="str">
        <f>""</f>
        <v/>
      </c>
      <c r="F2249" t="str">
        <f>""</f>
        <v/>
      </c>
      <c r="H2249" t="str">
        <f t="shared" si="42"/>
        <v>BCBS PAYABLE</v>
      </c>
    </row>
    <row r="2250" spans="5:8" x14ac:dyDescent="0.25">
      <c r="E2250" t="str">
        <f>""</f>
        <v/>
      </c>
      <c r="F2250" t="str">
        <f>""</f>
        <v/>
      </c>
      <c r="H2250" t="str">
        <f t="shared" si="42"/>
        <v>BCBS PAYABLE</v>
      </c>
    </row>
    <row r="2251" spans="5:8" x14ac:dyDescent="0.25">
      <c r="E2251" t="str">
        <f>""</f>
        <v/>
      </c>
      <c r="F2251" t="str">
        <f>""</f>
        <v/>
      </c>
      <c r="H2251" t="str">
        <f t="shared" si="42"/>
        <v>BCBS PAYABLE</v>
      </c>
    </row>
    <row r="2252" spans="5:8" x14ac:dyDescent="0.25">
      <c r="E2252" t="str">
        <f>""</f>
        <v/>
      </c>
      <c r="F2252" t="str">
        <f>""</f>
        <v/>
      </c>
      <c r="H2252" t="str">
        <f t="shared" si="42"/>
        <v>BCBS PAYABLE</v>
      </c>
    </row>
    <row r="2253" spans="5:8" x14ac:dyDescent="0.25">
      <c r="E2253" t="str">
        <f>""</f>
        <v/>
      </c>
      <c r="F2253" t="str">
        <f>""</f>
        <v/>
      </c>
      <c r="H2253" t="str">
        <f t="shared" si="42"/>
        <v>BCBS PAYABLE</v>
      </c>
    </row>
    <row r="2254" spans="5:8" x14ac:dyDescent="0.25">
      <c r="E2254" t="str">
        <f>""</f>
        <v/>
      </c>
      <c r="F2254" t="str">
        <f>""</f>
        <v/>
      </c>
      <c r="H2254" t="str">
        <f t="shared" si="42"/>
        <v>BCBS PAYABLE</v>
      </c>
    </row>
    <row r="2255" spans="5:8" x14ac:dyDescent="0.25">
      <c r="E2255" t="str">
        <f>""</f>
        <v/>
      </c>
      <c r="F2255" t="str">
        <f>""</f>
        <v/>
      </c>
      <c r="H2255" t="str">
        <f t="shared" si="42"/>
        <v>BCBS PAYABLE</v>
      </c>
    </row>
    <row r="2256" spans="5:8" x14ac:dyDescent="0.25">
      <c r="E2256" t="str">
        <f>""</f>
        <v/>
      </c>
      <c r="F2256" t="str">
        <f>""</f>
        <v/>
      </c>
      <c r="H2256" t="str">
        <f t="shared" si="42"/>
        <v>BCBS PAYABLE</v>
      </c>
    </row>
    <row r="2257" spans="5:8" x14ac:dyDescent="0.25">
      <c r="E2257" t="str">
        <f>""</f>
        <v/>
      </c>
      <c r="F2257" t="str">
        <f>""</f>
        <v/>
      </c>
      <c r="H2257" t="str">
        <f t="shared" si="42"/>
        <v>BCBS PAYABLE</v>
      </c>
    </row>
    <row r="2258" spans="5:8" x14ac:dyDescent="0.25">
      <c r="E2258" t="str">
        <f>""</f>
        <v/>
      </c>
      <c r="F2258" t="str">
        <f>""</f>
        <v/>
      </c>
      <c r="H2258" t="str">
        <f t="shared" si="42"/>
        <v>BCBS PAYABLE</v>
      </c>
    </row>
    <row r="2259" spans="5:8" x14ac:dyDescent="0.25">
      <c r="E2259" t="str">
        <f>""</f>
        <v/>
      </c>
      <c r="F2259" t="str">
        <f>""</f>
        <v/>
      </c>
      <c r="H2259" t="str">
        <f t="shared" si="42"/>
        <v>BCBS PAYABLE</v>
      </c>
    </row>
    <row r="2260" spans="5:8" x14ac:dyDescent="0.25">
      <c r="E2260" t="str">
        <f>""</f>
        <v/>
      </c>
      <c r="F2260" t="str">
        <f>""</f>
        <v/>
      </c>
      <c r="H2260" t="str">
        <f t="shared" si="42"/>
        <v>BCBS PAYABLE</v>
      </c>
    </row>
    <row r="2261" spans="5:8" x14ac:dyDescent="0.25">
      <c r="E2261" t="str">
        <f>""</f>
        <v/>
      </c>
      <c r="F2261" t="str">
        <f>""</f>
        <v/>
      </c>
      <c r="H2261" t="str">
        <f t="shared" si="42"/>
        <v>BCBS PAYABLE</v>
      </c>
    </row>
    <row r="2262" spans="5:8" x14ac:dyDescent="0.25">
      <c r="E2262" t="str">
        <f>""</f>
        <v/>
      </c>
      <c r="F2262" t="str">
        <f>""</f>
        <v/>
      </c>
      <c r="H2262" t="str">
        <f t="shared" si="42"/>
        <v>BCBS PAYABLE</v>
      </c>
    </row>
    <row r="2263" spans="5:8" x14ac:dyDescent="0.25">
      <c r="E2263" t="str">
        <f>""</f>
        <v/>
      </c>
      <c r="F2263" t="str">
        <f>""</f>
        <v/>
      </c>
      <c r="H2263" t="str">
        <f t="shared" si="42"/>
        <v>BCBS PAYABLE</v>
      </c>
    </row>
    <row r="2264" spans="5:8" x14ac:dyDescent="0.25">
      <c r="E2264" t="str">
        <f>""</f>
        <v/>
      </c>
      <c r="F2264" t="str">
        <f>""</f>
        <v/>
      </c>
      <c r="H2264" t="str">
        <f t="shared" si="42"/>
        <v>BCBS PAYABLE</v>
      </c>
    </row>
    <row r="2265" spans="5:8" x14ac:dyDescent="0.25">
      <c r="E2265" t="str">
        <f>""</f>
        <v/>
      </c>
      <c r="F2265" t="str">
        <f>""</f>
        <v/>
      </c>
      <c r="H2265" t="str">
        <f t="shared" ref="H2265:H2296" si="43">"BCBS PAYABLE"</f>
        <v>BCBS PAYABLE</v>
      </c>
    </row>
    <row r="2266" spans="5:8" x14ac:dyDescent="0.25">
      <c r="E2266" t="str">
        <f>""</f>
        <v/>
      </c>
      <c r="F2266" t="str">
        <f>""</f>
        <v/>
      </c>
      <c r="H2266" t="str">
        <f t="shared" si="43"/>
        <v>BCBS PAYABLE</v>
      </c>
    </row>
    <row r="2267" spans="5:8" x14ac:dyDescent="0.25">
      <c r="E2267" t="str">
        <f>""</f>
        <v/>
      </c>
      <c r="F2267" t="str">
        <f>""</f>
        <v/>
      </c>
      <c r="H2267" t="str">
        <f t="shared" si="43"/>
        <v>BCBS PAYABLE</v>
      </c>
    </row>
    <row r="2268" spans="5:8" x14ac:dyDescent="0.25">
      <c r="E2268" t="str">
        <f>""</f>
        <v/>
      </c>
      <c r="F2268" t="str">
        <f>""</f>
        <v/>
      </c>
      <c r="H2268" t="str">
        <f t="shared" si="43"/>
        <v>BCBS PAYABLE</v>
      </c>
    </row>
    <row r="2269" spans="5:8" x14ac:dyDescent="0.25">
      <c r="E2269" t="str">
        <f>""</f>
        <v/>
      </c>
      <c r="F2269" t="str">
        <f>""</f>
        <v/>
      </c>
      <c r="H2269" t="str">
        <f t="shared" si="43"/>
        <v>BCBS PAYABLE</v>
      </c>
    </row>
    <row r="2270" spans="5:8" x14ac:dyDescent="0.25">
      <c r="E2270" t="str">
        <f>""</f>
        <v/>
      </c>
      <c r="F2270" t="str">
        <f>""</f>
        <v/>
      </c>
      <c r="H2270" t="str">
        <f t="shared" si="43"/>
        <v>BCBS PAYABLE</v>
      </c>
    </row>
    <row r="2271" spans="5:8" x14ac:dyDescent="0.25">
      <c r="E2271" t="str">
        <f>""</f>
        <v/>
      </c>
      <c r="F2271" t="str">
        <f>""</f>
        <v/>
      </c>
      <c r="H2271" t="str">
        <f t="shared" si="43"/>
        <v>BCBS PAYABLE</v>
      </c>
    </row>
    <row r="2272" spans="5:8" x14ac:dyDescent="0.25">
      <c r="E2272" t="str">
        <f>""</f>
        <v/>
      </c>
      <c r="F2272" t="str">
        <f>""</f>
        <v/>
      </c>
      <c r="H2272" t="str">
        <f t="shared" si="43"/>
        <v>BCBS PAYABLE</v>
      </c>
    </row>
    <row r="2273" spans="5:8" x14ac:dyDescent="0.25">
      <c r="E2273" t="str">
        <f>""</f>
        <v/>
      </c>
      <c r="F2273" t="str">
        <f>""</f>
        <v/>
      </c>
      <c r="H2273" t="str">
        <f t="shared" si="43"/>
        <v>BCBS PAYABLE</v>
      </c>
    </row>
    <row r="2274" spans="5:8" x14ac:dyDescent="0.25">
      <c r="E2274" t="str">
        <f>"2EO202007228006"</f>
        <v>2EO202007228006</v>
      </c>
      <c r="F2274" t="str">
        <f>"BCBS PAYABLE"</f>
        <v>BCBS PAYABLE</v>
      </c>
      <c r="G2274" s="2">
        <v>4314.4399999999996</v>
      </c>
      <c r="H2274" t="str">
        <f t="shared" si="43"/>
        <v>BCBS PAYABLE</v>
      </c>
    </row>
    <row r="2275" spans="5:8" x14ac:dyDescent="0.25">
      <c r="E2275" t="str">
        <f>"2ES202007087798"</f>
        <v>2ES202007087798</v>
      </c>
      <c r="F2275" t="str">
        <f>"BCBS PAYABLE"</f>
        <v>BCBS PAYABLE</v>
      </c>
      <c r="G2275" s="2">
        <v>14250.6</v>
      </c>
      <c r="H2275" t="str">
        <f t="shared" si="43"/>
        <v>BCBS PAYABLE</v>
      </c>
    </row>
    <row r="2276" spans="5:8" x14ac:dyDescent="0.25">
      <c r="E2276" t="str">
        <f>""</f>
        <v/>
      </c>
      <c r="F2276" t="str">
        <f>""</f>
        <v/>
      </c>
      <c r="H2276" t="str">
        <f t="shared" si="43"/>
        <v>BCBS PAYABLE</v>
      </c>
    </row>
    <row r="2277" spans="5:8" x14ac:dyDescent="0.25">
      <c r="E2277" t="str">
        <f>""</f>
        <v/>
      </c>
      <c r="F2277" t="str">
        <f>""</f>
        <v/>
      </c>
      <c r="H2277" t="str">
        <f t="shared" si="43"/>
        <v>BCBS PAYABLE</v>
      </c>
    </row>
    <row r="2278" spans="5:8" x14ac:dyDescent="0.25">
      <c r="E2278" t="str">
        <f>""</f>
        <v/>
      </c>
      <c r="F2278" t="str">
        <f>""</f>
        <v/>
      </c>
      <c r="H2278" t="str">
        <f t="shared" si="43"/>
        <v>BCBS PAYABLE</v>
      </c>
    </row>
    <row r="2279" spans="5:8" x14ac:dyDescent="0.25">
      <c r="E2279" t="str">
        <f>""</f>
        <v/>
      </c>
      <c r="F2279" t="str">
        <f>""</f>
        <v/>
      </c>
      <c r="H2279" t="str">
        <f t="shared" si="43"/>
        <v>BCBS PAYABLE</v>
      </c>
    </row>
    <row r="2280" spans="5:8" x14ac:dyDescent="0.25">
      <c r="E2280" t="str">
        <f>""</f>
        <v/>
      </c>
      <c r="F2280" t="str">
        <f>""</f>
        <v/>
      </c>
      <c r="H2280" t="str">
        <f t="shared" si="43"/>
        <v>BCBS PAYABLE</v>
      </c>
    </row>
    <row r="2281" spans="5:8" x14ac:dyDescent="0.25">
      <c r="E2281" t="str">
        <f>""</f>
        <v/>
      </c>
      <c r="F2281" t="str">
        <f>""</f>
        <v/>
      </c>
      <c r="H2281" t="str">
        <f t="shared" si="43"/>
        <v>BCBS PAYABLE</v>
      </c>
    </row>
    <row r="2282" spans="5:8" x14ac:dyDescent="0.25">
      <c r="E2282" t="str">
        <f>""</f>
        <v/>
      </c>
      <c r="F2282" t="str">
        <f>""</f>
        <v/>
      </c>
      <c r="H2282" t="str">
        <f t="shared" si="43"/>
        <v>BCBS PAYABLE</v>
      </c>
    </row>
    <row r="2283" spans="5:8" x14ac:dyDescent="0.25">
      <c r="E2283" t="str">
        <f>""</f>
        <v/>
      </c>
      <c r="F2283" t="str">
        <f>""</f>
        <v/>
      </c>
      <c r="H2283" t="str">
        <f t="shared" si="43"/>
        <v>BCBS PAYABLE</v>
      </c>
    </row>
    <row r="2284" spans="5:8" x14ac:dyDescent="0.25">
      <c r="E2284" t="str">
        <f>""</f>
        <v/>
      </c>
      <c r="F2284" t="str">
        <f>""</f>
        <v/>
      </c>
      <c r="H2284" t="str">
        <f t="shared" si="43"/>
        <v>BCBS PAYABLE</v>
      </c>
    </row>
    <row r="2285" spans="5:8" x14ac:dyDescent="0.25">
      <c r="E2285" t="str">
        <f>""</f>
        <v/>
      </c>
      <c r="F2285" t="str">
        <f>""</f>
        <v/>
      </c>
      <c r="H2285" t="str">
        <f t="shared" si="43"/>
        <v>BCBS PAYABLE</v>
      </c>
    </row>
    <row r="2286" spans="5:8" x14ac:dyDescent="0.25">
      <c r="E2286" t="str">
        <f>""</f>
        <v/>
      </c>
      <c r="F2286" t="str">
        <f>""</f>
        <v/>
      </c>
      <c r="H2286" t="str">
        <f t="shared" si="43"/>
        <v>BCBS PAYABLE</v>
      </c>
    </row>
    <row r="2287" spans="5:8" x14ac:dyDescent="0.25">
      <c r="E2287" t="str">
        <f>""</f>
        <v/>
      </c>
      <c r="F2287" t="str">
        <f>""</f>
        <v/>
      </c>
      <c r="H2287" t="str">
        <f t="shared" si="43"/>
        <v>BCBS PAYABLE</v>
      </c>
    </row>
    <row r="2288" spans="5:8" x14ac:dyDescent="0.25">
      <c r="E2288" t="str">
        <f>""</f>
        <v/>
      </c>
      <c r="F2288" t="str">
        <f>""</f>
        <v/>
      </c>
      <c r="H2288" t="str">
        <f t="shared" si="43"/>
        <v>BCBS PAYABLE</v>
      </c>
    </row>
    <row r="2289" spans="5:8" x14ac:dyDescent="0.25">
      <c r="E2289" t="str">
        <f>""</f>
        <v/>
      </c>
      <c r="F2289" t="str">
        <f>""</f>
        <v/>
      </c>
      <c r="H2289" t="str">
        <f t="shared" si="43"/>
        <v>BCBS PAYABLE</v>
      </c>
    </row>
    <row r="2290" spans="5:8" x14ac:dyDescent="0.25">
      <c r="E2290" t="str">
        <f>"2ES202007228005"</f>
        <v>2ES202007228005</v>
      </c>
      <c r="F2290" t="str">
        <f>"BCBS PAYABLE"</f>
        <v>BCBS PAYABLE</v>
      </c>
      <c r="G2290" s="2">
        <v>14250.6</v>
      </c>
      <c r="H2290" t="str">
        <f t="shared" si="43"/>
        <v>BCBS PAYABLE</v>
      </c>
    </row>
    <row r="2291" spans="5:8" x14ac:dyDescent="0.25">
      <c r="E2291" t="str">
        <f>""</f>
        <v/>
      </c>
      <c r="F2291" t="str">
        <f>""</f>
        <v/>
      </c>
      <c r="H2291" t="str">
        <f t="shared" si="43"/>
        <v>BCBS PAYABLE</v>
      </c>
    </row>
    <row r="2292" spans="5:8" x14ac:dyDescent="0.25">
      <c r="E2292" t="str">
        <f>""</f>
        <v/>
      </c>
      <c r="F2292" t="str">
        <f>""</f>
        <v/>
      </c>
      <c r="H2292" t="str">
        <f t="shared" si="43"/>
        <v>BCBS PAYABLE</v>
      </c>
    </row>
    <row r="2293" spans="5:8" x14ac:dyDescent="0.25">
      <c r="E2293" t="str">
        <f>""</f>
        <v/>
      </c>
      <c r="F2293" t="str">
        <f>""</f>
        <v/>
      </c>
      <c r="H2293" t="str">
        <f t="shared" si="43"/>
        <v>BCBS PAYABLE</v>
      </c>
    </row>
    <row r="2294" spans="5:8" x14ac:dyDescent="0.25">
      <c r="E2294" t="str">
        <f>""</f>
        <v/>
      </c>
      <c r="F2294" t="str">
        <f>""</f>
        <v/>
      </c>
      <c r="H2294" t="str">
        <f t="shared" si="43"/>
        <v>BCBS PAYABLE</v>
      </c>
    </row>
    <row r="2295" spans="5:8" x14ac:dyDescent="0.25">
      <c r="E2295" t="str">
        <f>""</f>
        <v/>
      </c>
      <c r="F2295" t="str">
        <f>""</f>
        <v/>
      </c>
      <c r="H2295" t="str">
        <f t="shared" si="43"/>
        <v>BCBS PAYABLE</v>
      </c>
    </row>
    <row r="2296" spans="5:8" x14ac:dyDescent="0.25">
      <c r="E2296" t="str">
        <f>""</f>
        <v/>
      </c>
      <c r="F2296" t="str">
        <f>""</f>
        <v/>
      </c>
      <c r="H2296" t="str">
        <f t="shared" si="43"/>
        <v>BCBS PAYABLE</v>
      </c>
    </row>
    <row r="2297" spans="5:8" x14ac:dyDescent="0.25">
      <c r="E2297" t="str">
        <f>""</f>
        <v/>
      </c>
      <c r="F2297" t="str">
        <f>""</f>
        <v/>
      </c>
      <c r="H2297" t="str">
        <f t="shared" ref="H2297:H2304" si="44">"BCBS PAYABLE"</f>
        <v>BCBS PAYABLE</v>
      </c>
    </row>
    <row r="2298" spans="5:8" x14ac:dyDescent="0.25">
      <c r="E2298" t="str">
        <f>""</f>
        <v/>
      </c>
      <c r="F2298" t="str">
        <f>""</f>
        <v/>
      </c>
      <c r="H2298" t="str">
        <f t="shared" si="44"/>
        <v>BCBS PAYABLE</v>
      </c>
    </row>
    <row r="2299" spans="5:8" x14ac:dyDescent="0.25">
      <c r="E2299" t="str">
        <f>""</f>
        <v/>
      </c>
      <c r="F2299" t="str">
        <f>""</f>
        <v/>
      </c>
      <c r="H2299" t="str">
        <f t="shared" si="44"/>
        <v>BCBS PAYABLE</v>
      </c>
    </row>
    <row r="2300" spans="5:8" x14ac:dyDescent="0.25">
      <c r="E2300" t="str">
        <f>""</f>
        <v/>
      </c>
      <c r="F2300" t="str">
        <f>""</f>
        <v/>
      </c>
      <c r="H2300" t="str">
        <f t="shared" si="44"/>
        <v>BCBS PAYABLE</v>
      </c>
    </row>
    <row r="2301" spans="5:8" x14ac:dyDescent="0.25">
      <c r="E2301" t="str">
        <f>""</f>
        <v/>
      </c>
      <c r="F2301" t="str">
        <f>""</f>
        <v/>
      </c>
      <c r="H2301" t="str">
        <f t="shared" si="44"/>
        <v>BCBS PAYABLE</v>
      </c>
    </row>
    <row r="2302" spans="5:8" x14ac:dyDescent="0.25">
      <c r="E2302" t="str">
        <f>""</f>
        <v/>
      </c>
      <c r="F2302" t="str">
        <f>""</f>
        <v/>
      </c>
      <c r="H2302" t="str">
        <f t="shared" si="44"/>
        <v>BCBS PAYABLE</v>
      </c>
    </row>
    <row r="2303" spans="5:8" x14ac:dyDescent="0.25">
      <c r="E2303" t="str">
        <f>""</f>
        <v/>
      </c>
      <c r="F2303" t="str">
        <f>""</f>
        <v/>
      </c>
      <c r="H2303" t="str">
        <f t="shared" si="44"/>
        <v>BCBS PAYABLE</v>
      </c>
    </row>
    <row r="2304" spans="5:8" x14ac:dyDescent="0.25">
      <c r="E2304" t="str">
        <f>""</f>
        <v/>
      </c>
      <c r="F2304" t="str">
        <f>""</f>
        <v/>
      </c>
      <c r="H2304" t="str">
        <f t="shared" si="44"/>
        <v>BCBS PAYABLE</v>
      </c>
    </row>
    <row r="2305" spans="1:8" x14ac:dyDescent="0.25">
      <c r="A2305" t="s">
        <v>340</v>
      </c>
      <c r="B2305">
        <v>588</v>
      </c>
      <c r="C2305" s="2">
        <v>10438.73</v>
      </c>
      <c r="D2305" s="1">
        <v>44022</v>
      </c>
      <c r="E2305" t="str">
        <f>"FSA202007087798"</f>
        <v>FSA202007087798</v>
      </c>
      <c r="F2305" t="str">
        <f>"TASC FSA"</f>
        <v>TASC FSA</v>
      </c>
      <c r="G2305" s="2">
        <v>7746.31</v>
      </c>
      <c r="H2305" t="str">
        <f>"TASC FSA"</f>
        <v>TASC FSA</v>
      </c>
    </row>
    <row r="2306" spans="1:8" x14ac:dyDescent="0.25">
      <c r="E2306" t="str">
        <f>"FSA202007087799"</f>
        <v>FSA202007087799</v>
      </c>
      <c r="F2306" t="str">
        <f>"TASC FSA"</f>
        <v>TASC FSA</v>
      </c>
      <c r="G2306" s="2">
        <v>445.4</v>
      </c>
      <c r="H2306" t="str">
        <f>"TASC FSA"</f>
        <v>TASC FSA</v>
      </c>
    </row>
    <row r="2307" spans="1:8" x14ac:dyDescent="0.25">
      <c r="E2307" t="str">
        <f>"FSC202007087798"</f>
        <v>FSC202007087798</v>
      </c>
      <c r="F2307" t="str">
        <f>"TASC DEPENDENT CARE"</f>
        <v>TASC DEPENDENT CARE</v>
      </c>
      <c r="G2307" s="2">
        <v>379.16</v>
      </c>
      <c r="H2307" t="str">
        <f>"TASC DEPENDENT CARE"</f>
        <v>TASC DEPENDENT CARE</v>
      </c>
    </row>
    <row r="2308" spans="1:8" x14ac:dyDescent="0.25">
      <c r="E2308" t="str">
        <f>"FSF202007087798"</f>
        <v>FSF202007087798</v>
      </c>
      <c r="F2308" t="str">
        <f>"TASC - FSA  FEES"</f>
        <v>TASC - FSA  FEES</v>
      </c>
      <c r="G2308" s="2">
        <v>255.6</v>
      </c>
      <c r="H2308" t="str">
        <f t="shared" ref="H2308:H2348" si="45">"TASC - FSA  FEES"</f>
        <v>TASC - FSA  FEES</v>
      </c>
    </row>
    <row r="2309" spans="1:8" x14ac:dyDescent="0.25">
      <c r="E2309" t="str">
        <f>""</f>
        <v/>
      </c>
      <c r="F2309" t="str">
        <f>""</f>
        <v/>
      </c>
      <c r="H2309" t="str">
        <f t="shared" si="45"/>
        <v>TASC - FSA  FEES</v>
      </c>
    </row>
    <row r="2310" spans="1:8" x14ac:dyDescent="0.25">
      <c r="E2310" t="str">
        <f>""</f>
        <v/>
      </c>
      <c r="F2310" t="str">
        <f>""</f>
        <v/>
      </c>
      <c r="H2310" t="str">
        <f t="shared" si="45"/>
        <v>TASC - FSA  FEES</v>
      </c>
    </row>
    <row r="2311" spans="1:8" x14ac:dyDescent="0.25">
      <c r="E2311" t="str">
        <f>""</f>
        <v/>
      </c>
      <c r="F2311" t="str">
        <f>""</f>
        <v/>
      </c>
      <c r="H2311" t="str">
        <f t="shared" si="45"/>
        <v>TASC - FSA  FEES</v>
      </c>
    </row>
    <row r="2312" spans="1:8" x14ac:dyDescent="0.25">
      <c r="E2312" t="str">
        <f>""</f>
        <v/>
      </c>
      <c r="F2312" t="str">
        <f>""</f>
        <v/>
      </c>
      <c r="H2312" t="str">
        <f t="shared" si="45"/>
        <v>TASC - FSA  FEES</v>
      </c>
    </row>
    <row r="2313" spans="1:8" x14ac:dyDescent="0.25">
      <c r="E2313" t="str">
        <f>""</f>
        <v/>
      </c>
      <c r="F2313" t="str">
        <f>""</f>
        <v/>
      </c>
      <c r="H2313" t="str">
        <f t="shared" si="45"/>
        <v>TASC - FSA  FEES</v>
      </c>
    </row>
    <row r="2314" spans="1:8" x14ac:dyDescent="0.25">
      <c r="E2314" t="str">
        <f>""</f>
        <v/>
      </c>
      <c r="F2314" t="str">
        <f>""</f>
        <v/>
      </c>
      <c r="H2314" t="str">
        <f t="shared" si="45"/>
        <v>TASC - FSA  FEES</v>
      </c>
    </row>
    <row r="2315" spans="1:8" x14ac:dyDescent="0.25">
      <c r="E2315" t="str">
        <f>""</f>
        <v/>
      </c>
      <c r="F2315" t="str">
        <f>""</f>
        <v/>
      </c>
      <c r="H2315" t="str">
        <f t="shared" si="45"/>
        <v>TASC - FSA  FEES</v>
      </c>
    </row>
    <row r="2316" spans="1:8" x14ac:dyDescent="0.25">
      <c r="E2316" t="str">
        <f>""</f>
        <v/>
      </c>
      <c r="F2316" t="str">
        <f>""</f>
        <v/>
      </c>
      <c r="H2316" t="str">
        <f t="shared" si="45"/>
        <v>TASC - FSA  FEES</v>
      </c>
    </row>
    <row r="2317" spans="1:8" x14ac:dyDescent="0.25">
      <c r="E2317" t="str">
        <f>""</f>
        <v/>
      </c>
      <c r="F2317" t="str">
        <f>""</f>
        <v/>
      </c>
      <c r="H2317" t="str">
        <f t="shared" si="45"/>
        <v>TASC - FSA  FEES</v>
      </c>
    </row>
    <row r="2318" spans="1:8" x14ac:dyDescent="0.25">
      <c r="E2318" t="str">
        <f>""</f>
        <v/>
      </c>
      <c r="F2318" t="str">
        <f>""</f>
        <v/>
      </c>
      <c r="H2318" t="str">
        <f t="shared" si="45"/>
        <v>TASC - FSA  FEES</v>
      </c>
    </row>
    <row r="2319" spans="1:8" x14ac:dyDescent="0.25">
      <c r="E2319" t="str">
        <f>""</f>
        <v/>
      </c>
      <c r="F2319" t="str">
        <f>""</f>
        <v/>
      </c>
      <c r="H2319" t="str">
        <f t="shared" si="45"/>
        <v>TASC - FSA  FEES</v>
      </c>
    </row>
    <row r="2320" spans="1:8" x14ac:dyDescent="0.25">
      <c r="E2320" t="str">
        <f>""</f>
        <v/>
      </c>
      <c r="F2320" t="str">
        <f>""</f>
        <v/>
      </c>
      <c r="H2320" t="str">
        <f t="shared" si="45"/>
        <v>TASC - FSA  FEES</v>
      </c>
    </row>
    <row r="2321" spans="5:8" x14ac:dyDescent="0.25">
      <c r="E2321" t="str">
        <f>""</f>
        <v/>
      </c>
      <c r="F2321" t="str">
        <f>""</f>
        <v/>
      </c>
      <c r="H2321" t="str">
        <f t="shared" si="45"/>
        <v>TASC - FSA  FEES</v>
      </c>
    </row>
    <row r="2322" spans="5:8" x14ac:dyDescent="0.25">
      <c r="E2322" t="str">
        <f>""</f>
        <v/>
      </c>
      <c r="F2322" t="str">
        <f>""</f>
        <v/>
      </c>
      <c r="H2322" t="str">
        <f t="shared" si="45"/>
        <v>TASC - FSA  FEES</v>
      </c>
    </row>
    <row r="2323" spans="5:8" x14ac:dyDescent="0.25">
      <c r="E2323" t="str">
        <f>""</f>
        <v/>
      </c>
      <c r="F2323" t="str">
        <f>""</f>
        <v/>
      </c>
      <c r="H2323" t="str">
        <f t="shared" si="45"/>
        <v>TASC - FSA  FEES</v>
      </c>
    </row>
    <row r="2324" spans="5:8" x14ac:dyDescent="0.25">
      <c r="E2324" t="str">
        <f>""</f>
        <v/>
      </c>
      <c r="F2324" t="str">
        <f>""</f>
        <v/>
      </c>
      <c r="H2324" t="str">
        <f t="shared" si="45"/>
        <v>TASC - FSA  FEES</v>
      </c>
    </row>
    <row r="2325" spans="5:8" x14ac:dyDescent="0.25">
      <c r="E2325" t="str">
        <f>""</f>
        <v/>
      </c>
      <c r="F2325" t="str">
        <f>""</f>
        <v/>
      </c>
      <c r="H2325" t="str">
        <f t="shared" si="45"/>
        <v>TASC - FSA  FEES</v>
      </c>
    </row>
    <row r="2326" spans="5:8" x14ac:dyDescent="0.25">
      <c r="E2326" t="str">
        <f>""</f>
        <v/>
      </c>
      <c r="F2326" t="str">
        <f>""</f>
        <v/>
      </c>
      <c r="H2326" t="str">
        <f t="shared" si="45"/>
        <v>TASC - FSA  FEES</v>
      </c>
    </row>
    <row r="2327" spans="5:8" x14ac:dyDescent="0.25">
      <c r="E2327" t="str">
        <f>""</f>
        <v/>
      </c>
      <c r="F2327" t="str">
        <f>""</f>
        <v/>
      </c>
      <c r="H2327" t="str">
        <f t="shared" si="45"/>
        <v>TASC - FSA  FEES</v>
      </c>
    </row>
    <row r="2328" spans="5:8" x14ac:dyDescent="0.25">
      <c r="E2328" t="str">
        <f>""</f>
        <v/>
      </c>
      <c r="F2328" t="str">
        <f>""</f>
        <v/>
      </c>
      <c r="H2328" t="str">
        <f t="shared" si="45"/>
        <v>TASC - FSA  FEES</v>
      </c>
    </row>
    <row r="2329" spans="5:8" x14ac:dyDescent="0.25">
      <c r="E2329" t="str">
        <f>""</f>
        <v/>
      </c>
      <c r="F2329" t="str">
        <f>""</f>
        <v/>
      </c>
      <c r="H2329" t="str">
        <f t="shared" si="45"/>
        <v>TASC - FSA  FEES</v>
      </c>
    </row>
    <row r="2330" spans="5:8" x14ac:dyDescent="0.25">
      <c r="E2330" t="str">
        <f>""</f>
        <v/>
      </c>
      <c r="F2330" t="str">
        <f>""</f>
        <v/>
      </c>
      <c r="H2330" t="str">
        <f t="shared" si="45"/>
        <v>TASC - FSA  FEES</v>
      </c>
    </row>
    <row r="2331" spans="5:8" x14ac:dyDescent="0.25">
      <c r="E2331" t="str">
        <f>""</f>
        <v/>
      </c>
      <c r="F2331" t="str">
        <f>""</f>
        <v/>
      </c>
      <c r="H2331" t="str">
        <f t="shared" si="45"/>
        <v>TASC - FSA  FEES</v>
      </c>
    </row>
    <row r="2332" spans="5:8" x14ac:dyDescent="0.25">
      <c r="E2332" t="str">
        <f>""</f>
        <v/>
      </c>
      <c r="F2332" t="str">
        <f>""</f>
        <v/>
      </c>
      <c r="H2332" t="str">
        <f t="shared" si="45"/>
        <v>TASC - FSA  FEES</v>
      </c>
    </row>
    <row r="2333" spans="5:8" x14ac:dyDescent="0.25">
      <c r="E2333" t="str">
        <f>""</f>
        <v/>
      </c>
      <c r="F2333" t="str">
        <f>""</f>
        <v/>
      </c>
      <c r="H2333" t="str">
        <f t="shared" si="45"/>
        <v>TASC - FSA  FEES</v>
      </c>
    </row>
    <row r="2334" spans="5:8" x14ac:dyDescent="0.25">
      <c r="E2334" t="str">
        <f>""</f>
        <v/>
      </c>
      <c r="F2334" t="str">
        <f>""</f>
        <v/>
      </c>
      <c r="H2334" t="str">
        <f t="shared" si="45"/>
        <v>TASC - FSA  FEES</v>
      </c>
    </row>
    <row r="2335" spans="5:8" x14ac:dyDescent="0.25">
      <c r="E2335" t="str">
        <f>""</f>
        <v/>
      </c>
      <c r="F2335" t="str">
        <f>""</f>
        <v/>
      </c>
      <c r="H2335" t="str">
        <f t="shared" si="45"/>
        <v>TASC - FSA  FEES</v>
      </c>
    </row>
    <row r="2336" spans="5:8" x14ac:dyDescent="0.25">
      <c r="E2336" t="str">
        <f>""</f>
        <v/>
      </c>
      <c r="F2336" t="str">
        <f>""</f>
        <v/>
      </c>
      <c r="H2336" t="str">
        <f t="shared" si="45"/>
        <v>TASC - FSA  FEES</v>
      </c>
    </row>
    <row r="2337" spans="5:8" x14ac:dyDescent="0.25">
      <c r="E2337" t="str">
        <f>""</f>
        <v/>
      </c>
      <c r="F2337" t="str">
        <f>""</f>
        <v/>
      </c>
      <c r="H2337" t="str">
        <f t="shared" si="45"/>
        <v>TASC - FSA  FEES</v>
      </c>
    </row>
    <row r="2338" spans="5:8" x14ac:dyDescent="0.25">
      <c r="E2338" t="str">
        <f>""</f>
        <v/>
      </c>
      <c r="F2338" t="str">
        <f>""</f>
        <v/>
      </c>
      <c r="H2338" t="str">
        <f t="shared" si="45"/>
        <v>TASC - FSA  FEES</v>
      </c>
    </row>
    <row r="2339" spans="5:8" x14ac:dyDescent="0.25">
      <c r="E2339" t="str">
        <f>""</f>
        <v/>
      </c>
      <c r="F2339" t="str">
        <f>""</f>
        <v/>
      </c>
      <c r="H2339" t="str">
        <f t="shared" si="45"/>
        <v>TASC - FSA  FEES</v>
      </c>
    </row>
    <row r="2340" spans="5:8" x14ac:dyDescent="0.25">
      <c r="E2340" t="str">
        <f>""</f>
        <v/>
      </c>
      <c r="F2340" t="str">
        <f>""</f>
        <v/>
      </c>
      <c r="H2340" t="str">
        <f t="shared" si="45"/>
        <v>TASC - FSA  FEES</v>
      </c>
    </row>
    <row r="2341" spans="5:8" x14ac:dyDescent="0.25">
      <c r="E2341" t="str">
        <f>""</f>
        <v/>
      </c>
      <c r="F2341" t="str">
        <f>""</f>
        <v/>
      </c>
      <c r="H2341" t="str">
        <f t="shared" si="45"/>
        <v>TASC - FSA  FEES</v>
      </c>
    </row>
    <row r="2342" spans="5:8" x14ac:dyDescent="0.25">
      <c r="E2342" t="str">
        <f>""</f>
        <v/>
      </c>
      <c r="F2342" t="str">
        <f>""</f>
        <v/>
      </c>
      <c r="H2342" t="str">
        <f t="shared" si="45"/>
        <v>TASC - FSA  FEES</v>
      </c>
    </row>
    <row r="2343" spans="5:8" x14ac:dyDescent="0.25">
      <c r="E2343" t="str">
        <f>""</f>
        <v/>
      </c>
      <c r="F2343" t="str">
        <f>""</f>
        <v/>
      </c>
      <c r="H2343" t="str">
        <f t="shared" si="45"/>
        <v>TASC - FSA  FEES</v>
      </c>
    </row>
    <row r="2344" spans="5:8" x14ac:dyDescent="0.25">
      <c r="E2344" t="str">
        <f>""</f>
        <v/>
      </c>
      <c r="F2344" t="str">
        <f>""</f>
        <v/>
      </c>
      <c r="H2344" t="str">
        <f t="shared" si="45"/>
        <v>TASC - FSA  FEES</v>
      </c>
    </row>
    <row r="2345" spans="5:8" x14ac:dyDescent="0.25">
      <c r="E2345" t="str">
        <f>""</f>
        <v/>
      </c>
      <c r="F2345" t="str">
        <f>""</f>
        <v/>
      </c>
      <c r="H2345" t="str">
        <f t="shared" si="45"/>
        <v>TASC - FSA  FEES</v>
      </c>
    </row>
    <row r="2346" spans="5:8" x14ac:dyDescent="0.25">
      <c r="E2346" t="str">
        <f>""</f>
        <v/>
      </c>
      <c r="F2346" t="str">
        <f>""</f>
        <v/>
      </c>
      <c r="H2346" t="str">
        <f t="shared" si="45"/>
        <v>TASC - FSA  FEES</v>
      </c>
    </row>
    <row r="2347" spans="5:8" x14ac:dyDescent="0.25">
      <c r="E2347" t="str">
        <f>""</f>
        <v/>
      </c>
      <c r="F2347" t="str">
        <f>""</f>
        <v/>
      </c>
      <c r="H2347" t="str">
        <f t="shared" si="45"/>
        <v>TASC - FSA  FEES</v>
      </c>
    </row>
    <row r="2348" spans="5:8" x14ac:dyDescent="0.25">
      <c r="E2348" t="str">
        <f>"FSF202007087799"</f>
        <v>FSF202007087799</v>
      </c>
      <c r="F2348" t="str">
        <f>"TASC - FSA  FEES"</f>
        <v>TASC - FSA  FEES</v>
      </c>
      <c r="G2348" s="2">
        <v>12.6</v>
      </c>
      <c r="H2348" t="str">
        <f t="shared" si="45"/>
        <v>TASC - FSA  FEES</v>
      </c>
    </row>
    <row r="2349" spans="5:8" x14ac:dyDescent="0.25">
      <c r="E2349" t="str">
        <f>"HRA202007087798"</f>
        <v>HRA202007087798</v>
      </c>
      <c r="F2349" t="str">
        <f>"TASC HRA"</f>
        <v>TASC HRA</v>
      </c>
      <c r="G2349" s="2">
        <v>750.06</v>
      </c>
      <c r="H2349" t="str">
        <f>"TASC HRA"</f>
        <v>TASC HRA</v>
      </c>
    </row>
    <row r="2350" spans="5:8" x14ac:dyDescent="0.25">
      <c r="E2350" t="str">
        <f>""</f>
        <v/>
      </c>
      <c r="F2350" t="str">
        <f>""</f>
        <v/>
      </c>
      <c r="H2350" t="str">
        <f>"TASC HRA"</f>
        <v>TASC HRA</v>
      </c>
    </row>
    <row r="2351" spans="5:8" x14ac:dyDescent="0.25">
      <c r="E2351" t="str">
        <f>""</f>
        <v/>
      </c>
      <c r="F2351" t="str">
        <f>""</f>
        <v/>
      </c>
      <c r="H2351" t="str">
        <f>"TASC HRA"</f>
        <v>TASC HRA</v>
      </c>
    </row>
    <row r="2352" spans="5:8" x14ac:dyDescent="0.25">
      <c r="E2352" t="str">
        <f>"HRF202007087798"</f>
        <v>HRF202007087798</v>
      </c>
      <c r="F2352" t="str">
        <f>"TASC - HRA FEES"</f>
        <v>TASC - HRA FEES</v>
      </c>
      <c r="G2352" s="2">
        <v>819</v>
      </c>
      <c r="H2352" t="str">
        <f t="shared" ref="H2352:H2383" si="46">"TASC - HRA FEES"</f>
        <v>TASC - HRA FEES</v>
      </c>
    </row>
    <row r="2353" spans="5:8" x14ac:dyDescent="0.25">
      <c r="E2353" t="str">
        <f>""</f>
        <v/>
      </c>
      <c r="F2353" t="str">
        <f>""</f>
        <v/>
      </c>
      <c r="H2353" t="str">
        <f t="shared" si="46"/>
        <v>TASC - HRA FEES</v>
      </c>
    </row>
    <row r="2354" spans="5:8" x14ac:dyDescent="0.25">
      <c r="E2354" t="str">
        <f>""</f>
        <v/>
      </c>
      <c r="F2354" t="str">
        <f>""</f>
        <v/>
      </c>
      <c r="H2354" t="str">
        <f t="shared" si="46"/>
        <v>TASC - HRA FEES</v>
      </c>
    </row>
    <row r="2355" spans="5:8" x14ac:dyDescent="0.25">
      <c r="E2355" t="str">
        <f>""</f>
        <v/>
      </c>
      <c r="F2355" t="str">
        <f>""</f>
        <v/>
      </c>
      <c r="H2355" t="str">
        <f t="shared" si="46"/>
        <v>TASC - HRA FEES</v>
      </c>
    </row>
    <row r="2356" spans="5:8" x14ac:dyDescent="0.25">
      <c r="E2356" t="str">
        <f>""</f>
        <v/>
      </c>
      <c r="F2356" t="str">
        <f>""</f>
        <v/>
      </c>
      <c r="H2356" t="str">
        <f t="shared" si="46"/>
        <v>TASC - HRA FEES</v>
      </c>
    </row>
    <row r="2357" spans="5:8" x14ac:dyDescent="0.25">
      <c r="E2357" t="str">
        <f>""</f>
        <v/>
      </c>
      <c r="F2357" t="str">
        <f>""</f>
        <v/>
      </c>
      <c r="H2357" t="str">
        <f t="shared" si="46"/>
        <v>TASC - HRA FEES</v>
      </c>
    </row>
    <row r="2358" spans="5:8" x14ac:dyDescent="0.25">
      <c r="E2358" t="str">
        <f>""</f>
        <v/>
      </c>
      <c r="F2358" t="str">
        <f>""</f>
        <v/>
      </c>
      <c r="H2358" t="str">
        <f t="shared" si="46"/>
        <v>TASC - HRA FEES</v>
      </c>
    </row>
    <row r="2359" spans="5:8" x14ac:dyDescent="0.25">
      <c r="E2359" t="str">
        <f>""</f>
        <v/>
      </c>
      <c r="F2359" t="str">
        <f>""</f>
        <v/>
      </c>
      <c r="H2359" t="str">
        <f t="shared" si="46"/>
        <v>TASC - HRA FEES</v>
      </c>
    </row>
    <row r="2360" spans="5:8" x14ac:dyDescent="0.25">
      <c r="E2360" t="str">
        <f>""</f>
        <v/>
      </c>
      <c r="F2360" t="str">
        <f>""</f>
        <v/>
      </c>
      <c r="H2360" t="str">
        <f t="shared" si="46"/>
        <v>TASC - HRA FEES</v>
      </c>
    </row>
    <row r="2361" spans="5:8" x14ac:dyDescent="0.25">
      <c r="E2361" t="str">
        <f>""</f>
        <v/>
      </c>
      <c r="F2361" t="str">
        <f>""</f>
        <v/>
      </c>
      <c r="H2361" t="str">
        <f t="shared" si="46"/>
        <v>TASC - HRA FEES</v>
      </c>
    </row>
    <row r="2362" spans="5:8" x14ac:dyDescent="0.25">
      <c r="E2362" t="str">
        <f>""</f>
        <v/>
      </c>
      <c r="F2362" t="str">
        <f>""</f>
        <v/>
      </c>
      <c r="H2362" t="str">
        <f t="shared" si="46"/>
        <v>TASC - HRA FEES</v>
      </c>
    </row>
    <row r="2363" spans="5:8" x14ac:dyDescent="0.25">
      <c r="E2363" t="str">
        <f>""</f>
        <v/>
      </c>
      <c r="F2363" t="str">
        <f>""</f>
        <v/>
      </c>
      <c r="H2363" t="str">
        <f t="shared" si="46"/>
        <v>TASC - HRA FEES</v>
      </c>
    </row>
    <row r="2364" spans="5:8" x14ac:dyDescent="0.25">
      <c r="E2364" t="str">
        <f>""</f>
        <v/>
      </c>
      <c r="F2364" t="str">
        <f>""</f>
        <v/>
      </c>
      <c r="H2364" t="str">
        <f t="shared" si="46"/>
        <v>TASC - HRA FEES</v>
      </c>
    </row>
    <row r="2365" spans="5:8" x14ac:dyDescent="0.25">
      <c r="E2365" t="str">
        <f>""</f>
        <v/>
      </c>
      <c r="F2365" t="str">
        <f>""</f>
        <v/>
      </c>
      <c r="H2365" t="str">
        <f t="shared" si="46"/>
        <v>TASC - HRA FEES</v>
      </c>
    </row>
    <row r="2366" spans="5:8" x14ac:dyDescent="0.25">
      <c r="E2366" t="str">
        <f>""</f>
        <v/>
      </c>
      <c r="F2366" t="str">
        <f>""</f>
        <v/>
      </c>
      <c r="H2366" t="str">
        <f t="shared" si="46"/>
        <v>TASC - HRA FEES</v>
      </c>
    </row>
    <row r="2367" spans="5:8" x14ac:dyDescent="0.25">
      <c r="E2367" t="str">
        <f>""</f>
        <v/>
      </c>
      <c r="F2367" t="str">
        <f>""</f>
        <v/>
      </c>
      <c r="H2367" t="str">
        <f t="shared" si="46"/>
        <v>TASC - HRA FEES</v>
      </c>
    </row>
    <row r="2368" spans="5:8" x14ac:dyDescent="0.25">
      <c r="E2368" t="str">
        <f>""</f>
        <v/>
      </c>
      <c r="F2368" t="str">
        <f>""</f>
        <v/>
      </c>
      <c r="H2368" t="str">
        <f t="shared" si="46"/>
        <v>TASC - HRA FEES</v>
      </c>
    </row>
    <row r="2369" spans="5:8" x14ac:dyDescent="0.25">
      <c r="E2369" t="str">
        <f>""</f>
        <v/>
      </c>
      <c r="F2369" t="str">
        <f>""</f>
        <v/>
      </c>
      <c r="H2369" t="str">
        <f t="shared" si="46"/>
        <v>TASC - HRA FEES</v>
      </c>
    </row>
    <row r="2370" spans="5:8" x14ac:dyDescent="0.25">
      <c r="E2370" t="str">
        <f>""</f>
        <v/>
      </c>
      <c r="F2370" t="str">
        <f>""</f>
        <v/>
      </c>
      <c r="H2370" t="str">
        <f t="shared" si="46"/>
        <v>TASC - HRA FEES</v>
      </c>
    </row>
    <row r="2371" spans="5:8" x14ac:dyDescent="0.25">
      <c r="E2371" t="str">
        <f>""</f>
        <v/>
      </c>
      <c r="F2371" t="str">
        <f>""</f>
        <v/>
      </c>
      <c r="H2371" t="str">
        <f t="shared" si="46"/>
        <v>TASC - HRA FEES</v>
      </c>
    </row>
    <row r="2372" spans="5:8" x14ac:dyDescent="0.25">
      <c r="E2372" t="str">
        <f>""</f>
        <v/>
      </c>
      <c r="F2372" t="str">
        <f>""</f>
        <v/>
      </c>
      <c r="H2372" t="str">
        <f t="shared" si="46"/>
        <v>TASC - HRA FEES</v>
      </c>
    </row>
    <row r="2373" spans="5:8" x14ac:dyDescent="0.25">
      <c r="E2373" t="str">
        <f>""</f>
        <v/>
      </c>
      <c r="F2373" t="str">
        <f>""</f>
        <v/>
      </c>
      <c r="H2373" t="str">
        <f t="shared" si="46"/>
        <v>TASC - HRA FEES</v>
      </c>
    </row>
    <row r="2374" spans="5:8" x14ac:dyDescent="0.25">
      <c r="E2374" t="str">
        <f>""</f>
        <v/>
      </c>
      <c r="F2374" t="str">
        <f>""</f>
        <v/>
      </c>
      <c r="H2374" t="str">
        <f t="shared" si="46"/>
        <v>TASC - HRA FEES</v>
      </c>
    </row>
    <row r="2375" spans="5:8" x14ac:dyDescent="0.25">
      <c r="E2375" t="str">
        <f>""</f>
        <v/>
      </c>
      <c r="F2375" t="str">
        <f>""</f>
        <v/>
      </c>
      <c r="H2375" t="str">
        <f t="shared" si="46"/>
        <v>TASC - HRA FEES</v>
      </c>
    </row>
    <row r="2376" spans="5:8" x14ac:dyDescent="0.25">
      <c r="E2376" t="str">
        <f>""</f>
        <v/>
      </c>
      <c r="F2376" t="str">
        <f>""</f>
        <v/>
      </c>
      <c r="H2376" t="str">
        <f t="shared" si="46"/>
        <v>TASC - HRA FEES</v>
      </c>
    </row>
    <row r="2377" spans="5:8" x14ac:dyDescent="0.25">
      <c r="E2377" t="str">
        <f>""</f>
        <v/>
      </c>
      <c r="F2377" t="str">
        <f>""</f>
        <v/>
      </c>
      <c r="H2377" t="str">
        <f t="shared" si="46"/>
        <v>TASC - HRA FEES</v>
      </c>
    </row>
    <row r="2378" spans="5:8" x14ac:dyDescent="0.25">
      <c r="E2378" t="str">
        <f>""</f>
        <v/>
      </c>
      <c r="F2378" t="str">
        <f>""</f>
        <v/>
      </c>
      <c r="H2378" t="str">
        <f t="shared" si="46"/>
        <v>TASC - HRA FEES</v>
      </c>
    </row>
    <row r="2379" spans="5:8" x14ac:dyDescent="0.25">
      <c r="E2379" t="str">
        <f>""</f>
        <v/>
      </c>
      <c r="F2379" t="str">
        <f>""</f>
        <v/>
      </c>
      <c r="H2379" t="str">
        <f t="shared" si="46"/>
        <v>TASC - HRA FEES</v>
      </c>
    </row>
    <row r="2380" spans="5:8" x14ac:dyDescent="0.25">
      <c r="E2380" t="str">
        <f>""</f>
        <v/>
      </c>
      <c r="F2380" t="str">
        <f>""</f>
        <v/>
      </c>
      <c r="H2380" t="str">
        <f t="shared" si="46"/>
        <v>TASC - HRA FEES</v>
      </c>
    </row>
    <row r="2381" spans="5:8" x14ac:dyDescent="0.25">
      <c r="E2381" t="str">
        <f>""</f>
        <v/>
      </c>
      <c r="F2381" t="str">
        <f>""</f>
        <v/>
      </c>
      <c r="H2381" t="str">
        <f t="shared" si="46"/>
        <v>TASC - HRA FEES</v>
      </c>
    </row>
    <row r="2382" spans="5:8" x14ac:dyDescent="0.25">
      <c r="E2382" t="str">
        <f>""</f>
        <v/>
      </c>
      <c r="F2382" t="str">
        <f>""</f>
        <v/>
      </c>
      <c r="H2382" t="str">
        <f t="shared" si="46"/>
        <v>TASC - HRA FEES</v>
      </c>
    </row>
    <row r="2383" spans="5:8" x14ac:dyDescent="0.25">
      <c r="E2383" t="str">
        <f>""</f>
        <v/>
      </c>
      <c r="F2383" t="str">
        <f>""</f>
        <v/>
      </c>
      <c r="H2383" t="str">
        <f t="shared" si="46"/>
        <v>TASC - HRA FEES</v>
      </c>
    </row>
    <row r="2384" spans="5:8" x14ac:dyDescent="0.25">
      <c r="E2384" t="str">
        <f>""</f>
        <v/>
      </c>
      <c r="F2384" t="str">
        <f>""</f>
        <v/>
      </c>
      <c r="H2384" t="str">
        <f t="shared" ref="H2384:H2403" si="47">"TASC - HRA FEES"</f>
        <v>TASC - HRA FEES</v>
      </c>
    </row>
    <row r="2385" spans="5:8" x14ac:dyDescent="0.25">
      <c r="E2385" t="str">
        <f>""</f>
        <v/>
      </c>
      <c r="F2385" t="str">
        <f>""</f>
        <v/>
      </c>
      <c r="H2385" t="str">
        <f t="shared" si="47"/>
        <v>TASC - HRA FEES</v>
      </c>
    </row>
    <row r="2386" spans="5:8" x14ac:dyDescent="0.25">
      <c r="E2386" t="str">
        <f>""</f>
        <v/>
      </c>
      <c r="F2386" t="str">
        <f>""</f>
        <v/>
      </c>
      <c r="H2386" t="str">
        <f t="shared" si="47"/>
        <v>TASC - HRA FEES</v>
      </c>
    </row>
    <row r="2387" spans="5:8" x14ac:dyDescent="0.25">
      <c r="E2387" t="str">
        <f>""</f>
        <v/>
      </c>
      <c r="F2387" t="str">
        <f>""</f>
        <v/>
      </c>
      <c r="H2387" t="str">
        <f t="shared" si="47"/>
        <v>TASC - HRA FEES</v>
      </c>
    </row>
    <row r="2388" spans="5:8" x14ac:dyDescent="0.25">
      <c r="E2388" t="str">
        <f>""</f>
        <v/>
      </c>
      <c r="F2388" t="str">
        <f>""</f>
        <v/>
      </c>
      <c r="H2388" t="str">
        <f t="shared" si="47"/>
        <v>TASC - HRA FEES</v>
      </c>
    </row>
    <row r="2389" spans="5:8" x14ac:dyDescent="0.25">
      <c r="E2389" t="str">
        <f>""</f>
        <v/>
      </c>
      <c r="F2389" t="str">
        <f>""</f>
        <v/>
      </c>
      <c r="H2389" t="str">
        <f t="shared" si="47"/>
        <v>TASC - HRA FEES</v>
      </c>
    </row>
    <row r="2390" spans="5:8" x14ac:dyDescent="0.25">
      <c r="E2390" t="str">
        <f>""</f>
        <v/>
      </c>
      <c r="F2390" t="str">
        <f>""</f>
        <v/>
      </c>
      <c r="H2390" t="str">
        <f t="shared" si="47"/>
        <v>TASC - HRA FEES</v>
      </c>
    </row>
    <row r="2391" spans="5:8" x14ac:dyDescent="0.25">
      <c r="E2391" t="str">
        <f>""</f>
        <v/>
      </c>
      <c r="F2391" t="str">
        <f>""</f>
        <v/>
      </c>
      <c r="H2391" t="str">
        <f t="shared" si="47"/>
        <v>TASC - HRA FEES</v>
      </c>
    </row>
    <row r="2392" spans="5:8" x14ac:dyDescent="0.25">
      <c r="E2392" t="str">
        <f>""</f>
        <v/>
      </c>
      <c r="F2392" t="str">
        <f>""</f>
        <v/>
      </c>
      <c r="H2392" t="str">
        <f t="shared" si="47"/>
        <v>TASC - HRA FEES</v>
      </c>
    </row>
    <row r="2393" spans="5:8" x14ac:dyDescent="0.25">
      <c r="E2393" t="str">
        <f>""</f>
        <v/>
      </c>
      <c r="F2393" t="str">
        <f>""</f>
        <v/>
      </c>
      <c r="H2393" t="str">
        <f t="shared" si="47"/>
        <v>TASC - HRA FEES</v>
      </c>
    </row>
    <row r="2394" spans="5:8" x14ac:dyDescent="0.25">
      <c r="E2394" t="str">
        <f>""</f>
        <v/>
      </c>
      <c r="F2394" t="str">
        <f>""</f>
        <v/>
      </c>
      <c r="H2394" t="str">
        <f t="shared" si="47"/>
        <v>TASC - HRA FEES</v>
      </c>
    </row>
    <row r="2395" spans="5:8" x14ac:dyDescent="0.25">
      <c r="E2395" t="str">
        <f>""</f>
        <v/>
      </c>
      <c r="F2395" t="str">
        <f>""</f>
        <v/>
      </c>
      <c r="H2395" t="str">
        <f t="shared" si="47"/>
        <v>TASC - HRA FEES</v>
      </c>
    </row>
    <row r="2396" spans="5:8" x14ac:dyDescent="0.25">
      <c r="E2396" t="str">
        <f>""</f>
        <v/>
      </c>
      <c r="F2396" t="str">
        <f>""</f>
        <v/>
      </c>
      <c r="H2396" t="str">
        <f t="shared" si="47"/>
        <v>TASC - HRA FEES</v>
      </c>
    </row>
    <row r="2397" spans="5:8" x14ac:dyDescent="0.25">
      <c r="E2397" t="str">
        <f>""</f>
        <v/>
      </c>
      <c r="F2397" t="str">
        <f>""</f>
        <v/>
      </c>
      <c r="H2397" t="str">
        <f t="shared" si="47"/>
        <v>TASC - HRA FEES</v>
      </c>
    </row>
    <row r="2398" spans="5:8" x14ac:dyDescent="0.25">
      <c r="E2398" t="str">
        <f>""</f>
        <v/>
      </c>
      <c r="F2398" t="str">
        <f>""</f>
        <v/>
      </c>
      <c r="H2398" t="str">
        <f t="shared" si="47"/>
        <v>TASC - HRA FEES</v>
      </c>
    </row>
    <row r="2399" spans="5:8" x14ac:dyDescent="0.25">
      <c r="E2399" t="str">
        <f>""</f>
        <v/>
      </c>
      <c r="F2399" t="str">
        <f>""</f>
        <v/>
      </c>
      <c r="H2399" t="str">
        <f t="shared" si="47"/>
        <v>TASC - HRA FEES</v>
      </c>
    </row>
    <row r="2400" spans="5:8" x14ac:dyDescent="0.25">
      <c r="E2400" t="str">
        <f>""</f>
        <v/>
      </c>
      <c r="F2400" t="str">
        <f>""</f>
        <v/>
      </c>
      <c r="H2400" t="str">
        <f t="shared" si="47"/>
        <v>TASC - HRA FEES</v>
      </c>
    </row>
    <row r="2401" spans="1:8" x14ac:dyDescent="0.25">
      <c r="E2401" t="str">
        <f>""</f>
        <v/>
      </c>
      <c r="F2401" t="str">
        <f>""</f>
        <v/>
      </c>
      <c r="H2401" t="str">
        <f t="shared" si="47"/>
        <v>TASC - HRA FEES</v>
      </c>
    </row>
    <row r="2402" spans="1:8" x14ac:dyDescent="0.25">
      <c r="E2402" t="str">
        <f>""</f>
        <v/>
      </c>
      <c r="F2402" t="str">
        <f>""</f>
        <v/>
      </c>
      <c r="H2402" t="str">
        <f t="shared" si="47"/>
        <v>TASC - HRA FEES</v>
      </c>
    </row>
    <row r="2403" spans="1:8" x14ac:dyDescent="0.25">
      <c r="E2403" t="str">
        <f>"HRF202007087799"</f>
        <v>HRF202007087799</v>
      </c>
      <c r="F2403" t="str">
        <f>"TASC - HRA FEES"</f>
        <v>TASC - HRA FEES</v>
      </c>
      <c r="G2403" s="2">
        <v>30.6</v>
      </c>
      <c r="H2403" t="str">
        <f t="shared" si="47"/>
        <v>TASC - HRA FEES</v>
      </c>
    </row>
    <row r="2404" spans="1:8" x14ac:dyDescent="0.25">
      <c r="A2404" t="s">
        <v>340</v>
      </c>
      <c r="B2404">
        <v>633</v>
      </c>
      <c r="C2404" s="2">
        <v>9487.91</v>
      </c>
      <c r="D2404" s="1">
        <v>44036</v>
      </c>
      <c r="E2404" t="str">
        <f>"FSA202007228005"</f>
        <v>FSA202007228005</v>
      </c>
      <c r="F2404" t="str">
        <f>"TASC FSA"</f>
        <v>TASC FSA</v>
      </c>
      <c r="G2404" s="2">
        <v>7633.81</v>
      </c>
      <c r="H2404" t="str">
        <f>"TASC FSA"</f>
        <v>TASC FSA</v>
      </c>
    </row>
    <row r="2405" spans="1:8" x14ac:dyDescent="0.25">
      <c r="E2405" t="str">
        <f>"FSA202007228006"</f>
        <v>FSA202007228006</v>
      </c>
      <c r="F2405" t="str">
        <f>"TASC FSA"</f>
        <v>TASC FSA</v>
      </c>
      <c r="G2405" s="2">
        <v>445.4</v>
      </c>
      <c r="H2405" t="str">
        <f>"TASC FSA"</f>
        <v>TASC FSA</v>
      </c>
    </row>
    <row r="2406" spans="1:8" x14ac:dyDescent="0.25">
      <c r="E2406" t="str">
        <f>"FSC202007228005"</f>
        <v>FSC202007228005</v>
      </c>
      <c r="F2406" t="str">
        <f>"TASC DEPENDENT CARE"</f>
        <v>TASC DEPENDENT CARE</v>
      </c>
      <c r="G2406" s="2">
        <v>312.5</v>
      </c>
      <c r="H2406" t="str">
        <f>"TASC DEPENDENT CARE"</f>
        <v>TASC DEPENDENT CARE</v>
      </c>
    </row>
    <row r="2407" spans="1:8" x14ac:dyDescent="0.25">
      <c r="E2407" t="str">
        <f>"FSF202007228005"</f>
        <v>FSF202007228005</v>
      </c>
      <c r="F2407" t="str">
        <f>"TASC - FSA  FEES"</f>
        <v>TASC - FSA  FEES</v>
      </c>
      <c r="G2407" s="2">
        <v>248.4</v>
      </c>
      <c r="H2407" t="str">
        <f t="shared" ref="H2407:H2447" si="48">"TASC - FSA  FEES"</f>
        <v>TASC - FSA  FEES</v>
      </c>
    </row>
    <row r="2408" spans="1:8" x14ac:dyDescent="0.25">
      <c r="E2408" t="str">
        <f>""</f>
        <v/>
      </c>
      <c r="F2408" t="str">
        <f>""</f>
        <v/>
      </c>
      <c r="H2408" t="str">
        <f t="shared" si="48"/>
        <v>TASC - FSA  FEES</v>
      </c>
    </row>
    <row r="2409" spans="1:8" x14ac:dyDescent="0.25">
      <c r="E2409" t="str">
        <f>""</f>
        <v/>
      </c>
      <c r="F2409" t="str">
        <f>""</f>
        <v/>
      </c>
      <c r="H2409" t="str">
        <f t="shared" si="48"/>
        <v>TASC - FSA  FEES</v>
      </c>
    </row>
    <row r="2410" spans="1:8" x14ac:dyDescent="0.25">
      <c r="E2410" t="str">
        <f>""</f>
        <v/>
      </c>
      <c r="F2410" t="str">
        <f>""</f>
        <v/>
      </c>
      <c r="H2410" t="str">
        <f t="shared" si="48"/>
        <v>TASC - FSA  FEES</v>
      </c>
    </row>
    <row r="2411" spans="1:8" x14ac:dyDescent="0.25">
      <c r="E2411" t="str">
        <f>""</f>
        <v/>
      </c>
      <c r="F2411" t="str">
        <f>""</f>
        <v/>
      </c>
      <c r="H2411" t="str">
        <f t="shared" si="48"/>
        <v>TASC - FSA  FEES</v>
      </c>
    </row>
    <row r="2412" spans="1:8" x14ac:dyDescent="0.25">
      <c r="E2412" t="str">
        <f>""</f>
        <v/>
      </c>
      <c r="F2412" t="str">
        <f>""</f>
        <v/>
      </c>
      <c r="H2412" t="str">
        <f t="shared" si="48"/>
        <v>TASC - FSA  FEES</v>
      </c>
    </row>
    <row r="2413" spans="1:8" x14ac:dyDescent="0.25">
      <c r="E2413" t="str">
        <f>""</f>
        <v/>
      </c>
      <c r="F2413" t="str">
        <f>""</f>
        <v/>
      </c>
      <c r="H2413" t="str">
        <f t="shared" si="48"/>
        <v>TASC - FSA  FEES</v>
      </c>
    </row>
    <row r="2414" spans="1:8" x14ac:dyDescent="0.25">
      <c r="E2414" t="str">
        <f>""</f>
        <v/>
      </c>
      <c r="F2414" t="str">
        <f>""</f>
        <v/>
      </c>
      <c r="H2414" t="str">
        <f t="shared" si="48"/>
        <v>TASC - FSA  FEES</v>
      </c>
    </row>
    <row r="2415" spans="1:8" x14ac:dyDescent="0.25">
      <c r="E2415" t="str">
        <f>""</f>
        <v/>
      </c>
      <c r="F2415" t="str">
        <f>""</f>
        <v/>
      </c>
      <c r="H2415" t="str">
        <f t="shared" si="48"/>
        <v>TASC - FSA  FEES</v>
      </c>
    </row>
    <row r="2416" spans="1:8" x14ac:dyDescent="0.25">
      <c r="E2416" t="str">
        <f>""</f>
        <v/>
      </c>
      <c r="F2416" t="str">
        <f>""</f>
        <v/>
      </c>
      <c r="H2416" t="str">
        <f t="shared" si="48"/>
        <v>TASC - FSA  FEES</v>
      </c>
    </row>
    <row r="2417" spans="5:8" x14ac:dyDescent="0.25">
      <c r="E2417" t="str">
        <f>""</f>
        <v/>
      </c>
      <c r="F2417" t="str">
        <f>""</f>
        <v/>
      </c>
      <c r="H2417" t="str">
        <f t="shared" si="48"/>
        <v>TASC - FSA  FEES</v>
      </c>
    </row>
    <row r="2418" spans="5:8" x14ac:dyDescent="0.25">
      <c r="E2418" t="str">
        <f>""</f>
        <v/>
      </c>
      <c r="F2418" t="str">
        <f>""</f>
        <v/>
      </c>
      <c r="H2418" t="str">
        <f t="shared" si="48"/>
        <v>TASC - FSA  FEES</v>
      </c>
    </row>
    <row r="2419" spans="5:8" x14ac:dyDescent="0.25">
      <c r="E2419" t="str">
        <f>""</f>
        <v/>
      </c>
      <c r="F2419" t="str">
        <f>""</f>
        <v/>
      </c>
      <c r="H2419" t="str">
        <f t="shared" si="48"/>
        <v>TASC - FSA  FEES</v>
      </c>
    </row>
    <row r="2420" spans="5:8" x14ac:dyDescent="0.25">
      <c r="E2420" t="str">
        <f>""</f>
        <v/>
      </c>
      <c r="F2420" t="str">
        <f>""</f>
        <v/>
      </c>
      <c r="H2420" t="str">
        <f t="shared" si="48"/>
        <v>TASC - FSA  FEES</v>
      </c>
    </row>
    <row r="2421" spans="5:8" x14ac:dyDescent="0.25">
      <c r="E2421" t="str">
        <f>""</f>
        <v/>
      </c>
      <c r="F2421" t="str">
        <f>""</f>
        <v/>
      </c>
      <c r="H2421" t="str">
        <f t="shared" si="48"/>
        <v>TASC - FSA  FEES</v>
      </c>
    </row>
    <row r="2422" spans="5:8" x14ac:dyDescent="0.25">
      <c r="E2422" t="str">
        <f>""</f>
        <v/>
      </c>
      <c r="F2422" t="str">
        <f>""</f>
        <v/>
      </c>
      <c r="H2422" t="str">
        <f t="shared" si="48"/>
        <v>TASC - FSA  FEES</v>
      </c>
    </row>
    <row r="2423" spans="5:8" x14ac:dyDescent="0.25">
      <c r="E2423" t="str">
        <f>""</f>
        <v/>
      </c>
      <c r="F2423" t="str">
        <f>""</f>
        <v/>
      </c>
      <c r="H2423" t="str">
        <f t="shared" si="48"/>
        <v>TASC - FSA  FEES</v>
      </c>
    </row>
    <row r="2424" spans="5:8" x14ac:dyDescent="0.25">
      <c r="E2424" t="str">
        <f>""</f>
        <v/>
      </c>
      <c r="F2424" t="str">
        <f>""</f>
        <v/>
      </c>
      <c r="H2424" t="str">
        <f t="shared" si="48"/>
        <v>TASC - FSA  FEES</v>
      </c>
    </row>
    <row r="2425" spans="5:8" x14ac:dyDescent="0.25">
      <c r="E2425" t="str">
        <f>""</f>
        <v/>
      </c>
      <c r="F2425" t="str">
        <f>""</f>
        <v/>
      </c>
      <c r="H2425" t="str">
        <f t="shared" si="48"/>
        <v>TASC - FSA  FEES</v>
      </c>
    </row>
    <row r="2426" spans="5:8" x14ac:dyDescent="0.25">
      <c r="E2426" t="str">
        <f>""</f>
        <v/>
      </c>
      <c r="F2426" t="str">
        <f>""</f>
        <v/>
      </c>
      <c r="H2426" t="str">
        <f t="shared" si="48"/>
        <v>TASC - FSA  FEES</v>
      </c>
    </row>
    <row r="2427" spans="5:8" x14ac:dyDescent="0.25">
      <c r="E2427" t="str">
        <f>""</f>
        <v/>
      </c>
      <c r="F2427" t="str">
        <f>""</f>
        <v/>
      </c>
      <c r="H2427" t="str">
        <f t="shared" si="48"/>
        <v>TASC - FSA  FEES</v>
      </c>
    </row>
    <row r="2428" spans="5:8" x14ac:dyDescent="0.25">
      <c r="E2428" t="str">
        <f>""</f>
        <v/>
      </c>
      <c r="F2428" t="str">
        <f>""</f>
        <v/>
      </c>
      <c r="H2428" t="str">
        <f t="shared" si="48"/>
        <v>TASC - FSA  FEES</v>
      </c>
    </row>
    <row r="2429" spans="5:8" x14ac:dyDescent="0.25">
      <c r="E2429" t="str">
        <f>""</f>
        <v/>
      </c>
      <c r="F2429" t="str">
        <f>""</f>
        <v/>
      </c>
      <c r="H2429" t="str">
        <f t="shared" si="48"/>
        <v>TASC - FSA  FEES</v>
      </c>
    </row>
    <row r="2430" spans="5:8" x14ac:dyDescent="0.25">
      <c r="E2430" t="str">
        <f>""</f>
        <v/>
      </c>
      <c r="F2430" t="str">
        <f>""</f>
        <v/>
      </c>
      <c r="H2430" t="str">
        <f t="shared" si="48"/>
        <v>TASC - FSA  FEES</v>
      </c>
    </row>
    <row r="2431" spans="5:8" x14ac:dyDescent="0.25">
      <c r="E2431" t="str">
        <f>""</f>
        <v/>
      </c>
      <c r="F2431" t="str">
        <f>""</f>
        <v/>
      </c>
      <c r="H2431" t="str">
        <f t="shared" si="48"/>
        <v>TASC - FSA  FEES</v>
      </c>
    </row>
    <row r="2432" spans="5:8" x14ac:dyDescent="0.25">
      <c r="E2432" t="str">
        <f>""</f>
        <v/>
      </c>
      <c r="F2432" t="str">
        <f>""</f>
        <v/>
      </c>
      <c r="H2432" t="str">
        <f t="shared" si="48"/>
        <v>TASC - FSA  FEES</v>
      </c>
    </row>
    <row r="2433" spans="5:8" x14ac:dyDescent="0.25">
      <c r="E2433" t="str">
        <f>""</f>
        <v/>
      </c>
      <c r="F2433" t="str">
        <f>""</f>
        <v/>
      </c>
      <c r="H2433" t="str">
        <f t="shared" si="48"/>
        <v>TASC - FSA  FEES</v>
      </c>
    </row>
    <row r="2434" spans="5:8" x14ac:dyDescent="0.25">
      <c r="E2434" t="str">
        <f>""</f>
        <v/>
      </c>
      <c r="F2434" t="str">
        <f>""</f>
        <v/>
      </c>
      <c r="H2434" t="str">
        <f t="shared" si="48"/>
        <v>TASC - FSA  FEES</v>
      </c>
    </row>
    <row r="2435" spans="5:8" x14ac:dyDescent="0.25">
      <c r="E2435" t="str">
        <f>""</f>
        <v/>
      </c>
      <c r="F2435" t="str">
        <f>""</f>
        <v/>
      </c>
      <c r="H2435" t="str">
        <f t="shared" si="48"/>
        <v>TASC - FSA  FEES</v>
      </c>
    </row>
    <row r="2436" spans="5:8" x14ac:dyDescent="0.25">
      <c r="E2436" t="str">
        <f>""</f>
        <v/>
      </c>
      <c r="F2436" t="str">
        <f>""</f>
        <v/>
      </c>
      <c r="H2436" t="str">
        <f t="shared" si="48"/>
        <v>TASC - FSA  FEES</v>
      </c>
    </row>
    <row r="2437" spans="5:8" x14ac:dyDescent="0.25">
      <c r="E2437" t="str">
        <f>""</f>
        <v/>
      </c>
      <c r="F2437" t="str">
        <f>""</f>
        <v/>
      </c>
      <c r="H2437" t="str">
        <f t="shared" si="48"/>
        <v>TASC - FSA  FEES</v>
      </c>
    </row>
    <row r="2438" spans="5:8" x14ac:dyDescent="0.25">
      <c r="E2438" t="str">
        <f>""</f>
        <v/>
      </c>
      <c r="F2438" t="str">
        <f>""</f>
        <v/>
      </c>
      <c r="H2438" t="str">
        <f t="shared" si="48"/>
        <v>TASC - FSA  FEES</v>
      </c>
    </row>
    <row r="2439" spans="5:8" x14ac:dyDescent="0.25">
      <c r="E2439" t="str">
        <f>""</f>
        <v/>
      </c>
      <c r="F2439" t="str">
        <f>""</f>
        <v/>
      </c>
      <c r="H2439" t="str">
        <f t="shared" si="48"/>
        <v>TASC - FSA  FEES</v>
      </c>
    </row>
    <row r="2440" spans="5:8" x14ac:dyDescent="0.25">
      <c r="E2440" t="str">
        <f>""</f>
        <v/>
      </c>
      <c r="F2440" t="str">
        <f>""</f>
        <v/>
      </c>
      <c r="H2440" t="str">
        <f t="shared" si="48"/>
        <v>TASC - FSA  FEES</v>
      </c>
    </row>
    <row r="2441" spans="5:8" x14ac:dyDescent="0.25">
      <c r="E2441" t="str">
        <f>""</f>
        <v/>
      </c>
      <c r="F2441" t="str">
        <f>""</f>
        <v/>
      </c>
      <c r="H2441" t="str">
        <f t="shared" si="48"/>
        <v>TASC - FSA  FEES</v>
      </c>
    </row>
    <row r="2442" spans="5:8" x14ac:dyDescent="0.25">
      <c r="E2442" t="str">
        <f>""</f>
        <v/>
      </c>
      <c r="F2442" t="str">
        <f>""</f>
        <v/>
      </c>
      <c r="H2442" t="str">
        <f t="shared" si="48"/>
        <v>TASC - FSA  FEES</v>
      </c>
    </row>
    <row r="2443" spans="5:8" x14ac:dyDescent="0.25">
      <c r="E2443" t="str">
        <f>""</f>
        <v/>
      </c>
      <c r="F2443" t="str">
        <f>""</f>
        <v/>
      </c>
      <c r="H2443" t="str">
        <f t="shared" si="48"/>
        <v>TASC - FSA  FEES</v>
      </c>
    </row>
    <row r="2444" spans="5:8" x14ac:dyDescent="0.25">
      <c r="E2444" t="str">
        <f>""</f>
        <v/>
      </c>
      <c r="F2444" t="str">
        <f>""</f>
        <v/>
      </c>
      <c r="H2444" t="str">
        <f t="shared" si="48"/>
        <v>TASC - FSA  FEES</v>
      </c>
    </row>
    <row r="2445" spans="5:8" x14ac:dyDescent="0.25">
      <c r="E2445" t="str">
        <f>""</f>
        <v/>
      </c>
      <c r="F2445" t="str">
        <f>""</f>
        <v/>
      </c>
      <c r="H2445" t="str">
        <f t="shared" si="48"/>
        <v>TASC - FSA  FEES</v>
      </c>
    </row>
    <row r="2446" spans="5:8" x14ac:dyDescent="0.25">
      <c r="E2446" t="str">
        <f>""</f>
        <v/>
      </c>
      <c r="F2446" t="str">
        <f>""</f>
        <v/>
      </c>
      <c r="H2446" t="str">
        <f t="shared" si="48"/>
        <v>TASC - FSA  FEES</v>
      </c>
    </row>
    <row r="2447" spans="5:8" x14ac:dyDescent="0.25">
      <c r="E2447" t="str">
        <f>"FSF202007228006"</f>
        <v>FSF202007228006</v>
      </c>
      <c r="F2447" t="str">
        <f>"TASC - FSA  FEES"</f>
        <v>TASC - FSA  FEES</v>
      </c>
      <c r="G2447" s="2">
        <v>12.6</v>
      </c>
      <c r="H2447" t="str">
        <f t="shared" si="48"/>
        <v>TASC - FSA  FEES</v>
      </c>
    </row>
    <row r="2448" spans="5:8" x14ac:dyDescent="0.25">
      <c r="E2448" t="str">
        <f>"HRF202007228005"</f>
        <v>HRF202007228005</v>
      </c>
      <c r="F2448" t="str">
        <f>"TASC - HRA FEES"</f>
        <v>TASC - HRA FEES</v>
      </c>
      <c r="G2448" s="2">
        <v>804.6</v>
      </c>
      <c r="H2448" t="str">
        <f t="shared" ref="H2448:H2479" si="49">"TASC - HRA FEES"</f>
        <v>TASC - HRA FEES</v>
      </c>
    </row>
    <row r="2449" spans="5:8" x14ac:dyDescent="0.25">
      <c r="E2449" t="str">
        <f>""</f>
        <v/>
      </c>
      <c r="F2449" t="str">
        <f>""</f>
        <v/>
      </c>
      <c r="H2449" t="str">
        <f t="shared" si="49"/>
        <v>TASC - HRA FEES</v>
      </c>
    </row>
    <row r="2450" spans="5:8" x14ac:dyDescent="0.25">
      <c r="E2450" t="str">
        <f>""</f>
        <v/>
      </c>
      <c r="F2450" t="str">
        <f>""</f>
        <v/>
      </c>
      <c r="H2450" t="str">
        <f t="shared" si="49"/>
        <v>TASC - HRA FEES</v>
      </c>
    </row>
    <row r="2451" spans="5:8" x14ac:dyDescent="0.25">
      <c r="E2451" t="str">
        <f>""</f>
        <v/>
      </c>
      <c r="F2451" t="str">
        <f>""</f>
        <v/>
      </c>
      <c r="H2451" t="str">
        <f t="shared" si="49"/>
        <v>TASC - HRA FEES</v>
      </c>
    </row>
    <row r="2452" spans="5:8" x14ac:dyDescent="0.25">
      <c r="E2452" t="str">
        <f>""</f>
        <v/>
      </c>
      <c r="F2452" t="str">
        <f>""</f>
        <v/>
      </c>
      <c r="H2452" t="str">
        <f t="shared" si="49"/>
        <v>TASC - HRA FEES</v>
      </c>
    </row>
    <row r="2453" spans="5:8" x14ac:dyDescent="0.25">
      <c r="E2453" t="str">
        <f>""</f>
        <v/>
      </c>
      <c r="F2453" t="str">
        <f>""</f>
        <v/>
      </c>
      <c r="H2453" t="str">
        <f t="shared" si="49"/>
        <v>TASC - HRA FEES</v>
      </c>
    </row>
    <row r="2454" spans="5:8" x14ac:dyDescent="0.25">
      <c r="E2454" t="str">
        <f>""</f>
        <v/>
      </c>
      <c r="F2454" t="str">
        <f>""</f>
        <v/>
      </c>
      <c r="H2454" t="str">
        <f t="shared" si="49"/>
        <v>TASC - HRA FEES</v>
      </c>
    </row>
    <row r="2455" spans="5:8" x14ac:dyDescent="0.25">
      <c r="E2455" t="str">
        <f>""</f>
        <v/>
      </c>
      <c r="F2455" t="str">
        <f>""</f>
        <v/>
      </c>
      <c r="H2455" t="str">
        <f t="shared" si="49"/>
        <v>TASC - HRA FEES</v>
      </c>
    </row>
    <row r="2456" spans="5:8" x14ac:dyDescent="0.25">
      <c r="E2456" t="str">
        <f>""</f>
        <v/>
      </c>
      <c r="F2456" t="str">
        <f>""</f>
        <v/>
      </c>
      <c r="H2456" t="str">
        <f t="shared" si="49"/>
        <v>TASC - HRA FEES</v>
      </c>
    </row>
    <row r="2457" spans="5:8" x14ac:dyDescent="0.25">
      <c r="E2457" t="str">
        <f>""</f>
        <v/>
      </c>
      <c r="F2457" t="str">
        <f>""</f>
        <v/>
      </c>
      <c r="H2457" t="str">
        <f t="shared" si="49"/>
        <v>TASC - HRA FEES</v>
      </c>
    </row>
    <row r="2458" spans="5:8" x14ac:dyDescent="0.25">
      <c r="E2458" t="str">
        <f>""</f>
        <v/>
      </c>
      <c r="F2458" t="str">
        <f>""</f>
        <v/>
      </c>
      <c r="H2458" t="str">
        <f t="shared" si="49"/>
        <v>TASC - HRA FEES</v>
      </c>
    </row>
    <row r="2459" spans="5:8" x14ac:dyDescent="0.25">
      <c r="E2459" t="str">
        <f>""</f>
        <v/>
      </c>
      <c r="F2459" t="str">
        <f>""</f>
        <v/>
      </c>
      <c r="H2459" t="str">
        <f t="shared" si="49"/>
        <v>TASC - HRA FEES</v>
      </c>
    </row>
    <row r="2460" spans="5:8" x14ac:dyDescent="0.25">
      <c r="E2460" t="str">
        <f>""</f>
        <v/>
      </c>
      <c r="F2460" t="str">
        <f>""</f>
        <v/>
      </c>
      <c r="H2460" t="str">
        <f t="shared" si="49"/>
        <v>TASC - HRA FEES</v>
      </c>
    </row>
    <row r="2461" spans="5:8" x14ac:dyDescent="0.25">
      <c r="E2461" t="str">
        <f>""</f>
        <v/>
      </c>
      <c r="F2461" t="str">
        <f>""</f>
        <v/>
      </c>
      <c r="H2461" t="str">
        <f t="shared" si="49"/>
        <v>TASC - HRA FEES</v>
      </c>
    </row>
    <row r="2462" spans="5:8" x14ac:dyDescent="0.25">
      <c r="E2462" t="str">
        <f>""</f>
        <v/>
      </c>
      <c r="F2462" t="str">
        <f>""</f>
        <v/>
      </c>
      <c r="H2462" t="str">
        <f t="shared" si="49"/>
        <v>TASC - HRA FEES</v>
      </c>
    </row>
    <row r="2463" spans="5:8" x14ac:dyDescent="0.25">
      <c r="E2463" t="str">
        <f>""</f>
        <v/>
      </c>
      <c r="F2463" t="str">
        <f>""</f>
        <v/>
      </c>
      <c r="H2463" t="str">
        <f t="shared" si="49"/>
        <v>TASC - HRA FEES</v>
      </c>
    </row>
    <row r="2464" spans="5:8" x14ac:dyDescent="0.25">
      <c r="E2464" t="str">
        <f>""</f>
        <v/>
      </c>
      <c r="F2464" t="str">
        <f>""</f>
        <v/>
      </c>
      <c r="H2464" t="str">
        <f t="shared" si="49"/>
        <v>TASC - HRA FEES</v>
      </c>
    </row>
    <row r="2465" spans="5:8" x14ac:dyDescent="0.25">
      <c r="E2465" t="str">
        <f>""</f>
        <v/>
      </c>
      <c r="F2465" t="str">
        <f>""</f>
        <v/>
      </c>
      <c r="H2465" t="str">
        <f t="shared" si="49"/>
        <v>TASC - HRA FEES</v>
      </c>
    </row>
    <row r="2466" spans="5:8" x14ac:dyDescent="0.25">
      <c r="E2466" t="str">
        <f>""</f>
        <v/>
      </c>
      <c r="F2466" t="str">
        <f>""</f>
        <v/>
      </c>
      <c r="H2466" t="str">
        <f t="shared" si="49"/>
        <v>TASC - HRA FEES</v>
      </c>
    </row>
    <row r="2467" spans="5:8" x14ac:dyDescent="0.25">
      <c r="E2467" t="str">
        <f>""</f>
        <v/>
      </c>
      <c r="F2467" t="str">
        <f>""</f>
        <v/>
      </c>
      <c r="H2467" t="str">
        <f t="shared" si="49"/>
        <v>TASC - HRA FEES</v>
      </c>
    </row>
    <row r="2468" spans="5:8" x14ac:dyDescent="0.25">
      <c r="E2468" t="str">
        <f>""</f>
        <v/>
      </c>
      <c r="F2468" t="str">
        <f>""</f>
        <v/>
      </c>
      <c r="H2468" t="str">
        <f t="shared" si="49"/>
        <v>TASC - HRA FEES</v>
      </c>
    </row>
    <row r="2469" spans="5:8" x14ac:dyDescent="0.25">
      <c r="E2469" t="str">
        <f>""</f>
        <v/>
      </c>
      <c r="F2469" t="str">
        <f>""</f>
        <v/>
      </c>
      <c r="H2469" t="str">
        <f t="shared" si="49"/>
        <v>TASC - HRA FEES</v>
      </c>
    </row>
    <row r="2470" spans="5:8" x14ac:dyDescent="0.25">
      <c r="E2470" t="str">
        <f>""</f>
        <v/>
      </c>
      <c r="F2470" t="str">
        <f>""</f>
        <v/>
      </c>
      <c r="H2470" t="str">
        <f t="shared" si="49"/>
        <v>TASC - HRA FEES</v>
      </c>
    </row>
    <row r="2471" spans="5:8" x14ac:dyDescent="0.25">
      <c r="E2471" t="str">
        <f>""</f>
        <v/>
      </c>
      <c r="F2471" t="str">
        <f>""</f>
        <v/>
      </c>
      <c r="H2471" t="str">
        <f t="shared" si="49"/>
        <v>TASC - HRA FEES</v>
      </c>
    </row>
    <row r="2472" spans="5:8" x14ac:dyDescent="0.25">
      <c r="E2472" t="str">
        <f>""</f>
        <v/>
      </c>
      <c r="F2472" t="str">
        <f>""</f>
        <v/>
      </c>
      <c r="H2472" t="str">
        <f t="shared" si="49"/>
        <v>TASC - HRA FEES</v>
      </c>
    </row>
    <row r="2473" spans="5:8" x14ac:dyDescent="0.25">
      <c r="E2473" t="str">
        <f>""</f>
        <v/>
      </c>
      <c r="F2473" t="str">
        <f>""</f>
        <v/>
      </c>
      <c r="H2473" t="str">
        <f t="shared" si="49"/>
        <v>TASC - HRA FEES</v>
      </c>
    </row>
    <row r="2474" spans="5:8" x14ac:dyDescent="0.25">
      <c r="E2474" t="str">
        <f>""</f>
        <v/>
      </c>
      <c r="F2474" t="str">
        <f>""</f>
        <v/>
      </c>
      <c r="H2474" t="str">
        <f t="shared" si="49"/>
        <v>TASC - HRA FEES</v>
      </c>
    </row>
    <row r="2475" spans="5:8" x14ac:dyDescent="0.25">
      <c r="E2475" t="str">
        <f>""</f>
        <v/>
      </c>
      <c r="F2475" t="str">
        <f>""</f>
        <v/>
      </c>
      <c r="H2475" t="str">
        <f t="shared" si="49"/>
        <v>TASC - HRA FEES</v>
      </c>
    </row>
    <row r="2476" spans="5:8" x14ac:dyDescent="0.25">
      <c r="E2476" t="str">
        <f>""</f>
        <v/>
      </c>
      <c r="F2476" t="str">
        <f>""</f>
        <v/>
      </c>
      <c r="H2476" t="str">
        <f t="shared" si="49"/>
        <v>TASC - HRA FEES</v>
      </c>
    </row>
    <row r="2477" spans="5:8" x14ac:dyDescent="0.25">
      <c r="E2477" t="str">
        <f>""</f>
        <v/>
      </c>
      <c r="F2477" t="str">
        <f>""</f>
        <v/>
      </c>
      <c r="H2477" t="str">
        <f t="shared" si="49"/>
        <v>TASC - HRA FEES</v>
      </c>
    </row>
    <row r="2478" spans="5:8" x14ac:dyDescent="0.25">
      <c r="E2478" t="str">
        <f>""</f>
        <v/>
      </c>
      <c r="F2478" t="str">
        <f>""</f>
        <v/>
      </c>
      <c r="H2478" t="str">
        <f t="shared" si="49"/>
        <v>TASC - HRA FEES</v>
      </c>
    </row>
    <row r="2479" spans="5:8" x14ac:dyDescent="0.25">
      <c r="E2479" t="str">
        <f>""</f>
        <v/>
      </c>
      <c r="F2479" t="str">
        <f>""</f>
        <v/>
      </c>
      <c r="H2479" t="str">
        <f t="shared" si="49"/>
        <v>TASC - HRA FEES</v>
      </c>
    </row>
    <row r="2480" spans="5:8" x14ac:dyDescent="0.25">
      <c r="E2480" t="str">
        <f>""</f>
        <v/>
      </c>
      <c r="F2480" t="str">
        <f>""</f>
        <v/>
      </c>
      <c r="H2480" t="str">
        <f t="shared" ref="H2480:H2499" si="50">"TASC - HRA FEES"</f>
        <v>TASC - HRA FEES</v>
      </c>
    </row>
    <row r="2481" spans="5:8" x14ac:dyDescent="0.25">
      <c r="E2481" t="str">
        <f>""</f>
        <v/>
      </c>
      <c r="F2481" t="str">
        <f>""</f>
        <v/>
      </c>
      <c r="H2481" t="str">
        <f t="shared" si="50"/>
        <v>TASC - HRA FEES</v>
      </c>
    </row>
    <row r="2482" spans="5:8" x14ac:dyDescent="0.25">
      <c r="E2482" t="str">
        <f>""</f>
        <v/>
      </c>
      <c r="F2482" t="str">
        <f>""</f>
        <v/>
      </c>
      <c r="H2482" t="str">
        <f t="shared" si="50"/>
        <v>TASC - HRA FEES</v>
      </c>
    </row>
    <row r="2483" spans="5:8" x14ac:dyDescent="0.25">
      <c r="E2483" t="str">
        <f>""</f>
        <v/>
      </c>
      <c r="F2483" t="str">
        <f>""</f>
        <v/>
      </c>
      <c r="H2483" t="str">
        <f t="shared" si="50"/>
        <v>TASC - HRA FEES</v>
      </c>
    </row>
    <row r="2484" spans="5:8" x14ac:dyDescent="0.25">
      <c r="E2484" t="str">
        <f>""</f>
        <v/>
      </c>
      <c r="F2484" t="str">
        <f>""</f>
        <v/>
      </c>
      <c r="H2484" t="str">
        <f t="shared" si="50"/>
        <v>TASC - HRA FEES</v>
      </c>
    </row>
    <row r="2485" spans="5:8" x14ac:dyDescent="0.25">
      <c r="E2485" t="str">
        <f>""</f>
        <v/>
      </c>
      <c r="F2485" t="str">
        <f>""</f>
        <v/>
      </c>
      <c r="H2485" t="str">
        <f t="shared" si="50"/>
        <v>TASC - HRA FEES</v>
      </c>
    </row>
    <row r="2486" spans="5:8" x14ac:dyDescent="0.25">
      <c r="E2486" t="str">
        <f>""</f>
        <v/>
      </c>
      <c r="F2486" t="str">
        <f>""</f>
        <v/>
      </c>
      <c r="H2486" t="str">
        <f t="shared" si="50"/>
        <v>TASC - HRA FEES</v>
      </c>
    </row>
    <row r="2487" spans="5:8" x14ac:dyDescent="0.25">
      <c r="E2487" t="str">
        <f>""</f>
        <v/>
      </c>
      <c r="F2487" t="str">
        <f>""</f>
        <v/>
      </c>
      <c r="H2487" t="str">
        <f t="shared" si="50"/>
        <v>TASC - HRA FEES</v>
      </c>
    </row>
    <row r="2488" spans="5:8" x14ac:dyDescent="0.25">
      <c r="E2488" t="str">
        <f>""</f>
        <v/>
      </c>
      <c r="F2488" t="str">
        <f>""</f>
        <v/>
      </c>
      <c r="H2488" t="str">
        <f t="shared" si="50"/>
        <v>TASC - HRA FEES</v>
      </c>
    </row>
    <row r="2489" spans="5:8" x14ac:dyDescent="0.25">
      <c r="E2489" t="str">
        <f>""</f>
        <v/>
      </c>
      <c r="F2489" t="str">
        <f>""</f>
        <v/>
      </c>
      <c r="H2489" t="str">
        <f t="shared" si="50"/>
        <v>TASC - HRA FEES</v>
      </c>
    </row>
    <row r="2490" spans="5:8" x14ac:dyDescent="0.25">
      <c r="E2490" t="str">
        <f>""</f>
        <v/>
      </c>
      <c r="F2490" t="str">
        <f>""</f>
        <v/>
      </c>
      <c r="H2490" t="str">
        <f t="shared" si="50"/>
        <v>TASC - HRA FEES</v>
      </c>
    </row>
    <row r="2491" spans="5:8" x14ac:dyDescent="0.25">
      <c r="E2491" t="str">
        <f>""</f>
        <v/>
      </c>
      <c r="F2491" t="str">
        <f>""</f>
        <v/>
      </c>
      <c r="H2491" t="str">
        <f t="shared" si="50"/>
        <v>TASC - HRA FEES</v>
      </c>
    </row>
    <row r="2492" spans="5:8" x14ac:dyDescent="0.25">
      <c r="E2492" t="str">
        <f>""</f>
        <v/>
      </c>
      <c r="F2492" t="str">
        <f>""</f>
        <v/>
      </c>
      <c r="H2492" t="str">
        <f t="shared" si="50"/>
        <v>TASC - HRA FEES</v>
      </c>
    </row>
    <row r="2493" spans="5:8" x14ac:dyDescent="0.25">
      <c r="E2493" t="str">
        <f>""</f>
        <v/>
      </c>
      <c r="F2493" t="str">
        <f>""</f>
        <v/>
      </c>
      <c r="H2493" t="str">
        <f t="shared" si="50"/>
        <v>TASC - HRA FEES</v>
      </c>
    </row>
    <row r="2494" spans="5:8" x14ac:dyDescent="0.25">
      <c r="E2494" t="str">
        <f>""</f>
        <v/>
      </c>
      <c r="F2494" t="str">
        <f>""</f>
        <v/>
      </c>
      <c r="H2494" t="str">
        <f t="shared" si="50"/>
        <v>TASC - HRA FEES</v>
      </c>
    </row>
    <row r="2495" spans="5:8" x14ac:dyDescent="0.25">
      <c r="E2495" t="str">
        <f>""</f>
        <v/>
      </c>
      <c r="F2495" t="str">
        <f>""</f>
        <v/>
      </c>
      <c r="H2495" t="str">
        <f t="shared" si="50"/>
        <v>TASC - HRA FEES</v>
      </c>
    </row>
    <row r="2496" spans="5:8" x14ac:dyDescent="0.25">
      <c r="E2496" t="str">
        <f>""</f>
        <v/>
      </c>
      <c r="F2496" t="str">
        <f>""</f>
        <v/>
      </c>
      <c r="H2496" t="str">
        <f t="shared" si="50"/>
        <v>TASC - HRA FEES</v>
      </c>
    </row>
    <row r="2497" spans="1:8" x14ac:dyDescent="0.25">
      <c r="E2497" t="str">
        <f>""</f>
        <v/>
      </c>
      <c r="F2497" t="str">
        <f>""</f>
        <v/>
      </c>
      <c r="H2497" t="str">
        <f t="shared" si="50"/>
        <v>TASC - HRA FEES</v>
      </c>
    </row>
    <row r="2498" spans="1:8" x14ac:dyDescent="0.25">
      <c r="E2498" t="str">
        <f>""</f>
        <v/>
      </c>
      <c r="F2498" t="str">
        <f>""</f>
        <v/>
      </c>
      <c r="H2498" t="str">
        <f t="shared" si="50"/>
        <v>TASC - HRA FEES</v>
      </c>
    </row>
    <row r="2499" spans="1:8" x14ac:dyDescent="0.25">
      <c r="E2499" t="str">
        <f>"HRF202007228006"</f>
        <v>HRF202007228006</v>
      </c>
      <c r="F2499" t="str">
        <f>"TASC - HRA FEES"</f>
        <v>TASC - HRA FEES</v>
      </c>
      <c r="G2499" s="2">
        <v>30.6</v>
      </c>
      <c r="H2499" t="str">
        <f t="shared" si="50"/>
        <v>TASC - HRA FEES</v>
      </c>
    </row>
    <row r="2500" spans="1:8" x14ac:dyDescent="0.25">
      <c r="A2500" t="s">
        <v>341</v>
      </c>
      <c r="B2500">
        <v>587</v>
      </c>
      <c r="C2500" s="2">
        <v>4905.63</v>
      </c>
      <c r="D2500" s="1">
        <v>44022</v>
      </c>
      <c r="E2500" t="str">
        <f>"C2 202007087799"</f>
        <v>C2 202007087799</v>
      </c>
      <c r="F2500" t="str">
        <f>"0012982132CCL7445"</f>
        <v>0012982132CCL7445</v>
      </c>
      <c r="G2500" s="2">
        <v>692.31</v>
      </c>
      <c r="H2500" t="str">
        <f>"0012982132CCL7445"</f>
        <v>0012982132CCL7445</v>
      </c>
    </row>
    <row r="2501" spans="1:8" x14ac:dyDescent="0.25">
      <c r="E2501" t="str">
        <f>"C20202007087798"</f>
        <v>C20202007087798</v>
      </c>
      <c r="F2501" t="str">
        <f>"001003981107-12252"</f>
        <v>001003981107-12252</v>
      </c>
      <c r="G2501" s="2">
        <v>115.39</v>
      </c>
      <c r="H2501" t="str">
        <f>"001003981107-12252"</f>
        <v>001003981107-12252</v>
      </c>
    </row>
    <row r="2502" spans="1:8" x14ac:dyDescent="0.25">
      <c r="E2502" t="str">
        <f>"C42202007087798"</f>
        <v>C42202007087798</v>
      </c>
      <c r="F2502" t="str">
        <f>"001236769211-14410"</f>
        <v>001236769211-14410</v>
      </c>
      <c r="G2502" s="2">
        <v>230.31</v>
      </c>
      <c r="H2502" t="str">
        <f>"001236769211-14410"</f>
        <v>001236769211-14410</v>
      </c>
    </row>
    <row r="2503" spans="1:8" x14ac:dyDescent="0.25">
      <c r="E2503" t="str">
        <f>"C46202007087798"</f>
        <v>C46202007087798</v>
      </c>
      <c r="F2503" t="str">
        <f>"CAUSE# 11-14911"</f>
        <v>CAUSE# 11-14911</v>
      </c>
      <c r="G2503" s="2">
        <v>238.62</v>
      </c>
      <c r="H2503" t="str">
        <f>"CAUSE# 11-14911"</f>
        <v>CAUSE# 11-14911</v>
      </c>
    </row>
    <row r="2504" spans="1:8" x14ac:dyDescent="0.25">
      <c r="E2504" t="str">
        <f>"C53202007087798"</f>
        <v>C53202007087798</v>
      </c>
      <c r="F2504" t="str">
        <f>"0012453366"</f>
        <v>0012453366</v>
      </c>
      <c r="G2504" s="2">
        <v>138.46</v>
      </c>
      <c r="H2504" t="str">
        <f>"0012453366"</f>
        <v>0012453366</v>
      </c>
    </row>
    <row r="2505" spans="1:8" x14ac:dyDescent="0.25">
      <c r="E2505" t="str">
        <f>"C60202007087798"</f>
        <v>C60202007087798</v>
      </c>
      <c r="F2505" t="str">
        <f>"00130730762012V300"</f>
        <v>00130730762012V300</v>
      </c>
      <c r="G2505" s="2">
        <v>399.32</v>
      </c>
      <c r="H2505" t="str">
        <f>"00130730762012V300"</f>
        <v>00130730762012V300</v>
      </c>
    </row>
    <row r="2506" spans="1:8" x14ac:dyDescent="0.25">
      <c r="E2506" t="str">
        <f>"C62202007087798"</f>
        <v>C62202007087798</v>
      </c>
      <c r="F2506" t="str">
        <f>"# 0012128865"</f>
        <v># 0012128865</v>
      </c>
      <c r="G2506" s="2">
        <v>243.23</v>
      </c>
      <c r="H2506" t="str">
        <f>"# 0012128865"</f>
        <v># 0012128865</v>
      </c>
    </row>
    <row r="2507" spans="1:8" x14ac:dyDescent="0.25">
      <c r="E2507" t="str">
        <f>"C66202007087798"</f>
        <v>C66202007087798</v>
      </c>
      <c r="F2507" t="str">
        <f>"# 0012871801"</f>
        <v># 0012871801</v>
      </c>
      <c r="G2507" s="2">
        <v>90</v>
      </c>
      <c r="H2507" t="str">
        <f>"# 0012871801"</f>
        <v># 0012871801</v>
      </c>
    </row>
    <row r="2508" spans="1:8" x14ac:dyDescent="0.25">
      <c r="E2508" t="str">
        <f>"C67202007087798"</f>
        <v>C67202007087798</v>
      </c>
      <c r="F2508" t="str">
        <f>"13154657"</f>
        <v>13154657</v>
      </c>
      <c r="G2508" s="2">
        <v>101.99</v>
      </c>
      <c r="H2508" t="str">
        <f>"13154657"</f>
        <v>13154657</v>
      </c>
    </row>
    <row r="2509" spans="1:8" x14ac:dyDescent="0.25">
      <c r="E2509" t="str">
        <f>"C69202007087798"</f>
        <v>C69202007087798</v>
      </c>
      <c r="F2509" t="str">
        <f>"0012046911423672"</f>
        <v>0012046911423672</v>
      </c>
      <c r="G2509" s="2">
        <v>187.38</v>
      </c>
      <c r="H2509" t="str">
        <f>"0012046911423672"</f>
        <v>0012046911423672</v>
      </c>
    </row>
    <row r="2510" spans="1:8" x14ac:dyDescent="0.25">
      <c r="E2510" t="str">
        <f>"C71202007087798"</f>
        <v>C71202007087798</v>
      </c>
      <c r="F2510" t="str">
        <f>"00137390532018V215"</f>
        <v>00137390532018V215</v>
      </c>
      <c r="G2510" s="2">
        <v>264</v>
      </c>
      <c r="H2510" t="str">
        <f>"00137390532018V215"</f>
        <v>00137390532018V215</v>
      </c>
    </row>
    <row r="2511" spans="1:8" x14ac:dyDescent="0.25">
      <c r="E2511" t="str">
        <f>"C72202007087798"</f>
        <v>C72202007087798</v>
      </c>
      <c r="F2511" t="str">
        <f>"0012797601C20130529B"</f>
        <v>0012797601C20130529B</v>
      </c>
      <c r="G2511" s="2">
        <v>241.85</v>
      </c>
      <c r="H2511" t="str">
        <f>"0012797601C20130529B"</f>
        <v>0012797601C20130529B</v>
      </c>
    </row>
    <row r="2512" spans="1:8" x14ac:dyDescent="0.25">
      <c r="E2512" t="str">
        <f>"C78202007087798"</f>
        <v>C78202007087798</v>
      </c>
      <c r="F2512" t="str">
        <f>"00105115972005106221"</f>
        <v>00105115972005106221</v>
      </c>
      <c r="G2512" s="2">
        <v>144.68</v>
      </c>
      <c r="H2512" t="str">
        <f>"00105115972005106221"</f>
        <v>00105115972005106221</v>
      </c>
    </row>
    <row r="2513" spans="1:8" x14ac:dyDescent="0.25">
      <c r="E2513" t="str">
        <f>"C83202007087798"</f>
        <v>C83202007087798</v>
      </c>
      <c r="F2513" t="str">
        <f>"0013096953150533"</f>
        <v>0013096953150533</v>
      </c>
      <c r="G2513" s="2">
        <v>346.15</v>
      </c>
      <c r="H2513" t="str">
        <f>"0013096953150533"</f>
        <v>0013096953150533</v>
      </c>
    </row>
    <row r="2514" spans="1:8" x14ac:dyDescent="0.25">
      <c r="E2514" t="str">
        <f>"C84202007087798"</f>
        <v>C84202007087798</v>
      </c>
      <c r="F2514" t="str">
        <f>"00128499834232566"</f>
        <v>00128499834232566</v>
      </c>
      <c r="G2514" s="2">
        <v>439.94</v>
      </c>
      <c r="H2514" t="str">
        <f>"00128499834232566"</f>
        <v>00128499834232566</v>
      </c>
    </row>
    <row r="2515" spans="1:8" x14ac:dyDescent="0.25">
      <c r="E2515" t="str">
        <f>"C85202007087798"</f>
        <v>C85202007087798</v>
      </c>
      <c r="F2515" t="str">
        <f>"0012469425201770874"</f>
        <v>0012469425201770874</v>
      </c>
      <c r="G2515" s="2">
        <v>138.46</v>
      </c>
      <c r="H2515" t="str">
        <f>"0012469425201770874"</f>
        <v>0012469425201770874</v>
      </c>
    </row>
    <row r="2516" spans="1:8" x14ac:dyDescent="0.25">
      <c r="E2516" t="str">
        <f>"C86202007087798"</f>
        <v>C86202007087798</v>
      </c>
      <c r="F2516" t="str">
        <f>"0013854015101285F"</f>
        <v>0013854015101285F</v>
      </c>
      <c r="G2516" s="2">
        <v>241.85</v>
      </c>
      <c r="H2516" t="str">
        <f>"0013854015101285F"</f>
        <v>0013854015101285F</v>
      </c>
    </row>
    <row r="2517" spans="1:8" x14ac:dyDescent="0.25">
      <c r="E2517" t="str">
        <f>"C87202007087798"</f>
        <v>C87202007087798</v>
      </c>
      <c r="F2517" t="str">
        <f>"0012963634L130019CVB"</f>
        <v>0012963634L130019CVB</v>
      </c>
      <c r="G2517" s="2">
        <v>318.45999999999998</v>
      </c>
      <c r="H2517" t="str">
        <f>"0012963634L130019CVB"</f>
        <v>0012963634L130019CVB</v>
      </c>
    </row>
    <row r="2518" spans="1:8" x14ac:dyDescent="0.25">
      <c r="E2518" t="str">
        <f>"C88202007087798"</f>
        <v>C88202007087798</v>
      </c>
      <c r="F2518" t="str">
        <f>"00123521844231520"</f>
        <v>00123521844231520</v>
      </c>
      <c r="G2518" s="2">
        <v>333.23</v>
      </c>
      <c r="H2518" t="str">
        <f>"00123521844231520"</f>
        <v>00123521844231520</v>
      </c>
    </row>
    <row r="2519" spans="1:8" x14ac:dyDescent="0.25">
      <c r="A2519" t="s">
        <v>341</v>
      </c>
      <c r="B2519">
        <v>632</v>
      </c>
      <c r="C2519" s="2">
        <v>4905.63</v>
      </c>
      <c r="D2519" s="1">
        <v>44036</v>
      </c>
      <c r="E2519" t="str">
        <f>"C2 202007228006"</f>
        <v>C2 202007228006</v>
      </c>
      <c r="F2519" t="str">
        <f>"0012982132CCL7445"</f>
        <v>0012982132CCL7445</v>
      </c>
      <c r="G2519" s="2">
        <v>692.31</v>
      </c>
      <c r="H2519" t="str">
        <f>"0012982132CCL7445"</f>
        <v>0012982132CCL7445</v>
      </c>
    </row>
    <row r="2520" spans="1:8" x14ac:dyDescent="0.25">
      <c r="E2520" t="str">
        <f>"C20202007228005"</f>
        <v>C20202007228005</v>
      </c>
      <c r="F2520" t="str">
        <f>"001003981107-12252"</f>
        <v>001003981107-12252</v>
      </c>
      <c r="G2520" s="2">
        <v>115.39</v>
      </c>
      <c r="H2520" t="str">
        <f>"001003981107-12252"</f>
        <v>001003981107-12252</v>
      </c>
    </row>
    <row r="2521" spans="1:8" x14ac:dyDescent="0.25">
      <c r="E2521" t="str">
        <f>"C42202007228005"</f>
        <v>C42202007228005</v>
      </c>
      <c r="F2521" t="str">
        <f>"001236769211-14410"</f>
        <v>001236769211-14410</v>
      </c>
      <c r="G2521" s="2">
        <v>230.31</v>
      </c>
      <c r="H2521" t="str">
        <f>"001236769211-14410"</f>
        <v>001236769211-14410</v>
      </c>
    </row>
    <row r="2522" spans="1:8" x14ac:dyDescent="0.25">
      <c r="E2522" t="str">
        <f>"C46202007228005"</f>
        <v>C46202007228005</v>
      </c>
      <c r="F2522" t="str">
        <f>"CAUSE# 11-14911"</f>
        <v>CAUSE# 11-14911</v>
      </c>
      <c r="G2522" s="2">
        <v>238.62</v>
      </c>
      <c r="H2522" t="str">
        <f>"CAUSE# 11-14911"</f>
        <v>CAUSE# 11-14911</v>
      </c>
    </row>
    <row r="2523" spans="1:8" x14ac:dyDescent="0.25">
      <c r="E2523" t="str">
        <f>"C53202007228005"</f>
        <v>C53202007228005</v>
      </c>
      <c r="F2523" t="str">
        <f>"0012453366"</f>
        <v>0012453366</v>
      </c>
      <c r="G2523" s="2">
        <v>138.46</v>
      </c>
      <c r="H2523" t="str">
        <f>"0012453366"</f>
        <v>0012453366</v>
      </c>
    </row>
    <row r="2524" spans="1:8" x14ac:dyDescent="0.25">
      <c r="E2524" t="str">
        <f>"C60202007228005"</f>
        <v>C60202007228005</v>
      </c>
      <c r="F2524" t="str">
        <f>"00130730762012V300"</f>
        <v>00130730762012V300</v>
      </c>
      <c r="G2524" s="2">
        <v>399.32</v>
      </c>
      <c r="H2524" t="str">
        <f>"00130730762012V300"</f>
        <v>00130730762012V300</v>
      </c>
    </row>
    <row r="2525" spans="1:8" x14ac:dyDescent="0.25">
      <c r="E2525" t="str">
        <f>"C62202007228005"</f>
        <v>C62202007228005</v>
      </c>
      <c r="F2525" t="str">
        <f>"# 0012128865"</f>
        <v># 0012128865</v>
      </c>
      <c r="G2525" s="2">
        <v>243.23</v>
      </c>
      <c r="H2525" t="str">
        <f>"# 0012128865"</f>
        <v># 0012128865</v>
      </c>
    </row>
    <row r="2526" spans="1:8" x14ac:dyDescent="0.25">
      <c r="E2526" t="str">
        <f>"C66202007228005"</f>
        <v>C66202007228005</v>
      </c>
      <c r="F2526" t="str">
        <f>"# 0012871801"</f>
        <v># 0012871801</v>
      </c>
      <c r="G2526" s="2">
        <v>90</v>
      </c>
      <c r="H2526" t="str">
        <f>"# 0012871801"</f>
        <v># 0012871801</v>
      </c>
    </row>
    <row r="2527" spans="1:8" x14ac:dyDescent="0.25">
      <c r="E2527" t="str">
        <f>"C67202007228005"</f>
        <v>C67202007228005</v>
      </c>
      <c r="F2527" t="str">
        <f>"13154657"</f>
        <v>13154657</v>
      </c>
      <c r="G2527" s="2">
        <v>101.99</v>
      </c>
      <c r="H2527" t="str">
        <f>"13154657"</f>
        <v>13154657</v>
      </c>
    </row>
    <row r="2528" spans="1:8" x14ac:dyDescent="0.25">
      <c r="E2528" t="str">
        <f>"C69202007228005"</f>
        <v>C69202007228005</v>
      </c>
      <c r="F2528" t="str">
        <f>"0012046911423672"</f>
        <v>0012046911423672</v>
      </c>
      <c r="G2528" s="2">
        <v>187.38</v>
      </c>
      <c r="H2528" t="str">
        <f>"0012046911423672"</f>
        <v>0012046911423672</v>
      </c>
    </row>
    <row r="2529" spans="1:8" x14ac:dyDescent="0.25">
      <c r="E2529" t="str">
        <f>"C71202007228005"</f>
        <v>C71202007228005</v>
      </c>
      <c r="F2529" t="str">
        <f>"00137390532018V215"</f>
        <v>00137390532018V215</v>
      </c>
      <c r="G2529" s="2">
        <v>264</v>
      </c>
      <c r="H2529" t="str">
        <f>"00137390532018V215"</f>
        <v>00137390532018V215</v>
      </c>
    </row>
    <row r="2530" spans="1:8" x14ac:dyDescent="0.25">
      <c r="E2530" t="str">
        <f>"C72202007228005"</f>
        <v>C72202007228005</v>
      </c>
      <c r="F2530" t="str">
        <f>"0012797601C20130529B"</f>
        <v>0012797601C20130529B</v>
      </c>
      <c r="G2530" s="2">
        <v>241.85</v>
      </c>
      <c r="H2530" t="str">
        <f>"0012797601C20130529B"</f>
        <v>0012797601C20130529B</v>
      </c>
    </row>
    <row r="2531" spans="1:8" x14ac:dyDescent="0.25">
      <c r="E2531" t="str">
        <f>"C78202007228005"</f>
        <v>C78202007228005</v>
      </c>
      <c r="F2531" t="str">
        <f>"00105115972005106221"</f>
        <v>00105115972005106221</v>
      </c>
      <c r="G2531" s="2">
        <v>144.68</v>
      </c>
      <c r="H2531" t="str">
        <f>"00105115972005106221"</f>
        <v>00105115972005106221</v>
      </c>
    </row>
    <row r="2532" spans="1:8" x14ac:dyDescent="0.25">
      <c r="E2532" t="str">
        <f>"C83202007228005"</f>
        <v>C83202007228005</v>
      </c>
      <c r="F2532" t="str">
        <f>"0013096953150533"</f>
        <v>0013096953150533</v>
      </c>
      <c r="G2532" s="2">
        <v>346.15</v>
      </c>
      <c r="H2532" t="str">
        <f>"0013096953150533"</f>
        <v>0013096953150533</v>
      </c>
    </row>
    <row r="2533" spans="1:8" x14ac:dyDescent="0.25">
      <c r="E2533" t="str">
        <f>"C84202007228005"</f>
        <v>C84202007228005</v>
      </c>
      <c r="F2533" t="str">
        <f>"00128499834232566"</f>
        <v>00128499834232566</v>
      </c>
      <c r="G2533" s="2">
        <v>439.94</v>
      </c>
      <c r="H2533" t="str">
        <f>"00128499834232566"</f>
        <v>00128499834232566</v>
      </c>
    </row>
    <row r="2534" spans="1:8" x14ac:dyDescent="0.25">
      <c r="E2534" t="str">
        <f>"C85202007228005"</f>
        <v>C85202007228005</v>
      </c>
      <c r="F2534" t="str">
        <f>"0012469425201770874"</f>
        <v>0012469425201770874</v>
      </c>
      <c r="G2534" s="2">
        <v>138.46</v>
      </c>
      <c r="H2534" t="str">
        <f>"0012469425201770874"</f>
        <v>0012469425201770874</v>
      </c>
    </row>
    <row r="2535" spans="1:8" x14ac:dyDescent="0.25">
      <c r="E2535" t="str">
        <f>"C86202007228005"</f>
        <v>C86202007228005</v>
      </c>
      <c r="F2535" t="str">
        <f>"0013854015101285F"</f>
        <v>0013854015101285F</v>
      </c>
      <c r="G2535" s="2">
        <v>241.85</v>
      </c>
      <c r="H2535" t="str">
        <f>"0013854015101285F"</f>
        <v>0013854015101285F</v>
      </c>
    </row>
    <row r="2536" spans="1:8" x14ac:dyDescent="0.25">
      <c r="E2536" t="str">
        <f>"C87202007228005"</f>
        <v>C87202007228005</v>
      </c>
      <c r="F2536" t="str">
        <f>"0012963634L130019CVB"</f>
        <v>0012963634L130019CVB</v>
      </c>
      <c r="G2536" s="2">
        <v>318.45999999999998</v>
      </c>
      <c r="H2536" t="str">
        <f>"0012963634L130019CVB"</f>
        <v>0012963634L130019CVB</v>
      </c>
    </row>
    <row r="2537" spans="1:8" x14ac:dyDescent="0.25">
      <c r="E2537" t="str">
        <f>"C88202007228005"</f>
        <v>C88202007228005</v>
      </c>
      <c r="F2537" t="str">
        <f>"00123521844231520"</f>
        <v>00123521844231520</v>
      </c>
      <c r="G2537" s="2">
        <v>333.23</v>
      </c>
      <c r="H2537" t="str">
        <f>"00123521844231520"</f>
        <v>00123521844231520</v>
      </c>
    </row>
    <row r="2538" spans="1:8" x14ac:dyDescent="0.25">
      <c r="A2538" t="s">
        <v>342</v>
      </c>
      <c r="B2538">
        <v>634</v>
      </c>
      <c r="C2538" s="2">
        <v>383959.34</v>
      </c>
      <c r="D2538" s="1">
        <v>44036</v>
      </c>
      <c r="E2538" t="str">
        <f>"RET202007087798"</f>
        <v>RET202007087798</v>
      </c>
      <c r="F2538" t="str">
        <f>"TEXAS COUNTY &amp; DISTRICT RET"</f>
        <v>TEXAS COUNTY &amp; DISTRICT RET</v>
      </c>
      <c r="G2538" s="2">
        <v>176644.33</v>
      </c>
      <c r="H2538" t="str">
        <f t="shared" ref="H2538:H2569" si="51">"TEXAS COUNTY &amp; DISTRICT RET"</f>
        <v>TEXAS COUNTY &amp; DISTRICT RET</v>
      </c>
    </row>
    <row r="2539" spans="1:8" x14ac:dyDescent="0.25">
      <c r="E2539" t="str">
        <f>""</f>
        <v/>
      </c>
      <c r="F2539" t="str">
        <f>""</f>
        <v/>
      </c>
      <c r="H2539" t="str">
        <f t="shared" si="51"/>
        <v>TEXAS COUNTY &amp; DISTRICT RET</v>
      </c>
    </row>
    <row r="2540" spans="1:8" x14ac:dyDescent="0.25">
      <c r="E2540" t="str">
        <f>""</f>
        <v/>
      </c>
      <c r="F2540" t="str">
        <f>""</f>
        <v/>
      </c>
      <c r="H2540" t="str">
        <f t="shared" si="51"/>
        <v>TEXAS COUNTY &amp; DISTRICT RET</v>
      </c>
    </row>
    <row r="2541" spans="1:8" x14ac:dyDescent="0.25">
      <c r="E2541" t="str">
        <f>""</f>
        <v/>
      </c>
      <c r="F2541" t="str">
        <f>""</f>
        <v/>
      </c>
      <c r="H2541" t="str">
        <f t="shared" si="51"/>
        <v>TEXAS COUNTY &amp; DISTRICT RET</v>
      </c>
    </row>
    <row r="2542" spans="1:8" x14ac:dyDescent="0.25">
      <c r="E2542" t="str">
        <f>""</f>
        <v/>
      </c>
      <c r="F2542" t="str">
        <f>""</f>
        <v/>
      </c>
      <c r="H2542" t="str">
        <f t="shared" si="51"/>
        <v>TEXAS COUNTY &amp; DISTRICT RET</v>
      </c>
    </row>
    <row r="2543" spans="1:8" x14ac:dyDescent="0.25">
      <c r="E2543" t="str">
        <f>""</f>
        <v/>
      </c>
      <c r="F2543" t="str">
        <f>""</f>
        <v/>
      </c>
      <c r="H2543" t="str">
        <f t="shared" si="51"/>
        <v>TEXAS COUNTY &amp; DISTRICT RET</v>
      </c>
    </row>
    <row r="2544" spans="1:8" x14ac:dyDescent="0.25">
      <c r="E2544" t="str">
        <f>""</f>
        <v/>
      </c>
      <c r="F2544" t="str">
        <f>""</f>
        <v/>
      </c>
      <c r="H2544" t="str">
        <f t="shared" si="51"/>
        <v>TEXAS COUNTY &amp; DISTRICT RET</v>
      </c>
    </row>
    <row r="2545" spans="5:8" x14ac:dyDescent="0.25">
      <c r="E2545" t="str">
        <f>""</f>
        <v/>
      </c>
      <c r="F2545" t="str">
        <f>""</f>
        <v/>
      </c>
      <c r="H2545" t="str">
        <f t="shared" si="51"/>
        <v>TEXAS COUNTY &amp; DISTRICT RET</v>
      </c>
    </row>
    <row r="2546" spans="5:8" x14ac:dyDescent="0.25">
      <c r="E2546" t="str">
        <f>""</f>
        <v/>
      </c>
      <c r="F2546" t="str">
        <f>""</f>
        <v/>
      </c>
      <c r="H2546" t="str">
        <f t="shared" si="51"/>
        <v>TEXAS COUNTY &amp; DISTRICT RET</v>
      </c>
    </row>
    <row r="2547" spans="5:8" x14ac:dyDescent="0.25">
      <c r="E2547" t="str">
        <f>""</f>
        <v/>
      </c>
      <c r="F2547" t="str">
        <f>""</f>
        <v/>
      </c>
      <c r="H2547" t="str">
        <f t="shared" si="51"/>
        <v>TEXAS COUNTY &amp; DISTRICT RET</v>
      </c>
    </row>
    <row r="2548" spans="5:8" x14ac:dyDescent="0.25">
      <c r="E2548" t="str">
        <f>""</f>
        <v/>
      </c>
      <c r="F2548" t="str">
        <f>""</f>
        <v/>
      </c>
      <c r="H2548" t="str">
        <f t="shared" si="51"/>
        <v>TEXAS COUNTY &amp; DISTRICT RET</v>
      </c>
    </row>
    <row r="2549" spans="5:8" x14ac:dyDescent="0.25">
      <c r="E2549" t="str">
        <f>""</f>
        <v/>
      </c>
      <c r="F2549" t="str">
        <f>""</f>
        <v/>
      </c>
      <c r="H2549" t="str">
        <f t="shared" si="51"/>
        <v>TEXAS COUNTY &amp; DISTRICT RET</v>
      </c>
    </row>
    <row r="2550" spans="5:8" x14ac:dyDescent="0.25">
      <c r="E2550" t="str">
        <f>""</f>
        <v/>
      </c>
      <c r="F2550" t="str">
        <f>""</f>
        <v/>
      </c>
      <c r="H2550" t="str">
        <f t="shared" si="51"/>
        <v>TEXAS COUNTY &amp; DISTRICT RET</v>
      </c>
    </row>
    <row r="2551" spans="5:8" x14ac:dyDescent="0.25">
      <c r="E2551" t="str">
        <f>""</f>
        <v/>
      </c>
      <c r="F2551" t="str">
        <f>""</f>
        <v/>
      </c>
      <c r="H2551" t="str">
        <f t="shared" si="51"/>
        <v>TEXAS COUNTY &amp; DISTRICT RET</v>
      </c>
    </row>
    <row r="2552" spans="5:8" x14ac:dyDescent="0.25">
      <c r="E2552" t="str">
        <f>""</f>
        <v/>
      </c>
      <c r="F2552" t="str">
        <f>""</f>
        <v/>
      </c>
      <c r="H2552" t="str">
        <f t="shared" si="51"/>
        <v>TEXAS COUNTY &amp; DISTRICT RET</v>
      </c>
    </row>
    <row r="2553" spans="5:8" x14ac:dyDescent="0.25">
      <c r="E2553" t="str">
        <f>""</f>
        <v/>
      </c>
      <c r="F2553" t="str">
        <f>""</f>
        <v/>
      </c>
      <c r="H2553" t="str">
        <f t="shared" si="51"/>
        <v>TEXAS COUNTY &amp; DISTRICT RET</v>
      </c>
    </row>
    <row r="2554" spans="5:8" x14ac:dyDescent="0.25">
      <c r="E2554" t="str">
        <f>""</f>
        <v/>
      </c>
      <c r="F2554" t="str">
        <f>""</f>
        <v/>
      </c>
      <c r="H2554" t="str">
        <f t="shared" si="51"/>
        <v>TEXAS COUNTY &amp; DISTRICT RET</v>
      </c>
    </row>
    <row r="2555" spans="5:8" x14ac:dyDescent="0.25">
      <c r="E2555" t="str">
        <f>""</f>
        <v/>
      </c>
      <c r="F2555" t="str">
        <f>""</f>
        <v/>
      </c>
      <c r="H2555" t="str">
        <f t="shared" si="51"/>
        <v>TEXAS COUNTY &amp; DISTRICT RET</v>
      </c>
    </row>
    <row r="2556" spans="5:8" x14ac:dyDescent="0.25">
      <c r="E2556" t="str">
        <f>""</f>
        <v/>
      </c>
      <c r="F2556" t="str">
        <f>""</f>
        <v/>
      </c>
      <c r="H2556" t="str">
        <f t="shared" si="51"/>
        <v>TEXAS COUNTY &amp; DISTRICT RET</v>
      </c>
    </row>
    <row r="2557" spans="5:8" x14ac:dyDescent="0.25">
      <c r="E2557" t="str">
        <f>""</f>
        <v/>
      </c>
      <c r="F2557" t="str">
        <f>""</f>
        <v/>
      </c>
      <c r="H2557" t="str">
        <f t="shared" si="51"/>
        <v>TEXAS COUNTY &amp; DISTRICT RET</v>
      </c>
    </row>
    <row r="2558" spans="5:8" x14ac:dyDescent="0.25">
      <c r="E2558" t="str">
        <f>""</f>
        <v/>
      </c>
      <c r="F2558" t="str">
        <f>""</f>
        <v/>
      </c>
      <c r="H2558" t="str">
        <f t="shared" si="51"/>
        <v>TEXAS COUNTY &amp; DISTRICT RET</v>
      </c>
    </row>
    <row r="2559" spans="5:8" x14ac:dyDescent="0.25">
      <c r="E2559" t="str">
        <f>""</f>
        <v/>
      </c>
      <c r="F2559" t="str">
        <f>""</f>
        <v/>
      </c>
      <c r="H2559" t="str">
        <f t="shared" si="51"/>
        <v>TEXAS COUNTY &amp; DISTRICT RET</v>
      </c>
    </row>
    <row r="2560" spans="5:8" x14ac:dyDescent="0.25">
      <c r="E2560" t="str">
        <f>""</f>
        <v/>
      </c>
      <c r="F2560" t="str">
        <f>""</f>
        <v/>
      </c>
      <c r="H2560" t="str">
        <f t="shared" si="51"/>
        <v>TEXAS COUNTY &amp; DISTRICT RET</v>
      </c>
    </row>
    <row r="2561" spans="5:8" x14ac:dyDescent="0.25">
      <c r="E2561" t="str">
        <f>""</f>
        <v/>
      </c>
      <c r="F2561" t="str">
        <f>""</f>
        <v/>
      </c>
      <c r="H2561" t="str">
        <f t="shared" si="51"/>
        <v>TEXAS COUNTY &amp; DISTRICT RET</v>
      </c>
    </row>
    <row r="2562" spans="5:8" x14ac:dyDescent="0.25">
      <c r="E2562" t="str">
        <f>""</f>
        <v/>
      </c>
      <c r="F2562" t="str">
        <f>""</f>
        <v/>
      </c>
      <c r="H2562" t="str">
        <f t="shared" si="51"/>
        <v>TEXAS COUNTY &amp; DISTRICT RET</v>
      </c>
    </row>
    <row r="2563" spans="5:8" x14ac:dyDescent="0.25">
      <c r="E2563" t="str">
        <f>""</f>
        <v/>
      </c>
      <c r="F2563" t="str">
        <f>""</f>
        <v/>
      </c>
      <c r="H2563" t="str">
        <f t="shared" si="51"/>
        <v>TEXAS COUNTY &amp; DISTRICT RET</v>
      </c>
    </row>
    <row r="2564" spans="5:8" x14ac:dyDescent="0.25">
      <c r="E2564" t="str">
        <f>""</f>
        <v/>
      </c>
      <c r="F2564" t="str">
        <f>""</f>
        <v/>
      </c>
      <c r="H2564" t="str">
        <f t="shared" si="51"/>
        <v>TEXAS COUNTY &amp; DISTRICT RET</v>
      </c>
    </row>
    <row r="2565" spans="5:8" x14ac:dyDescent="0.25">
      <c r="E2565" t="str">
        <f>""</f>
        <v/>
      </c>
      <c r="F2565" t="str">
        <f>""</f>
        <v/>
      </c>
      <c r="H2565" t="str">
        <f t="shared" si="51"/>
        <v>TEXAS COUNTY &amp; DISTRICT RET</v>
      </c>
    </row>
    <row r="2566" spans="5:8" x14ac:dyDescent="0.25">
      <c r="E2566" t="str">
        <f>""</f>
        <v/>
      </c>
      <c r="F2566" t="str">
        <f>""</f>
        <v/>
      </c>
      <c r="H2566" t="str">
        <f t="shared" si="51"/>
        <v>TEXAS COUNTY &amp; DISTRICT RET</v>
      </c>
    </row>
    <row r="2567" spans="5:8" x14ac:dyDescent="0.25">
      <c r="E2567" t="str">
        <f>""</f>
        <v/>
      </c>
      <c r="F2567" t="str">
        <f>""</f>
        <v/>
      </c>
      <c r="H2567" t="str">
        <f t="shared" si="51"/>
        <v>TEXAS COUNTY &amp; DISTRICT RET</v>
      </c>
    </row>
    <row r="2568" spans="5:8" x14ac:dyDescent="0.25">
      <c r="E2568" t="str">
        <f>""</f>
        <v/>
      </c>
      <c r="F2568" t="str">
        <f>""</f>
        <v/>
      </c>
      <c r="H2568" t="str">
        <f t="shared" si="51"/>
        <v>TEXAS COUNTY &amp; DISTRICT RET</v>
      </c>
    </row>
    <row r="2569" spans="5:8" x14ac:dyDescent="0.25">
      <c r="E2569" t="str">
        <f>""</f>
        <v/>
      </c>
      <c r="F2569" t="str">
        <f>""</f>
        <v/>
      </c>
      <c r="H2569" t="str">
        <f t="shared" si="51"/>
        <v>TEXAS COUNTY &amp; DISTRICT RET</v>
      </c>
    </row>
    <row r="2570" spans="5:8" x14ac:dyDescent="0.25">
      <c r="E2570" t="str">
        <f>""</f>
        <v/>
      </c>
      <c r="F2570" t="str">
        <f>""</f>
        <v/>
      </c>
      <c r="H2570" t="str">
        <f t="shared" ref="H2570:H2589" si="52">"TEXAS COUNTY &amp; DISTRICT RET"</f>
        <v>TEXAS COUNTY &amp; DISTRICT RET</v>
      </c>
    </row>
    <row r="2571" spans="5:8" x14ac:dyDescent="0.25">
      <c r="E2571" t="str">
        <f>""</f>
        <v/>
      </c>
      <c r="F2571" t="str">
        <f>""</f>
        <v/>
      </c>
      <c r="H2571" t="str">
        <f t="shared" si="52"/>
        <v>TEXAS COUNTY &amp; DISTRICT RET</v>
      </c>
    </row>
    <row r="2572" spans="5:8" x14ac:dyDescent="0.25">
      <c r="E2572" t="str">
        <f>""</f>
        <v/>
      </c>
      <c r="F2572" t="str">
        <f>""</f>
        <v/>
      </c>
      <c r="H2572" t="str">
        <f t="shared" si="52"/>
        <v>TEXAS COUNTY &amp; DISTRICT RET</v>
      </c>
    </row>
    <row r="2573" spans="5:8" x14ac:dyDescent="0.25">
      <c r="E2573" t="str">
        <f>""</f>
        <v/>
      </c>
      <c r="F2573" t="str">
        <f>""</f>
        <v/>
      </c>
      <c r="H2573" t="str">
        <f t="shared" si="52"/>
        <v>TEXAS COUNTY &amp; DISTRICT RET</v>
      </c>
    </row>
    <row r="2574" spans="5:8" x14ac:dyDescent="0.25">
      <c r="E2574" t="str">
        <f>""</f>
        <v/>
      </c>
      <c r="F2574" t="str">
        <f>""</f>
        <v/>
      </c>
      <c r="H2574" t="str">
        <f t="shared" si="52"/>
        <v>TEXAS COUNTY &amp; DISTRICT RET</v>
      </c>
    </row>
    <row r="2575" spans="5:8" x14ac:dyDescent="0.25">
      <c r="E2575" t="str">
        <f>""</f>
        <v/>
      </c>
      <c r="F2575" t="str">
        <f>""</f>
        <v/>
      </c>
      <c r="H2575" t="str">
        <f t="shared" si="52"/>
        <v>TEXAS COUNTY &amp; DISTRICT RET</v>
      </c>
    </row>
    <row r="2576" spans="5:8" x14ac:dyDescent="0.25">
      <c r="E2576" t="str">
        <f>""</f>
        <v/>
      </c>
      <c r="F2576" t="str">
        <f>""</f>
        <v/>
      </c>
      <c r="H2576" t="str">
        <f t="shared" si="52"/>
        <v>TEXAS COUNTY &amp; DISTRICT RET</v>
      </c>
    </row>
    <row r="2577" spans="5:8" x14ac:dyDescent="0.25">
      <c r="E2577" t="str">
        <f>""</f>
        <v/>
      </c>
      <c r="F2577" t="str">
        <f>""</f>
        <v/>
      </c>
      <c r="H2577" t="str">
        <f t="shared" si="52"/>
        <v>TEXAS COUNTY &amp; DISTRICT RET</v>
      </c>
    </row>
    <row r="2578" spans="5:8" x14ac:dyDescent="0.25">
      <c r="E2578" t="str">
        <f>""</f>
        <v/>
      </c>
      <c r="F2578" t="str">
        <f>""</f>
        <v/>
      </c>
      <c r="H2578" t="str">
        <f t="shared" si="52"/>
        <v>TEXAS COUNTY &amp; DISTRICT RET</v>
      </c>
    </row>
    <row r="2579" spans="5:8" x14ac:dyDescent="0.25">
      <c r="E2579" t="str">
        <f>""</f>
        <v/>
      </c>
      <c r="F2579" t="str">
        <f>""</f>
        <v/>
      </c>
      <c r="H2579" t="str">
        <f t="shared" si="52"/>
        <v>TEXAS COUNTY &amp; DISTRICT RET</v>
      </c>
    </row>
    <row r="2580" spans="5:8" x14ac:dyDescent="0.25">
      <c r="E2580" t="str">
        <f>""</f>
        <v/>
      </c>
      <c r="F2580" t="str">
        <f>""</f>
        <v/>
      </c>
      <c r="H2580" t="str">
        <f t="shared" si="52"/>
        <v>TEXAS COUNTY &amp; DISTRICT RET</v>
      </c>
    </row>
    <row r="2581" spans="5:8" x14ac:dyDescent="0.25">
      <c r="E2581" t="str">
        <f>""</f>
        <v/>
      </c>
      <c r="F2581" t="str">
        <f>""</f>
        <v/>
      </c>
      <c r="H2581" t="str">
        <f t="shared" si="52"/>
        <v>TEXAS COUNTY &amp; DISTRICT RET</v>
      </c>
    </row>
    <row r="2582" spans="5:8" x14ac:dyDescent="0.25">
      <c r="E2582" t="str">
        <f>""</f>
        <v/>
      </c>
      <c r="F2582" t="str">
        <f>""</f>
        <v/>
      </c>
      <c r="H2582" t="str">
        <f t="shared" si="52"/>
        <v>TEXAS COUNTY &amp; DISTRICT RET</v>
      </c>
    </row>
    <row r="2583" spans="5:8" x14ac:dyDescent="0.25">
      <c r="E2583" t="str">
        <f>""</f>
        <v/>
      </c>
      <c r="F2583" t="str">
        <f>""</f>
        <v/>
      </c>
      <c r="H2583" t="str">
        <f t="shared" si="52"/>
        <v>TEXAS COUNTY &amp; DISTRICT RET</v>
      </c>
    </row>
    <row r="2584" spans="5:8" x14ac:dyDescent="0.25">
      <c r="E2584" t="str">
        <f>""</f>
        <v/>
      </c>
      <c r="F2584" t="str">
        <f>""</f>
        <v/>
      </c>
      <c r="H2584" t="str">
        <f t="shared" si="52"/>
        <v>TEXAS COUNTY &amp; DISTRICT RET</v>
      </c>
    </row>
    <row r="2585" spans="5:8" x14ac:dyDescent="0.25">
      <c r="E2585" t="str">
        <f>""</f>
        <v/>
      </c>
      <c r="F2585" t="str">
        <f>""</f>
        <v/>
      </c>
      <c r="H2585" t="str">
        <f t="shared" si="52"/>
        <v>TEXAS COUNTY &amp; DISTRICT RET</v>
      </c>
    </row>
    <row r="2586" spans="5:8" x14ac:dyDescent="0.25">
      <c r="E2586" t="str">
        <f>""</f>
        <v/>
      </c>
      <c r="F2586" t="str">
        <f>""</f>
        <v/>
      </c>
      <c r="H2586" t="str">
        <f t="shared" si="52"/>
        <v>TEXAS COUNTY &amp; DISTRICT RET</v>
      </c>
    </row>
    <row r="2587" spans="5:8" x14ac:dyDescent="0.25">
      <c r="E2587" t="str">
        <f>""</f>
        <v/>
      </c>
      <c r="F2587" t="str">
        <f>""</f>
        <v/>
      </c>
      <c r="H2587" t="str">
        <f t="shared" si="52"/>
        <v>TEXAS COUNTY &amp; DISTRICT RET</v>
      </c>
    </row>
    <row r="2588" spans="5:8" x14ac:dyDescent="0.25">
      <c r="E2588" t="str">
        <f>""</f>
        <v/>
      </c>
      <c r="F2588" t="str">
        <f>""</f>
        <v/>
      </c>
      <c r="H2588" t="str">
        <f t="shared" si="52"/>
        <v>TEXAS COUNTY &amp; DISTRICT RET</v>
      </c>
    </row>
    <row r="2589" spans="5:8" x14ac:dyDescent="0.25">
      <c r="E2589" t="str">
        <f>""</f>
        <v/>
      </c>
      <c r="F2589" t="str">
        <f>""</f>
        <v/>
      </c>
      <c r="H2589" t="str">
        <f t="shared" si="52"/>
        <v>TEXAS COUNTY &amp; DISTRICT RET</v>
      </c>
    </row>
    <row r="2590" spans="5:8" x14ac:dyDescent="0.25">
      <c r="E2590" t="str">
        <f>"RET202007087799"</f>
        <v>RET202007087799</v>
      </c>
      <c r="F2590" t="str">
        <f>"TEXAS COUNTY  DISTRICT RET"</f>
        <v>TEXAS COUNTY  DISTRICT RET</v>
      </c>
      <c r="G2590" s="2">
        <v>6628.82</v>
      </c>
      <c r="H2590" t="str">
        <f>"TEXAS COUNTY  DISTRICT RET"</f>
        <v>TEXAS COUNTY  DISTRICT RET</v>
      </c>
    </row>
    <row r="2591" spans="5:8" x14ac:dyDescent="0.25">
      <c r="E2591" t="str">
        <f>""</f>
        <v/>
      </c>
      <c r="F2591" t="str">
        <f>""</f>
        <v/>
      </c>
      <c r="H2591" t="str">
        <f>"TEXAS COUNTY  DISTRICT RET"</f>
        <v>TEXAS COUNTY  DISTRICT RET</v>
      </c>
    </row>
    <row r="2592" spans="5:8" x14ac:dyDescent="0.25">
      <c r="E2592" t="str">
        <f>"RET202007087800"</f>
        <v>RET202007087800</v>
      </c>
      <c r="F2592" t="str">
        <f>"TEXAS COUNTY &amp; DISTRICT RET"</f>
        <v>TEXAS COUNTY &amp; DISTRICT RET</v>
      </c>
      <c r="G2592" s="2">
        <v>7789.73</v>
      </c>
      <c r="H2592" t="str">
        <f t="shared" ref="H2592:H2623" si="53">"TEXAS COUNTY &amp; DISTRICT RET"</f>
        <v>TEXAS COUNTY &amp; DISTRICT RET</v>
      </c>
    </row>
    <row r="2593" spans="5:8" x14ac:dyDescent="0.25">
      <c r="E2593" t="str">
        <f>""</f>
        <v/>
      </c>
      <c r="F2593" t="str">
        <f>""</f>
        <v/>
      </c>
      <c r="H2593" t="str">
        <f t="shared" si="53"/>
        <v>TEXAS COUNTY &amp; DISTRICT RET</v>
      </c>
    </row>
    <row r="2594" spans="5:8" x14ac:dyDescent="0.25">
      <c r="E2594" t="str">
        <f>"RET202007228005"</f>
        <v>RET202007228005</v>
      </c>
      <c r="F2594" t="str">
        <f>"TEXAS COUNTY &amp; DISTRICT RET"</f>
        <v>TEXAS COUNTY &amp; DISTRICT RET</v>
      </c>
      <c r="G2594" s="2">
        <v>178585.54</v>
      </c>
      <c r="H2594" t="str">
        <f t="shared" si="53"/>
        <v>TEXAS COUNTY &amp; DISTRICT RET</v>
      </c>
    </row>
    <row r="2595" spans="5:8" x14ac:dyDescent="0.25">
      <c r="E2595" t="str">
        <f>""</f>
        <v/>
      </c>
      <c r="F2595" t="str">
        <f>""</f>
        <v/>
      </c>
      <c r="H2595" t="str">
        <f t="shared" si="53"/>
        <v>TEXAS COUNTY &amp; DISTRICT RET</v>
      </c>
    </row>
    <row r="2596" spans="5:8" x14ac:dyDescent="0.25">
      <c r="E2596" t="str">
        <f>""</f>
        <v/>
      </c>
      <c r="F2596" t="str">
        <f>""</f>
        <v/>
      </c>
      <c r="H2596" t="str">
        <f t="shared" si="53"/>
        <v>TEXAS COUNTY &amp; DISTRICT RET</v>
      </c>
    </row>
    <row r="2597" spans="5:8" x14ac:dyDescent="0.25">
      <c r="E2597" t="str">
        <f>""</f>
        <v/>
      </c>
      <c r="F2597" t="str">
        <f>""</f>
        <v/>
      </c>
      <c r="H2597" t="str">
        <f t="shared" si="53"/>
        <v>TEXAS COUNTY &amp; DISTRICT RET</v>
      </c>
    </row>
    <row r="2598" spans="5:8" x14ac:dyDescent="0.25">
      <c r="E2598" t="str">
        <f>""</f>
        <v/>
      </c>
      <c r="F2598" t="str">
        <f>""</f>
        <v/>
      </c>
      <c r="H2598" t="str">
        <f t="shared" si="53"/>
        <v>TEXAS COUNTY &amp; DISTRICT RET</v>
      </c>
    </row>
    <row r="2599" spans="5:8" x14ac:dyDescent="0.25">
      <c r="E2599" t="str">
        <f>""</f>
        <v/>
      </c>
      <c r="F2599" t="str">
        <f>""</f>
        <v/>
      </c>
      <c r="H2599" t="str">
        <f t="shared" si="53"/>
        <v>TEXAS COUNTY &amp; DISTRICT RET</v>
      </c>
    </row>
    <row r="2600" spans="5:8" x14ac:dyDescent="0.25">
      <c r="E2600" t="str">
        <f>""</f>
        <v/>
      </c>
      <c r="F2600" t="str">
        <f>""</f>
        <v/>
      </c>
      <c r="H2600" t="str">
        <f t="shared" si="53"/>
        <v>TEXAS COUNTY &amp; DISTRICT RET</v>
      </c>
    </row>
    <row r="2601" spans="5:8" x14ac:dyDescent="0.25">
      <c r="E2601" t="str">
        <f>""</f>
        <v/>
      </c>
      <c r="F2601" t="str">
        <f>""</f>
        <v/>
      </c>
      <c r="H2601" t="str">
        <f t="shared" si="53"/>
        <v>TEXAS COUNTY &amp; DISTRICT RET</v>
      </c>
    </row>
    <row r="2602" spans="5:8" x14ac:dyDescent="0.25">
      <c r="E2602" t="str">
        <f>""</f>
        <v/>
      </c>
      <c r="F2602" t="str">
        <f>""</f>
        <v/>
      </c>
      <c r="H2602" t="str">
        <f t="shared" si="53"/>
        <v>TEXAS COUNTY &amp; DISTRICT RET</v>
      </c>
    </row>
    <row r="2603" spans="5:8" x14ac:dyDescent="0.25">
      <c r="E2603" t="str">
        <f>""</f>
        <v/>
      </c>
      <c r="F2603" t="str">
        <f>""</f>
        <v/>
      </c>
      <c r="H2603" t="str">
        <f t="shared" si="53"/>
        <v>TEXAS COUNTY &amp; DISTRICT RET</v>
      </c>
    </row>
    <row r="2604" spans="5:8" x14ac:dyDescent="0.25">
      <c r="E2604" t="str">
        <f>""</f>
        <v/>
      </c>
      <c r="F2604" t="str">
        <f>""</f>
        <v/>
      </c>
      <c r="H2604" t="str">
        <f t="shared" si="53"/>
        <v>TEXAS COUNTY &amp; DISTRICT RET</v>
      </c>
    </row>
    <row r="2605" spans="5:8" x14ac:dyDescent="0.25">
      <c r="E2605" t="str">
        <f>""</f>
        <v/>
      </c>
      <c r="F2605" t="str">
        <f>""</f>
        <v/>
      </c>
      <c r="H2605" t="str">
        <f t="shared" si="53"/>
        <v>TEXAS COUNTY &amp; DISTRICT RET</v>
      </c>
    </row>
    <row r="2606" spans="5:8" x14ac:dyDescent="0.25">
      <c r="E2606" t="str">
        <f>""</f>
        <v/>
      </c>
      <c r="F2606" t="str">
        <f>""</f>
        <v/>
      </c>
      <c r="H2606" t="str">
        <f t="shared" si="53"/>
        <v>TEXAS COUNTY &amp; DISTRICT RET</v>
      </c>
    </row>
    <row r="2607" spans="5:8" x14ac:dyDescent="0.25">
      <c r="E2607" t="str">
        <f>""</f>
        <v/>
      </c>
      <c r="F2607" t="str">
        <f>""</f>
        <v/>
      </c>
      <c r="H2607" t="str">
        <f t="shared" si="53"/>
        <v>TEXAS COUNTY &amp; DISTRICT RET</v>
      </c>
    </row>
    <row r="2608" spans="5:8" x14ac:dyDescent="0.25">
      <c r="E2608" t="str">
        <f>""</f>
        <v/>
      </c>
      <c r="F2608" t="str">
        <f>""</f>
        <v/>
      </c>
      <c r="H2608" t="str">
        <f t="shared" si="53"/>
        <v>TEXAS COUNTY &amp; DISTRICT RET</v>
      </c>
    </row>
    <row r="2609" spans="5:8" x14ac:dyDescent="0.25">
      <c r="E2609" t="str">
        <f>""</f>
        <v/>
      </c>
      <c r="F2609" t="str">
        <f>""</f>
        <v/>
      </c>
      <c r="H2609" t="str">
        <f t="shared" si="53"/>
        <v>TEXAS COUNTY &amp; DISTRICT RET</v>
      </c>
    </row>
    <row r="2610" spans="5:8" x14ac:dyDescent="0.25">
      <c r="E2610" t="str">
        <f>""</f>
        <v/>
      </c>
      <c r="F2610" t="str">
        <f>""</f>
        <v/>
      </c>
      <c r="H2610" t="str">
        <f t="shared" si="53"/>
        <v>TEXAS COUNTY &amp; DISTRICT RET</v>
      </c>
    </row>
    <row r="2611" spans="5:8" x14ac:dyDescent="0.25">
      <c r="E2611" t="str">
        <f>""</f>
        <v/>
      </c>
      <c r="F2611" t="str">
        <f>""</f>
        <v/>
      </c>
      <c r="H2611" t="str">
        <f t="shared" si="53"/>
        <v>TEXAS COUNTY &amp; DISTRICT RET</v>
      </c>
    </row>
    <row r="2612" spans="5:8" x14ac:dyDescent="0.25">
      <c r="E2612" t="str">
        <f>""</f>
        <v/>
      </c>
      <c r="F2612" t="str">
        <f>""</f>
        <v/>
      </c>
      <c r="H2612" t="str">
        <f t="shared" si="53"/>
        <v>TEXAS COUNTY &amp; DISTRICT RET</v>
      </c>
    </row>
    <row r="2613" spans="5:8" x14ac:dyDescent="0.25">
      <c r="E2613" t="str">
        <f>""</f>
        <v/>
      </c>
      <c r="F2613" t="str">
        <f>""</f>
        <v/>
      </c>
      <c r="H2613" t="str">
        <f t="shared" si="53"/>
        <v>TEXAS COUNTY &amp; DISTRICT RET</v>
      </c>
    </row>
    <row r="2614" spans="5:8" x14ac:dyDescent="0.25">
      <c r="E2614" t="str">
        <f>""</f>
        <v/>
      </c>
      <c r="F2614" t="str">
        <f>""</f>
        <v/>
      </c>
      <c r="H2614" t="str">
        <f t="shared" si="53"/>
        <v>TEXAS COUNTY &amp; DISTRICT RET</v>
      </c>
    </row>
    <row r="2615" spans="5:8" x14ac:dyDescent="0.25">
      <c r="E2615" t="str">
        <f>""</f>
        <v/>
      </c>
      <c r="F2615" t="str">
        <f>""</f>
        <v/>
      </c>
      <c r="H2615" t="str">
        <f t="shared" si="53"/>
        <v>TEXAS COUNTY &amp; DISTRICT RET</v>
      </c>
    </row>
    <row r="2616" spans="5:8" x14ac:dyDescent="0.25">
      <c r="E2616" t="str">
        <f>""</f>
        <v/>
      </c>
      <c r="F2616" t="str">
        <f>""</f>
        <v/>
      </c>
      <c r="H2616" t="str">
        <f t="shared" si="53"/>
        <v>TEXAS COUNTY &amp; DISTRICT RET</v>
      </c>
    </row>
    <row r="2617" spans="5:8" x14ac:dyDescent="0.25">
      <c r="E2617" t="str">
        <f>""</f>
        <v/>
      </c>
      <c r="F2617" t="str">
        <f>""</f>
        <v/>
      </c>
      <c r="H2617" t="str">
        <f t="shared" si="53"/>
        <v>TEXAS COUNTY &amp; DISTRICT RET</v>
      </c>
    </row>
    <row r="2618" spans="5:8" x14ac:dyDescent="0.25">
      <c r="E2618" t="str">
        <f>""</f>
        <v/>
      </c>
      <c r="F2618" t="str">
        <f>""</f>
        <v/>
      </c>
      <c r="H2618" t="str">
        <f t="shared" si="53"/>
        <v>TEXAS COUNTY &amp; DISTRICT RET</v>
      </c>
    </row>
    <row r="2619" spans="5:8" x14ac:dyDescent="0.25">
      <c r="E2619" t="str">
        <f>""</f>
        <v/>
      </c>
      <c r="F2619" t="str">
        <f>""</f>
        <v/>
      </c>
      <c r="H2619" t="str">
        <f t="shared" si="53"/>
        <v>TEXAS COUNTY &amp; DISTRICT RET</v>
      </c>
    </row>
    <row r="2620" spans="5:8" x14ac:dyDescent="0.25">
      <c r="E2620" t="str">
        <f>""</f>
        <v/>
      </c>
      <c r="F2620" t="str">
        <f>""</f>
        <v/>
      </c>
      <c r="H2620" t="str">
        <f t="shared" si="53"/>
        <v>TEXAS COUNTY &amp; DISTRICT RET</v>
      </c>
    </row>
    <row r="2621" spans="5:8" x14ac:dyDescent="0.25">
      <c r="E2621" t="str">
        <f>""</f>
        <v/>
      </c>
      <c r="F2621" t="str">
        <f>""</f>
        <v/>
      </c>
      <c r="H2621" t="str">
        <f t="shared" si="53"/>
        <v>TEXAS COUNTY &amp; DISTRICT RET</v>
      </c>
    </row>
    <row r="2622" spans="5:8" x14ac:dyDescent="0.25">
      <c r="E2622" t="str">
        <f>""</f>
        <v/>
      </c>
      <c r="F2622" t="str">
        <f>""</f>
        <v/>
      </c>
      <c r="H2622" t="str">
        <f t="shared" si="53"/>
        <v>TEXAS COUNTY &amp; DISTRICT RET</v>
      </c>
    </row>
    <row r="2623" spans="5:8" x14ac:dyDescent="0.25">
      <c r="E2623" t="str">
        <f>""</f>
        <v/>
      </c>
      <c r="F2623" t="str">
        <f>""</f>
        <v/>
      </c>
      <c r="H2623" t="str">
        <f t="shared" si="53"/>
        <v>TEXAS COUNTY &amp; DISTRICT RET</v>
      </c>
    </row>
    <row r="2624" spans="5:8" x14ac:dyDescent="0.25">
      <c r="E2624" t="str">
        <f>""</f>
        <v/>
      </c>
      <c r="F2624" t="str">
        <f>""</f>
        <v/>
      </c>
      <c r="H2624" t="str">
        <f t="shared" ref="H2624:H2645" si="54">"TEXAS COUNTY &amp; DISTRICT RET"</f>
        <v>TEXAS COUNTY &amp; DISTRICT RET</v>
      </c>
    </row>
    <row r="2625" spans="5:8" x14ac:dyDescent="0.25">
      <c r="E2625" t="str">
        <f>""</f>
        <v/>
      </c>
      <c r="F2625" t="str">
        <f>""</f>
        <v/>
      </c>
      <c r="H2625" t="str">
        <f t="shared" si="54"/>
        <v>TEXAS COUNTY &amp; DISTRICT RET</v>
      </c>
    </row>
    <row r="2626" spans="5:8" x14ac:dyDescent="0.25">
      <c r="E2626" t="str">
        <f>""</f>
        <v/>
      </c>
      <c r="F2626" t="str">
        <f>""</f>
        <v/>
      </c>
      <c r="H2626" t="str">
        <f t="shared" si="54"/>
        <v>TEXAS COUNTY &amp; DISTRICT RET</v>
      </c>
    </row>
    <row r="2627" spans="5:8" x14ac:dyDescent="0.25">
      <c r="E2627" t="str">
        <f>""</f>
        <v/>
      </c>
      <c r="F2627" t="str">
        <f>""</f>
        <v/>
      </c>
      <c r="H2627" t="str">
        <f t="shared" si="54"/>
        <v>TEXAS COUNTY &amp; DISTRICT RET</v>
      </c>
    </row>
    <row r="2628" spans="5:8" x14ac:dyDescent="0.25">
      <c r="E2628" t="str">
        <f>""</f>
        <v/>
      </c>
      <c r="F2628" t="str">
        <f>""</f>
        <v/>
      </c>
      <c r="H2628" t="str">
        <f t="shared" si="54"/>
        <v>TEXAS COUNTY &amp; DISTRICT RET</v>
      </c>
    </row>
    <row r="2629" spans="5:8" x14ac:dyDescent="0.25">
      <c r="E2629" t="str">
        <f>""</f>
        <v/>
      </c>
      <c r="F2629" t="str">
        <f>""</f>
        <v/>
      </c>
      <c r="H2629" t="str">
        <f t="shared" si="54"/>
        <v>TEXAS COUNTY &amp; DISTRICT RET</v>
      </c>
    </row>
    <row r="2630" spans="5:8" x14ac:dyDescent="0.25">
      <c r="E2630" t="str">
        <f>""</f>
        <v/>
      </c>
      <c r="F2630" t="str">
        <f>""</f>
        <v/>
      </c>
      <c r="H2630" t="str">
        <f t="shared" si="54"/>
        <v>TEXAS COUNTY &amp; DISTRICT RET</v>
      </c>
    </row>
    <row r="2631" spans="5:8" x14ac:dyDescent="0.25">
      <c r="E2631" t="str">
        <f>""</f>
        <v/>
      </c>
      <c r="F2631" t="str">
        <f>""</f>
        <v/>
      </c>
      <c r="H2631" t="str">
        <f t="shared" si="54"/>
        <v>TEXAS COUNTY &amp; DISTRICT RET</v>
      </c>
    </row>
    <row r="2632" spans="5:8" x14ac:dyDescent="0.25">
      <c r="E2632" t="str">
        <f>""</f>
        <v/>
      </c>
      <c r="F2632" t="str">
        <f>""</f>
        <v/>
      </c>
      <c r="H2632" t="str">
        <f t="shared" si="54"/>
        <v>TEXAS COUNTY &amp; DISTRICT RET</v>
      </c>
    </row>
    <row r="2633" spans="5:8" x14ac:dyDescent="0.25">
      <c r="E2633" t="str">
        <f>""</f>
        <v/>
      </c>
      <c r="F2633" t="str">
        <f>""</f>
        <v/>
      </c>
      <c r="H2633" t="str">
        <f t="shared" si="54"/>
        <v>TEXAS COUNTY &amp; DISTRICT RET</v>
      </c>
    </row>
    <row r="2634" spans="5:8" x14ac:dyDescent="0.25">
      <c r="E2634" t="str">
        <f>""</f>
        <v/>
      </c>
      <c r="F2634" t="str">
        <f>""</f>
        <v/>
      </c>
      <c r="H2634" t="str">
        <f t="shared" si="54"/>
        <v>TEXAS COUNTY &amp; DISTRICT RET</v>
      </c>
    </row>
    <row r="2635" spans="5:8" x14ac:dyDescent="0.25">
      <c r="E2635" t="str">
        <f>""</f>
        <v/>
      </c>
      <c r="F2635" t="str">
        <f>""</f>
        <v/>
      </c>
      <c r="H2635" t="str">
        <f t="shared" si="54"/>
        <v>TEXAS COUNTY &amp; DISTRICT RET</v>
      </c>
    </row>
    <row r="2636" spans="5:8" x14ac:dyDescent="0.25">
      <c r="E2636" t="str">
        <f>""</f>
        <v/>
      </c>
      <c r="F2636" t="str">
        <f>""</f>
        <v/>
      </c>
      <c r="H2636" t="str">
        <f t="shared" si="54"/>
        <v>TEXAS COUNTY &amp; DISTRICT RET</v>
      </c>
    </row>
    <row r="2637" spans="5:8" x14ac:dyDescent="0.25">
      <c r="E2637" t="str">
        <f>""</f>
        <v/>
      </c>
      <c r="F2637" t="str">
        <f>""</f>
        <v/>
      </c>
      <c r="H2637" t="str">
        <f t="shared" si="54"/>
        <v>TEXAS COUNTY &amp; DISTRICT RET</v>
      </c>
    </row>
    <row r="2638" spans="5:8" x14ac:dyDescent="0.25">
      <c r="E2638" t="str">
        <f>""</f>
        <v/>
      </c>
      <c r="F2638" t="str">
        <f>""</f>
        <v/>
      </c>
      <c r="H2638" t="str">
        <f t="shared" si="54"/>
        <v>TEXAS COUNTY &amp; DISTRICT RET</v>
      </c>
    </row>
    <row r="2639" spans="5:8" x14ac:dyDescent="0.25">
      <c r="E2639" t="str">
        <f>""</f>
        <v/>
      </c>
      <c r="F2639" t="str">
        <f>""</f>
        <v/>
      </c>
      <c r="H2639" t="str">
        <f t="shared" si="54"/>
        <v>TEXAS COUNTY &amp; DISTRICT RET</v>
      </c>
    </row>
    <row r="2640" spans="5:8" x14ac:dyDescent="0.25">
      <c r="E2640" t="str">
        <f>""</f>
        <v/>
      </c>
      <c r="F2640" t="str">
        <f>""</f>
        <v/>
      </c>
      <c r="H2640" t="str">
        <f t="shared" si="54"/>
        <v>TEXAS COUNTY &amp; DISTRICT RET</v>
      </c>
    </row>
    <row r="2641" spans="1:8" x14ac:dyDescent="0.25">
      <c r="E2641" t="str">
        <f>""</f>
        <v/>
      </c>
      <c r="F2641" t="str">
        <f>""</f>
        <v/>
      </c>
      <c r="H2641" t="str">
        <f t="shared" si="54"/>
        <v>TEXAS COUNTY &amp; DISTRICT RET</v>
      </c>
    </row>
    <row r="2642" spans="1:8" x14ac:dyDescent="0.25">
      <c r="E2642" t="str">
        <f>""</f>
        <v/>
      </c>
      <c r="F2642" t="str">
        <f>""</f>
        <v/>
      </c>
      <c r="H2642" t="str">
        <f t="shared" si="54"/>
        <v>TEXAS COUNTY &amp; DISTRICT RET</v>
      </c>
    </row>
    <row r="2643" spans="1:8" x14ac:dyDescent="0.25">
      <c r="E2643" t="str">
        <f>""</f>
        <v/>
      </c>
      <c r="F2643" t="str">
        <f>""</f>
        <v/>
      </c>
      <c r="H2643" t="str">
        <f t="shared" si="54"/>
        <v>TEXAS COUNTY &amp; DISTRICT RET</v>
      </c>
    </row>
    <row r="2644" spans="1:8" x14ac:dyDescent="0.25">
      <c r="E2644" t="str">
        <f>""</f>
        <v/>
      </c>
      <c r="F2644" t="str">
        <f>""</f>
        <v/>
      </c>
      <c r="H2644" t="str">
        <f t="shared" si="54"/>
        <v>TEXAS COUNTY &amp; DISTRICT RET</v>
      </c>
    </row>
    <row r="2645" spans="1:8" x14ac:dyDescent="0.25">
      <c r="E2645" t="str">
        <f>""</f>
        <v/>
      </c>
      <c r="F2645" t="str">
        <f>""</f>
        <v/>
      </c>
      <c r="H2645" t="str">
        <f t="shared" si="54"/>
        <v>TEXAS COUNTY &amp; DISTRICT RET</v>
      </c>
    </row>
    <row r="2646" spans="1:8" x14ac:dyDescent="0.25">
      <c r="E2646" t="str">
        <f>"RET202007228006"</f>
        <v>RET202007228006</v>
      </c>
      <c r="F2646" t="str">
        <f>"TEXAS COUNTY  DISTRICT RET"</f>
        <v>TEXAS COUNTY  DISTRICT RET</v>
      </c>
      <c r="G2646" s="2">
        <v>6628.82</v>
      </c>
      <c r="H2646" t="str">
        <f>"TEXAS COUNTY  DISTRICT RET"</f>
        <v>TEXAS COUNTY  DISTRICT RET</v>
      </c>
    </row>
    <row r="2647" spans="1:8" x14ac:dyDescent="0.25">
      <c r="E2647" t="str">
        <f>""</f>
        <v/>
      </c>
      <c r="F2647" t="str">
        <f>""</f>
        <v/>
      </c>
      <c r="H2647" t="str">
        <f>"TEXAS COUNTY  DISTRICT RET"</f>
        <v>TEXAS COUNTY  DISTRICT RET</v>
      </c>
    </row>
    <row r="2648" spans="1:8" x14ac:dyDescent="0.25">
      <c r="E2648" t="str">
        <f>"RET202007228007"</f>
        <v>RET202007228007</v>
      </c>
      <c r="F2648" t="str">
        <f>"TEXAS COUNTY &amp; DISTRICT RET"</f>
        <v>TEXAS COUNTY &amp; DISTRICT RET</v>
      </c>
      <c r="G2648" s="2">
        <v>7682.1</v>
      </c>
      <c r="H2648" t="str">
        <f t="shared" ref="H2648:H2679" si="55">"TEXAS COUNTY &amp; DISTRICT RET"</f>
        <v>TEXAS COUNTY &amp; DISTRICT RET</v>
      </c>
    </row>
    <row r="2649" spans="1:8" x14ac:dyDescent="0.25">
      <c r="E2649" t="str">
        <f>""</f>
        <v/>
      </c>
      <c r="F2649" t="str">
        <f>""</f>
        <v/>
      </c>
      <c r="H2649" t="str">
        <f t="shared" si="55"/>
        <v>TEXAS COUNTY &amp; DISTRICT RET</v>
      </c>
    </row>
    <row r="2650" spans="1:8" x14ac:dyDescent="0.25">
      <c r="A2650" t="s">
        <v>342</v>
      </c>
      <c r="B2650">
        <v>647</v>
      </c>
      <c r="C2650" s="2">
        <v>6186.94</v>
      </c>
      <c r="D2650" s="1">
        <v>44041</v>
      </c>
      <c r="E2650" t="str">
        <f>"RET202007298047"</f>
        <v>RET202007298047</v>
      </c>
      <c r="F2650" t="str">
        <f>"TEXAS COUNTY &amp; DISTRICT RET"</f>
        <v>TEXAS COUNTY &amp; DISTRICT RET</v>
      </c>
      <c r="G2650" s="2">
        <v>6186.94</v>
      </c>
      <c r="H2650" t="str">
        <f t="shared" si="55"/>
        <v>TEXAS COUNTY &amp; DISTRICT RET</v>
      </c>
    </row>
    <row r="2651" spans="1:8" x14ac:dyDescent="0.25">
      <c r="E2651" t="str">
        <f>""</f>
        <v/>
      </c>
      <c r="F2651" t="str">
        <f>""</f>
        <v/>
      </c>
      <c r="H2651" t="str">
        <f t="shared" si="55"/>
        <v>TEXAS COUNTY &amp; DISTRICT RET</v>
      </c>
    </row>
    <row r="2652" spans="1:8" x14ac:dyDescent="0.25">
      <c r="E2652" t="str">
        <f>""</f>
        <v/>
      </c>
      <c r="F2652" t="str">
        <f>""</f>
        <v/>
      </c>
      <c r="H2652" t="str">
        <f t="shared" si="55"/>
        <v>TEXAS COUNTY &amp; DISTRICT RET</v>
      </c>
    </row>
    <row r="2653" spans="1:8" x14ac:dyDescent="0.25">
      <c r="E2653" t="str">
        <f>""</f>
        <v/>
      </c>
      <c r="F2653" t="str">
        <f>""</f>
        <v/>
      </c>
      <c r="H2653" t="str">
        <f t="shared" si="55"/>
        <v>TEXAS COUNTY &amp; DISTRICT RET</v>
      </c>
    </row>
    <row r="2654" spans="1:8" x14ac:dyDescent="0.25">
      <c r="E2654" t="str">
        <f>""</f>
        <v/>
      </c>
      <c r="F2654" t="str">
        <f>""</f>
        <v/>
      </c>
      <c r="H2654" t="str">
        <f t="shared" si="55"/>
        <v>TEXAS COUNTY &amp; DISTRICT RET</v>
      </c>
    </row>
    <row r="2655" spans="1:8" x14ac:dyDescent="0.25">
      <c r="E2655" t="str">
        <f>""</f>
        <v/>
      </c>
      <c r="F2655" t="str">
        <f>""</f>
        <v/>
      </c>
      <c r="H2655" t="str">
        <f t="shared" si="55"/>
        <v>TEXAS COUNTY &amp; DISTRICT RET</v>
      </c>
    </row>
    <row r="2656" spans="1:8" x14ac:dyDescent="0.25">
      <c r="E2656" t="str">
        <f>""</f>
        <v/>
      </c>
      <c r="F2656" t="str">
        <f>""</f>
        <v/>
      </c>
      <c r="H2656" t="str">
        <f t="shared" si="55"/>
        <v>TEXAS COUNTY &amp; DISTRICT RET</v>
      </c>
    </row>
    <row r="2657" spans="5:8" x14ac:dyDescent="0.25">
      <c r="E2657" t="str">
        <f>""</f>
        <v/>
      </c>
      <c r="F2657" t="str">
        <f>""</f>
        <v/>
      </c>
      <c r="H2657" t="str">
        <f t="shared" si="55"/>
        <v>TEXAS COUNTY &amp; DISTRICT RET</v>
      </c>
    </row>
    <row r="2658" spans="5:8" x14ac:dyDescent="0.25">
      <c r="E2658" t="str">
        <f>""</f>
        <v/>
      </c>
      <c r="F2658" t="str">
        <f>""</f>
        <v/>
      </c>
      <c r="H2658" t="str">
        <f t="shared" si="55"/>
        <v>TEXAS COUNTY &amp; DISTRICT RET</v>
      </c>
    </row>
    <row r="2659" spans="5:8" x14ac:dyDescent="0.25">
      <c r="E2659" t="str">
        <f>""</f>
        <v/>
      </c>
      <c r="F2659" t="str">
        <f>""</f>
        <v/>
      </c>
      <c r="H2659" t="str">
        <f t="shared" si="55"/>
        <v>TEXAS COUNTY &amp; DISTRICT RET</v>
      </c>
    </row>
    <row r="2660" spans="5:8" x14ac:dyDescent="0.25">
      <c r="E2660" t="str">
        <f>""</f>
        <v/>
      </c>
      <c r="F2660" t="str">
        <f>""</f>
        <v/>
      </c>
      <c r="H2660" t="str">
        <f t="shared" si="55"/>
        <v>TEXAS COUNTY &amp; DISTRICT RET</v>
      </c>
    </row>
    <row r="2661" spans="5:8" x14ac:dyDescent="0.25">
      <c r="E2661" t="str">
        <f>""</f>
        <v/>
      </c>
      <c r="F2661" t="str">
        <f>""</f>
        <v/>
      </c>
      <c r="H2661" t="str">
        <f t="shared" si="55"/>
        <v>TEXAS COUNTY &amp; DISTRICT RET</v>
      </c>
    </row>
    <row r="2662" spans="5:8" x14ac:dyDescent="0.25">
      <c r="E2662" t="str">
        <f>""</f>
        <v/>
      </c>
      <c r="F2662" t="str">
        <f>""</f>
        <v/>
      </c>
      <c r="H2662" t="str">
        <f t="shared" si="55"/>
        <v>TEXAS COUNTY &amp; DISTRICT RET</v>
      </c>
    </row>
    <row r="2663" spans="5:8" x14ac:dyDescent="0.25">
      <c r="E2663" t="str">
        <f>""</f>
        <v/>
      </c>
      <c r="F2663" t="str">
        <f>""</f>
        <v/>
      </c>
      <c r="H2663" t="str">
        <f t="shared" si="55"/>
        <v>TEXAS COUNTY &amp; DISTRICT RET</v>
      </c>
    </row>
    <row r="2664" spans="5:8" x14ac:dyDescent="0.25">
      <c r="E2664" t="str">
        <f>""</f>
        <v/>
      </c>
      <c r="F2664" t="str">
        <f>""</f>
        <v/>
      </c>
      <c r="H2664" t="str">
        <f t="shared" si="55"/>
        <v>TEXAS COUNTY &amp; DISTRICT RET</v>
      </c>
    </row>
    <row r="2665" spans="5:8" x14ac:dyDescent="0.25">
      <c r="E2665" t="str">
        <f>""</f>
        <v/>
      </c>
      <c r="F2665" t="str">
        <f>""</f>
        <v/>
      </c>
      <c r="H2665" t="str">
        <f t="shared" si="55"/>
        <v>TEXAS COUNTY &amp; DISTRICT RET</v>
      </c>
    </row>
    <row r="2666" spans="5:8" x14ac:dyDescent="0.25">
      <c r="E2666" t="str">
        <f>""</f>
        <v/>
      </c>
      <c r="F2666" t="str">
        <f>""</f>
        <v/>
      </c>
      <c r="H2666" t="str">
        <f t="shared" si="55"/>
        <v>TEXAS COUNTY &amp; DISTRICT RET</v>
      </c>
    </row>
    <row r="2667" spans="5:8" x14ac:dyDescent="0.25">
      <c r="E2667" t="str">
        <f>""</f>
        <v/>
      </c>
      <c r="F2667" t="str">
        <f>""</f>
        <v/>
      </c>
      <c r="H2667" t="str">
        <f t="shared" si="55"/>
        <v>TEXAS COUNTY &amp; DISTRICT RET</v>
      </c>
    </row>
    <row r="2668" spans="5:8" x14ac:dyDescent="0.25">
      <c r="E2668" t="str">
        <f>""</f>
        <v/>
      </c>
      <c r="F2668" t="str">
        <f>""</f>
        <v/>
      </c>
      <c r="H2668" t="str">
        <f t="shared" si="55"/>
        <v>TEXAS COUNTY &amp; DISTRICT RET</v>
      </c>
    </row>
    <row r="2669" spans="5:8" x14ac:dyDescent="0.25">
      <c r="E2669" t="str">
        <f>""</f>
        <v/>
      </c>
      <c r="F2669" t="str">
        <f>""</f>
        <v/>
      </c>
      <c r="H2669" t="str">
        <f t="shared" si="55"/>
        <v>TEXAS COUNTY &amp; DISTRICT RET</v>
      </c>
    </row>
    <row r="2670" spans="5:8" x14ac:dyDescent="0.25">
      <c r="E2670" t="str">
        <f>""</f>
        <v/>
      </c>
      <c r="F2670" t="str">
        <f>""</f>
        <v/>
      </c>
      <c r="H2670" t="str">
        <f t="shared" si="55"/>
        <v>TEXAS COUNTY &amp; DISTRICT RET</v>
      </c>
    </row>
    <row r="2671" spans="5:8" x14ac:dyDescent="0.25">
      <c r="E2671" t="str">
        <f>""</f>
        <v/>
      </c>
      <c r="F2671" t="str">
        <f>""</f>
        <v/>
      </c>
      <c r="H2671" t="str">
        <f t="shared" si="55"/>
        <v>TEXAS COUNTY &amp; DISTRICT RET</v>
      </c>
    </row>
    <row r="2672" spans="5:8" x14ac:dyDescent="0.25">
      <c r="E2672" t="str">
        <f>""</f>
        <v/>
      </c>
      <c r="F2672" t="str">
        <f>""</f>
        <v/>
      </c>
      <c r="H2672" t="str">
        <f t="shared" si="55"/>
        <v>TEXAS COUNTY &amp; DISTRICT RET</v>
      </c>
    </row>
    <row r="2673" spans="5:8" x14ac:dyDescent="0.25">
      <c r="E2673" t="str">
        <f>""</f>
        <v/>
      </c>
      <c r="F2673" t="str">
        <f>""</f>
        <v/>
      </c>
      <c r="H2673" t="str">
        <f t="shared" si="55"/>
        <v>TEXAS COUNTY &amp; DISTRICT RET</v>
      </c>
    </row>
    <row r="2674" spans="5:8" x14ac:dyDescent="0.25">
      <c r="E2674" t="str">
        <f>""</f>
        <v/>
      </c>
      <c r="F2674" t="str">
        <f>""</f>
        <v/>
      </c>
      <c r="H2674" t="str">
        <f t="shared" si="55"/>
        <v>TEXAS COUNTY &amp; DISTRICT RET</v>
      </c>
    </row>
    <row r="2675" spans="5:8" x14ac:dyDescent="0.25">
      <c r="E2675" t="str">
        <f>""</f>
        <v/>
      </c>
      <c r="F2675" t="str">
        <f>""</f>
        <v/>
      </c>
      <c r="H2675" t="str">
        <f t="shared" si="55"/>
        <v>TEXAS COUNTY &amp; DISTRICT RET</v>
      </c>
    </row>
    <row r="2676" spans="5:8" x14ac:dyDescent="0.25">
      <c r="E2676" t="str">
        <f>""</f>
        <v/>
      </c>
      <c r="F2676" t="str">
        <f>""</f>
        <v/>
      </c>
      <c r="H2676" t="str">
        <f t="shared" si="55"/>
        <v>TEXAS COUNTY &amp; DISTRICT RET</v>
      </c>
    </row>
    <row r="2677" spans="5:8" x14ac:dyDescent="0.25">
      <c r="E2677" t="str">
        <f>""</f>
        <v/>
      </c>
      <c r="F2677" t="str">
        <f>""</f>
        <v/>
      </c>
      <c r="H2677" t="str">
        <f t="shared" si="55"/>
        <v>TEXAS COUNTY &amp; DISTRICT RET</v>
      </c>
    </row>
    <row r="2678" spans="5:8" x14ac:dyDescent="0.25">
      <c r="E2678" t="str">
        <f>""</f>
        <v/>
      </c>
      <c r="F2678" t="str">
        <f>""</f>
        <v/>
      </c>
      <c r="H2678" t="str">
        <f t="shared" si="55"/>
        <v>TEXAS COUNTY &amp; DISTRICT RET</v>
      </c>
    </row>
    <row r="2679" spans="5:8" x14ac:dyDescent="0.25">
      <c r="E2679" t="str">
        <f>""</f>
        <v/>
      </c>
      <c r="F2679" t="str">
        <f>""</f>
        <v/>
      </c>
      <c r="H2679" t="str">
        <f t="shared" si="55"/>
        <v>TEXAS COUNTY &amp; DISTRICT RET</v>
      </c>
    </row>
    <row r="2680" spans="5:8" x14ac:dyDescent="0.25">
      <c r="E2680" t="str">
        <f>""</f>
        <v/>
      </c>
      <c r="F2680" t="str">
        <f>""</f>
        <v/>
      </c>
      <c r="H2680" t="str">
        <f t="shared" ref="H2680:H2696" si="56">"TEXAS COUNTY &amp; DISTRICT RET"</f>
        <v>TEXAS COUNTY &amp; DISTRICT RET</v>
      </c>
    </row>
    <row r="2681" spans="5:8" x14ac:dyDescent="0.25">
      <c r="E2681" t="str">
        <f>""</f>
        <v/>
      </c>
      <c r="F2681" t="str">
        <f>""</f>
        <v/>
      </c>
      <c r="H2681" t="str">
        <f t="shared" si="56"/>
        <v>TEXAS COUNTY &amp; DISTRICT RET</v>
      </c>
    </row>
    <row r="2682" spans="5:8" x14ac:dyDescent="0.25">
      <c r="E2682" t="str">
        <f>""</f>
        <v/>
      </c>
      <c r="F2682" t="str">
        <f>""</f>
        <v/>
      </c>
      <c r="H2682" t="str">
        <f t="shared" si="56"/>
        <v>TEXAS COUNTY &amp; DISTRICT RET</v>
      </c>
    </row>
    <row r="2683" spans="5:8" x14ac:dyDescent="0.25">
      <c r="E2683" t="str">
        <f>""</f>
        <v/>
      </c>
      <c r="F2683" t="str">
        <f>""</f>
        <v/>
      </c>
      <c r="H2683" t="str">
        <f t="shared" si="56"/>
        <v>TEXAS COUNTY &amp; DISTRICT RET</v>
      </c>
    </row>
    <row r="2684" spans="5:8" x14ac:dyDescent="0.25">
      <c r="E2684" t="str">
        <f>""</f>
        <v/>
      </c>
      <c r="F2684" t="str">
        <f>""</f>
        <v/>
      </c>
      <c r="H2684" t="str">
        <f t="shared" si="56"/>
        <v>TEXAS COUNTY &amp; DISTRICT RET</v>
      </c>
    </row>
    <row r="2685" spans="5:8" x14ac:dyDescent="0.25">
      <c r="E2685" t="str">
        <f>""</f>
        <v/>
      </c>
      <c r="F2685" t="str">
        <f>""</f>
        <v/>
      </c>
      <c r="H2685" t="str">
        <f t="shared" si="56"/>
        <v>TEXAS COUNTY &amp; DISTRICT RET</v>
      </c>
    </row>
    <row r="2686" spans="5:8" x14ac:dyDescent="0.25">
      <c r="E2686" t="str">
        <f>""</f>
        <v/>
      </c>
      <c r="F2686" t="str">
        <f>""</f>
        <v/>
      </c>
      <c r="H2686" t="str">
        <f t="shared" si="56"/>
        <v>TEXAS COUNTY &amp; DISTRICT RET</v>
      </c>
    </row>
    <row r="2687" spans="5:8" x14ac:dyDescent="0.25">
      <c r="E2687" t="str">
        <f>""</f>
        <v/>
      </c>
      <c r="F2687" t="str">
        <f>""</f>
        <v/>
      </c>
      <c r="H2687" t="str">
        <f t="shared" si="56"/>
        <v>TEXAS COUNTY &amp; DISTRICT RET</v>
      </c>
    </row>
    <row r="2688" spans="5:8" x14ac:dyDescent="0.25">
      <c r="E2688" t="str">
        <f>""</f>
        <v/>
      </c>
      <c r="F2688" t="str">
        <f>""</f>
        <v/>
      </c>
      <c r="H2688" t="str">
        <f t="shared" si="56"/>
        <v>TEXAS COUNTY &amp; DISTRICT RET</v>
      </c>
    </row>
    <row r="2689" spans="1:8" x14ac:dyDescent="0.25">
      <c r="E2689" t="str">
        <f>""</f>
        <v/>
      </c>
      <c r="F2689" t="str">
        <f>""</f>
        <v/>
      </c>
      <c r="H2689" t="str">
        <f t="shared" si="56"/>
        <v>TEXAS COUNTY &amp; DISTRICT RET</v>
      </c>
    </row>
    <row r="2690" spans="1:8" x14ac:dyDescent="0.25">
      <c r="E2690" t="str">
        <f>""</f>
        <v/>
      </c>
      <c r="F2690" t="str">
        <f>""</f>
        <v/>
      </c>
      <c r="H2690" t="str">
        <f t="shared" si="56"/>
        <v>TEXAS COUNTY &amp; DISTRICT RET</v>
      </c>
    </row>
    <row r="2691" spans="1:8" x14ac:dyDescent="0.25">
      <c r="E2691" t="str">
        <f>""</f>
        <v/>
      </c>
      <c r="F2691" t="str">
        <f>""</f>
        <v/>
      </c>
      <c r="H2691" t="str">
        <f t="shared" si="56"/>
        <v>TEXAS COUNTY &amp; DISTRICT RET</v>
      </c>
    </row>
    <row r="2692" spans="1:8" x14ac:dyDescent="0.25">
      <c r="E2692" t="str">
        <f>""</f>
        <v/>
      </c>
      <c r="F2692" t="str">
        <f>""</f>
        <v/>
      </c>
      <c r="H2692" t="str">
        <f t="shared" si="56"/>
        <v>TEXAS COUNTY &amp; DISTRICT RET</v>
      </c>
    </row>
    <row r="2693" spans="1:8" x14ac:dyDescent="0.25">
      <c r="E2693" t="str">
        <f>""</f>
        <v/>
      </c>
      <c r="F2693" t="str">
        <f>""</f>
        <v/>
      </c>
      <c r="H2693" t="str">
        <f t="shared" si="56"/>
        <v>TEXAS COUNTY &amp; DISTRICT RET</v>
      </c>
    </row>
    <row r="2694" spans="1:8" x14ac:dyDescent="0.25">
      <c r="E2694" t="str">
        <f>""</f>
        <v/>
      </c>
      <c r="F2694" t="str">
        <f>""</f>
        <v/>
      </c>
      <c r="H2694" t="str">
        <f t="shared" si="56"/>
        <v>TEXAS COUNTY &amp; DISTRICT RET</v>
      </c>
    </row>
    <row r="2695" spans="1:8" x14ac:dyDescent="0.25">
      <c r="E2695" t="str">
        <f>""</f>
        <v/>
      </c>
      <c r="F2695" t="str">
        <f>""</f>
        <v/>
      </c>
      <c r="H2695" t="str">
        <f t="shared" si="56"/>
        <v>TEXAS COUNTY &amp; DISTRICT RET</v>
      </c>
    </row>
    <row r="2696" spans="1:8" x14ac:dyDescent="0.25">
      <c r="E2696" t="str">
        <f>""</f>
        <v/>
      </c>
      <c r="F2696" t="str">
        <f>""</f>
        <v/>
      </c>
      <c r="H2696" t="str">
        <f t="shared" si="56"/>
        <v>TEXAS COUNTY &amp; DISTRICT RET</v>
      </c>
    </row>
    <row r="2697" spans="1:8" x14ac:dyDescent="0.25">
      <c r="A2697" t="s">
        <v>343</v>
      </c>
      <c r="B2697">
        <v>48020</v>
      </c>
      <c r="C2697" s="2">
        <v>1452</v>
      </c>
      <c r="D2697" s="1">
        <v>44041</v>
      </c>
      <c r="E2697" t="str">
        <f>"LEG202007087798"</f>
        <v>LEG202007087798</v>
      </c>
      <c r="F2697" t="str">
        <f>"TEXAS LEGAL PROTECTION PLAN"</f>
        <v>TEXAS LEGAL PROTECTION PLAN</v>
      </c>
      <c r="G2697" s="2">
        <v>246</v>
      </c>
      <c r="H2697" t="str">
        <f>"TEXAS LEGAL PROTECTION PLAN"</f>
        <v>TEXAS LEGAL PROTECTION PLAN</v>
      </c>
    </row>
    <row r="2698" spans="1:8" x14ac:dyDescent="0.25">
      <c r="E2698" t="str">
        <f>"LEG202007228005"</f>
        <v>LEG202007228005</v>
      </c>
      <c r="F2698" t="str">
        <f>"TEXAS LEGAL PROTECTION PLAN"</f>
        <v>TEXAS LEGAL PROTECTION PLAN</v>
      </c>
      <c r="G2698" s="2">
        <v>246</v>
      </c>
      <c r="H2698" t="str">
        <f>"TEXAS LEGAL PROTECTION PLAN"</f>
        <v>TEXAS LEGAL PROTECTION PLAN</v>
      </c>
    </row>
    <row r="2699" spans="1:8" x14ac:dyDescent="0.25">
      <c r="E2699" t="str">
        <f>"LGF202007087798"</f>
        <v>LGF202007087798</v>
      </c>
      <c r="F2699" t="str">
        <f>"TEXAS LEGAL PROTECTION PLAN"</f>
        <v>TEXAS LEGAL PROTECTION PLAN</v>
      </c>
      <c r="G2699" s="2">
        <v>488</v>
      </c>
      <c r="H2699" t="str">
        <f>"TEXAS LEGAL PROTECTION PLAN"</f>
        <v>TEXAS LEGAL PROTECTION PLAN</v>
      </c>
    </row>
    <row r="2700" spans="1:8" x14ac:dyDescent="0.25">
      <c r="E2700" t="str">
        <f>"LGF202007228005"</f>
        <v>LGF202007228005</v>
      </c>
      <c r="F2700" t="str">
        <f>"TEXAS LEGAL PROTECTION PLAN"</f>
        <v>TEXAS LEGAL PROTECTION PLAN</v>
      </c>
      <c r="G2700" s="2">
        <v>472</v>
      </c>
      <c r="H2700" t="str">
        <f>"TEXAS LEGAL PROTECTION PLAN"</f>
        <v>TEXAS LEGAL PROTECTION PLAN</v>
      </c>
    </row>
    <row r="2701" spans="1:8" x14ac:dyDescent="0.25">
      <c r="A2701" t="s">
        <v>344</v>
      </c>
      <c r="B2701">
        <v>571</v>
      </c>
      <c r="C2701" s="2">
        <v>200.85</v>
      </c>
      <c r="D2701" s="1">
        <v>44013</v>
      </c>
      <c r="E2701" t="str">
        <f>"202007017495"</f>
        <v>202007017495</v>
      </c>
      <c r="F2701" t="str">
        <f>"ACCT#72-5613 / 06032020"</f>
        <v>ACCT#72-5613 / 06032020</v>
      </c>
      <c r="G2701" s="2">
        <v>200.85</v>
      </c>
      <c r="H2701" t="str">
        <f>"ACCT#72-5613 / 06032020"</f>
        <v>ACCT#72-5613 / 06032020</v>
      </c>
    </row>
    <row r="2702" spans="1:8" x14ac:dyDescent="0.25">
      <c r="A2702" t="s">
        <v>344</v>
      </c>
      <c r="B2702">
        <v>612</v>
      </c>
      <c r="C2702" s="2">
        <v>24.99</v>
      </c>
      <c r="D2702" s="1">
        <v>44028</v>
      </c>
      <c r="E2702" t="str">
        <f>"202007157866"</f>
        <v>202007157866</v>
      </c>
      <c r="F2702" t="str">
        <f>"ACCT#72-5613 / 07032020"</f>
        <v>ACCT#72-5613 / 07032020</v>
      </c>
      <c r="G2702" s="2">
        <v>24.99</v>
      </c>
      <c r="H2702" t="str">
        <f>"ACCT#72-5613 / 07032020"</f>
        <v>ACCT#72-5613 / 07032020</v>
      </c>
    </row>
    <row r="2703" spans="1:8" x14ac:dyDescent="0.25">
      <c r="A2703" t="s">
        <v>36</v>
      </c>
      <c r="B2703">
        <v>572</v>
      </c>
      <c r="C2703" s="2">
        <v>815.95</v>
      </c>
      <c r="D2703" s="1">
        <v>44013</v>
      </c>
      <c r="E2703" t="str">
        <f>"202007017496"</f>
        <v>202007017496</v>
      </c>
      <c r="F2703" t="str">
        <f>"ACCT#72-5613 / 06032020"</f>
        <v>ACCT#72-5613 / 06032020</v>
      </c>
      <c r="G2703" s="2">
        <v>815.95</v>
      </c>
      <c r="H2703" t="str">
        <f>"ACCT#72-5613 / 06032020"</f>
        <v>ACCT#72-5613 / 06032020</v>
      </c>
    </row>
    <row r="2704" spans="1:8" x14ac:dyDescent="0.25">
      <c r="A2704" t="s">
        <v>345</v>
      </c>
      <c r="B2704">
        <v>608</v>
      </c>
      <c r="C2704" s="2">
        <v>1819.08</v>
      </c>
      <c r="D2704" s="1">
        <v>44028</v>
      </c>
      <c r="E2704" t="str">
        <f>"202007157863"</f>
        <v>202007157863</v>
      </c>
      <c r="F2704" t="str">
        <f>"ACCT#72-5613 / 07032020"</f>
        <v>ACCT#72-5613 / 07032020</v>
      </c>
      <c r="G2704" s="2">
        <v>1819.08</v>
      </c>
      <c r="H2704" t="str">
        <f>"ACCT#72-5613 / 07032020"</f>
        <v>ACCT#72-5613 / 07032020</v>
      </c>
    </row>
    <row r="2705" spans="1:8" x14ac:dyDescent="0.25">
      <c r="A2705" t="s">
        <v>346</v>
      </c>
      <c r="B2705">
        <v>616</v>
      </c>
      <c r="C2705" s="2">
        <v>404</v>
      </c>
      <c r="D2705" s="1">
        <v>44028</v>
      </c>
      <c r="E2705" t="str">
        <f>"202007157871"</f>
        <v>202007157871</v>
      </c>
      <c r="F2705" t="str">
        <f>"ACCT#72-5613 / 07032020"</f>
        <v>ACCT#72-5613 / 07032020</v>
      </c>
      <c r="G2705" s="2">
        <v>404</v>
      </c>
      <c r="H2705" t="str">
        <f>"ACCT#72-5613 / 07032020"</f>
        <v>ACCT#72-5613 / 07032020</v>
      </c>
    </row>
    <row r="2706" spans="1:8" x14ac:dyDescent="0.25">
      <c r="A2706" t="s">
        <v>114</v>
      </c>
      <c r="B2706">
        <v>615</v>
      </c>
      <c r="C2706" s="2">
        <v>222.64</v>
      </c>
      <c r="D2706" s="1">
        <v>44028</v>
      </c>
      <c r="E2706" t="str">
        <f>"202007157870"</f>
        <v>202007157870</v>
      </c>
      <c r="F2706" t="str">
        <f>"ACCT#72-5613 / 07032020"</f>
        <v>ACCT#72-5613 / 07032020</v>
      </c>
      <c r="G2706" s="2">
        <v>222.64</v>
      </c>
      <c r="H2706" t="str">
        <f>"ACCT#72-5613 / 07032020"</f>
        <v>ACCT#72-5613 / 07032020</v>
      </c>
    </row>
    <row r="2707" spans="1:8" x14ac:dyDescent="0.25">
      <c r="A2707" t="s">
        <v>347</v>
      </c>
      <c r="B2707">
        <v>617</v>
      </c>
      <c r="C2707" s="2">
        <v>31.96</v>
      </c>
      <c r="D2707" s="1">
        <v>44028</v>
      </c>
      <c r="E2707" t="str">
        <f>"202007157872"</f>
        <v>202007157872</v>
      </c>
      <c r="F2707" t="str">
        <f>"ACCT#72-5613 / 07032020"</f>
        <v>ACCT#72-5613 / 07032020</v>
      </c>
      <c r="G2707" s="2">
        <v>31.96</v>
      </c>
      <c r="H2707" t="str">
        <f>"ACCT#72-5613 / 07032020"</f>
        <v>ACCT#72-5613 / 07032020</v>
      </c>
    </row>
    <row r="2708" spans="1:8" x14ac:dyDescent="0.25">
      <c r="A2708" t="s">
        <v>135</v>
      </c>
      <c r="B2708">
        <v>568</v>
      </c>
      <c r="C2708" s="2">
        <v>428.17</v>
      </c>
      <c r="D2708" s="1">
        <v>44013</v>
      </c>
      <c r="E2708" t="str">
        <f>"202007017493"</f>
        <v>202007017493</v>
      </c>
      <c r="F2708" t="str">
        <f>"ACCT#772-5613 / 06032020"</f>
        <v>ACCT#772-5613 / 06032020</v>
      </c>
      <c r="G2708" s="2">
        <v>428.17</v>
      </c>
      <c r="H2708" t="str">
        <f>"ACCT#772-5613 / 06032020"</f>
        <v>ACCT#772-5613 / 06032020</v>
      </c>
    </row>
    <row r="2709" spans="1:8" x14ac:dyDescent="0.25">
      <c r="E2709" t="str">
        <f>""</f>
        <v/>
      </c>
      <c r="F2709" t="str">
        <f>""</f>
        <v/>
      </c>
      <c r="H2709" t="str">
        <f>"ACCT#772-5613 / 06032020"</f>
        <v>ACCT#772-5613 / 06032020</v>
      </c>
    </row>
    <row r="2710" spans="1:8" x14ac:dyDescent="0.25">
      <c r="A2710" t="s">
        <v>135</v>
      </c>
      <c r="B2710">
        <v>609</v>
      </c>
      <c r="C2710" s="2">
        <v>232.21</v>
      </c>
      <c r="D2710" s="1">
        <v>44028</v>
      </c>
      <c r="E2710" t="str">
        <f>"202007157864"</f>
        <v>202007157864</v>
      </c>
      <c r="F2710" t="str">
        <f>"ACCT#72-5613 / 07032020"</f>
        <v>ACCT#72-5613 / 07032020</v>
      </c>
      <c r="G2710" s="2">
        <v>232.21</v>
      </c>
      <c r="H2710" t="str">
        <f t="shared" ref="H2710:H2716" si="57">"ACCT#72-5613 / 07032020"</f>
        <v>ACCT#72-5613 / 07032020</v>
      </c>
    </row>
    <row r="2711" spans="1:8" x14ac:dyDescent="0.25">
      <c r="E2711" t="str">
        <f>""</f>
        <v/>
      </c>
      <c r="F2711" t="str">
        <f>""</f>
        <v/>
      </c>
      <c r="H2711" t="str">
        <f t="shared" si="57"/>
        <v>ACCT#72-5613 / 07032020</v>
      </c>
    </row>
    <row r="2712" spans="1:8" x14ac:dyDescent="0.25">
      <c r="A2712" t="s">
        <v>138</v>
      </c>
      <c r="B2712">
        <v>618</v>
      </c>
      <c r="C2712" s="2">
        <v>486.95</v>
      </c>
      <c r="D2712" s="1">
        <v>44028</v>
      </c>
      <c r="E2712" t="str">
        <f>"202007157873"</f>
        <v>202007157873</v>
      </c>
      <c r="F2712" t="str">
        <f>"ACCT#72-5613 / 07032020"</f>
        <v>ACCT#72-5613 / 07032020</v>
      </c>
      <c r="G2712" s="2">
        <v>486.95</v>
      </c>
      <c r="H2712" t="str">
        <f t="shared" si="57"/>
        <v>ACCT#72-5613 / 07032020</v>
      </c>
    </row>
    <row r="2713" spans="1:8" x14ac:dyDescent="0.25">
      <c r="A2713" t="s">
        <v>180</v>
      </c>
      <c r="B2713">
        <v>607</v>
      </c>
      <c r="C2713" s="2">
        <v>139.41999999999999</v>
      </c>
      <c r="D2713" s="1">
        <v>44028</v>
      </c>
      <c r="E2713" t="str">
        <f>"202007157861"</f>
        <v>202007157861</v>
      </c>
      <c r="F2713" t="str">
        <f>"ACCT#72-5613 / 07032020"</f>
        <v>ACCT#72-5613 / 07032020</v>
      </c>
      <c r="G2713" s="2">
        <v>139.41999999999999</v>
      </c>
      <c r="H2713" t="str">
        <f t="shared" si="57"/>
        <v>ACCT#72-5613 / 07032020</v>
      </c>
    </row>
    <row r="2714" spans="1:8" x14ac:dyDescent="0.25">
      <c r="A2714" t="s">
        <v>348</v>
      </c>
      <c r="B2714">
        <v>613</v>
      </c>
      <c r="C2714" s="2">
        <v>272.57</v>
      </c>
      <c r="D2714" s="1">
        <v>44028</v>
      </c>
      <c r="E2714" t="str">
        <f>"202007157868"</f>
        <v>202007157868</v>
      </c>
      <c r="F2714" t="str">
        <f>"ACCT#72-5613 / 07032020"</f>
        <v>ACCT#72-5613 / 07032020</v>
      </c>
      <c r="G2714" s="2">
        <v>272.57</v>
      </c>
      <c r="H2714" t="str">
        <f t="shared" si="57"/>
        <v>ACCT#72-5613 / 07032020</v>
      </c>
    </row>
    <row r="2715" spans="1:8" x14ac:dyDescent="0.25">
      <c r="A2715" t="s">
        <v>349</v>
      </c>
      <c r="B2715">
        <v>611</v>
      </c>
      <c r="C2715" s="2">
        <v>104.25</v>
      </c>
      <c r="D2715" s="1">
        <v>44028</v>
      </c>
      <c r="E2715" t="str">
        <f>"202007157867"</f>
        <v>202007157867</v>
      </c>
      <c r="F2715" t="str">
        <f>"ACCT#72-5613 / 07032020"</f>
        <v>ACCT#72-5613 / 07032020</v>
      </c>
      <c r="G2715" s="2">
        <v>104.25</v>
      </c>
      <c r="H2715" t="str">
        <f t="shared" si="57"/>
        <v>ACCT#72-5613 / 07032020</v>
      </c>
    </row>
    <row r="2716" spans="1:8" x14ac:dyDescent="0.25">
      <c r="A2716" t="s">
        <v>350</v>
      </c>
      <c r="B2716">
        <v>614</v>
      </c>
      <c r="C2716" s="2">
        <v>256.14999999999998</v>
      </c>
      <c r="D2716" s="1">
        <v>44028</v>
      </c>
      <c r="E2716" t="str">
        <f>"202007157875"</f>
        <v>202007157875</v>
      </c>
      <c r="F2716" t="str">
        <f>"ACCT#72-5613 / 07032020"</f>
        <v>ACCT#72-5613 / 07032020</v>
      </c>
      <c r="G2716" s="2">
        <v>256.14999999999998</v>
      </c>
      <c r="H2716" t="str">
        <f t="shared" si="57"/>
        <v>ACCT#72-5613 / 07032020</v>
      </c>
    </row>
    <row r="2717" spans="1:8" x14ac:dyDescent="0.25">
      <c r="A2717" t="s">
        <v>230</v>
      </c>
      <c r="B2717">
        <v>620</v>
      </c>
      <c r="C2717" s="2">
        <v>237.73</v>
      </c>
      <c r="D2717" s="1">
        <v>44032</v>
      </c>
      <c r="E2717" t="str">
        <f>"202007167887"</f>
        <v>202007167887</v>
      </c>
      <c r="F2717" t="str">
        <f>"ACCT #72-5613 / 07032020"</f>
        <v>ACCT #72-5613 / 07032020</v>
      </c>
      <c r="G2717" s="2">
        <v>237.73</v>
      </c>
      <c r="H2717" t="str">
        <f>"ACCT #72-5613 / 07032020"</f>
        <v>ACCT #72-5613 / 07032020</v>
      </c>
    </row>
    <row r="2718" spans="1:8" x14ac:dyDescent="0.25">
      <c r="A2718" t="s">
        <v>230</v>
      </c>
      <c r="B2718">
        <v>1234</v>
      </c>
      <c r="C2718" s="2">
        <v>237.73</v>
      </c>
      <c r="D2718" s="1">
        <v>44028</v>
      </c>
      <c r="E2718" t="str">
        <f>"202007157869"</f>
        <v>202007157869</v>
      </c>
      <c r="F2718" t="str">
        <f>"ACCT#72-5613 / 07032020"</f>
        <v>ACCT#72-5613 / 07032020</v>
      </c>
      <c r="G2718" s="2">
        <v>237.73</v>
      </c>
      <c r="H2718" t="str">
        <f>"ACCT#72-5613 / 07032020"</f>
        <v>ACCT#72-5613 / 07032020</v>
      </c>
    </row>
    <row r="2719" spans="1:8" x14ac:dyDescent="0.25">
      <c r="A2719" t="s">
        <v>351</v>
      </c>
      <c r="B2719">
        <v>569</v>
      </c>
      <c r="C2719" s="2">
        <v>52.06</v>
      </c>
      <c r="D2719" s="1">
        <v>44013</v>
      </c>
      <c r="E2719" t="str">
        <f>"202007017494"</f>
        <v>202007017494</v>
      </c>
      <c r="F2719" t="str">
        <f>"ACCT#72-5613 / 06032020"</f>
        <v>ACCT#72-5613 / 06032020</v>
      </c>
      <c r="G2719" s="2">
        <v>52.06</v>
      </c>
      <c r="H2719" t="str">
        <f>"ACCT#72-5613 / 06032020"</f>
        <v>ACCT#72-5613 / 06032020</v>
      </c>
    </row>
    <row r="2720" spans="1:8" x14ac:dyDescent="0.25">
      <c r="A2720" t="s">
        <v>351</v>
      </c>
      <c r="B2720">
        <v>610</v>
      </c>
      <c r="C2720" s="2">
        <v>107.74</v>
      </c>
      <c r="D2720" s="1">
        <v>44028</v>
      </c>
      <c r="E2720" t="str">
        <f>"202007157865"</f>
        <v>202007157865</v>
      </c>
      <c r="F2720" t="str">
        <f>"ACCT#72-5613 / 07032020"</f>
        <v>ACCT#72-5613 / 07032020</v>
      </c>
      <c r="G2720" s="2">
        <v>107.74</v>
      </c>
      <c r="H2720" t="str">
        <f>"ACCT#72-5613 / 07032020"</f>
        <v>ACCT#72-5613 / 07032020</v>
      </c>
    </row>
    <row r="2721" spans="1:8" x14ac:dyDescent="0.25">
      <c r="A2721" t="s">
        <v>352</v>
      </c>
      <c r="B2721">
        <v>570</v>
      </c>
      <c r="C2721" s="2">
        <v>107.17</v>
      </c>
      <c r="D2721" s="1">
        <v>44013</v>
      </c>
      <c r="E2721" t="str">
        <f>"202007017498"</f>
        <v>202007017498</v>
      </c>
      <c r="F2721" t="str">
        <f>"ACCT#72-5613 / 06032020"</f>
        <v>ACCT#72-5613 / 06032020</v>
      </c>
      <c r="G2721" s="2">
        <v>107.17</v>
      </c>
      <c r="H2721" t="str">
        <f>"ACCT#72-5613 / 06032020"</f>
        <v>ACCT#72-5613 / 06032020</v>
      </c>
    </row>
    <row r="2722" spans="1:8" x14ac:dyDescent="0.25">
      <c r="A2722" t="s">
        <v>353</v>
      </c>
      <c r="B2722">
        <v>619</v>
      </c>
      <c r="C2722" s="2">
        <v>97.5</v>
      </c>
      <c r="D2722" s="1">
        <v>44028</v>
      </c>
      <c r="E2722" t="str">
        <f>"202007157874"</f>
        <v>202007157874</v>
      </c>
      <c r="F2722" t="str">
        <f>"ACCT#72-5613 / 07032020"</f>
        <v>ACCT#72-5613 / 07032020</v>
      </c>
      <c r="G2722" s="2">
        <v>97.5</v>
      </c>
      <c r="H2722" t="str">
        <f>"ACCT#72-5613 / 07032020"</f>
        <v>ACCT#72-5613 / 07032020</v>
      </c>
    </row>
    <row r="2723" spans="1:8" x14ac:dyDescent="0.25">
      <c r="A2723" t="s">
        <v>290</v>
      </c>
      <c r="B2723">
        <v>573</v>
      </c>
      <c r="C2723" s="2">
        <v>221.5</v>
      </c>
      <c r="D2723" s="1">
        <v>44013</v>
      </c>
      <c r="E2723" t="str">
        <f>"202007017497"</f>
        <v>202007017497</v>
      </c>
      <c r="F2723" t="str">
        <f>"ACCT#72-5613 / 06032020"</f>
        <v>ACCT#72-5613 / 06032020</v>
      </c>
      <c r="G2723" s="2">
        <v>221.5</v>
      </c>
      <c r="H2723" t="str">
        <f>"ACCT#72-5613 / 06032020"</f>
        <v>ACCT#72-5613 / 06032020</v>
      </c>
    </row>
    <row r="2724" spans="1:8" x14ac:dyDescent="0.25">
      <c r="E2724" t="str">
        <f>""</f>
        <v/>
      </c>
      <c r="F2724" t="str">
        <f>""</f>
        <v/>
      </c>
      <c r="H2724" t="str">
        <f>"ACCT#72-5613 / 06032020"</f>
        <v>ACCT#72-5613 / 06032020</v>
      </c>
    </row>
    <row r="2725" spans="1:8" x14ac:dyDescent="0.25">
      <c r="A2725" t="s">
        <v>354</v>
      </c>
      <c r="B2725">
        <v>578</v>
      </c>
      <c r="C2725" s="2">
        <v>5662.5</v>
      </c>
      <c r="D2725" s="1">
        <v>44013</v>
      </c>
      <c r="E2725" t="str">
        <f>"202007017504"</f>
        <v>202007017504</v>
      </c>
      <c r="F2725" t="str">
        <f>"ACCT#72-5613 / 06032020"</f>
        <v>ACCT#72-5613 / 06032020</v>
      </c>
      <c r="G2725" s="2">
        <v>5662.5</v>
      </c>
      <c r="H2725" t="str">
        <f>"ACCT#72-5613 / 06032020"</f>
        <v>ACCT#72-5613 / 06032020</v>
      </c>
    </row>
    <row r="2726" spans="1:8" x14ac:dyDescent="0.25">
      <c r="A2726" t="s">
        <v>354</v>
      </c>
      <c r="B2726">
        <v>625</v>
      </c>
      <c r="C2726" s="2">
        <v>4165</v>
      </c>
      <c r="D2726" s="1">
        <v>44032</v>
      </c>
      <c r="E2726" t="str">
        <f>"202007167882"</f>
        <v>202007167882</v>
      </c>
      <c r="F2726" t="str">
        <f>"ACCT#72-5613 / 07032020"</f>
        <v>ACCT#72-5613 / 07032020</v>
      </c>
      <c r="G2726" s="2">
        <v>4165</v>
      </c>
      <c r="H2726" t="str">
        <f>"ACCT#72-5613 / 07032020"</f>
        <v>ACCT#72-5613 / 07032020</v>
      </c>
    </row>
    <row r="2727" spans="1:8" x14ac:dyDescent="0.25">
      <c r="A2727" t="s">
        <v>43</v>
      </c>
      <c r="B2727">
        <v>575</v>
      </c>
      <c r="C2727" s="2">
        <v>450.6</v>
      </c>
      <c r="D2727" s="1">
        <v>44013</v>
      </c>
      <c r="E2727" t="str">
        <f>"202007017499"</f>
        <v>202007017499</v>
      </c>
      <c r="F2727" t="str">
        <f>"ACCT#72-5613 / 06032020"</f>
        <v>ACCT#72-5613 / 06032020</v>
      </c>
      <c r="G2727" s="2">
        <v>450.6</v>
      </c>
      <c r="H2727" t="str">
        <f>"ACCT#72-5613 / 06032020"</f>
        <v>ACCT#72-5613 / 06032020</v>
      </c>
    </row>
    <row r="2728" spans="1:8" x14ac:dyDescent="0.25">
      <c r="A2728" t="s">
        <v>347</v>
      </c>
      <c r="B2728">
        <v>579</v>
      </c>
      <c r="C2728" s="2">
        <v>288.24</v>
      </c>
      <c r="D2728" s="1">
        <v>44013</v>
      </c>
      <c r="E2728" t="str">
        <f>"202007017503"</f>
        <v>202007017503</v>
      </c>
      <c r="F2728" t="str">
        <f>"ACCT#72-5613 / 06032020"</f>
        <v>ACCT#72-5613 / 06032020</v>
      </c>
      <c r="G2728" s="2">
        <v>288.24</v>
      </c>
      <c r="H2728" t="str">
        <f>"ACCT#72-5613 / 06032020"</f>
        <v>ACCT#72-5613 / 06032020</v>
      </c>
    </row>
    <row r="2729" spans="1:8" x14ac:dyDescent="0.25">
      <c r="A2729" t="s">
        <v>135</v>
      </c>
      <c r="B2729">
        <v>576</v>
      </c>
      <c r="C2729" s="2">
        <v>131.78</v>
      </c>
      <c r="D2729" s="1">
        <v>44013</v>
      </c>
      <c r="E2729" t="str">
        <f>"202007017500"</f>
        <v>202007017500</v>
      </c>
      <c r="F2729" t="str">
        <f>"ACCT#72-5613 / 06032020"</f>
        <v>ACCT#72-5613 / 06032020</v>
      </c>
      <c r="G2729" s="2">
        <v>131.78</v>
      </c>
      <c r="H2729" t="str">
        <f>"ACCT#72-5613 / 06032020"</f>
        <v>ACCT#72-5613 / 06032020</v>
      </c>
    </row>
    <row r="2730" spans="1:8" x14ac:dyDescent="0.25">
      <c r="A2730" t="s">
        <v>135</v>
      </c>
      <c r="B2730">
        <v>622</v>
      </c>
      <c r="C2730" s="2">
        <v>26.18</v>
      </c>
      <c r="D2730" s="1">
        <v>44032</v>
      </c>
      <c r="E2730" t="str">
        <f>"202007167878"</f>
        <v>202007167878</v>
      </c>
      <c r="F2730" t="str">
        <f>"ACCT#72-5613 / 07032020"</f>
        <v>ACCT#72-5613 / 07032020</v>
      </c>
      <c r="G2730" s="2">
        <v>26.18</v>
      </c>
      <c r="H2730" t="str">
        <f>"ACCT#72-5613 / 07032020"</f>
        <v>ACCT#72-5613 / 07032020</v>
      </c>
    </row>
    <row r="2731" spans="1:8" x14ac:dyDescent="0.25">
      <c r="A2731" t="s">
        <v>138</v>
      </c>
      <c r="B2731">
        <v>581</v>
      </c>
      <c r="C2731" s="2">
        <v>1025.5999999999999</v>
      </c>
      <c r="D2731" s="1">
        <v>44013</v>
      </c>
      <c r="E2731" t="str">
        <f>"202007017508"</f>
        <v>202007017508</v>
      </c>
      <c r="F2731" t="str">
        <f>"ACCT#72-5613 / 06032020"</f>
        <v>ACCT#72-5613 / 06032020</v>
      </c>
      <c r="G2731" s="2">
        <v>1025.5999999999999</v>
      </c>
      <c r="H2731" t="str">
        <f>"ACCT#72-5613 / 06032020"</f>
        <v>ACCT#72-5613 / 06032020</v>
      </c>
    </row>
    <row r="2732" spans="1:8" x14ac:dyDescent="0.25">
      <c r="A2732" t="s">
        <v>141</v>
      </c>
      <c r="B2732">
        <v>580</v>
      </c>
      <c r="C2732" s="2">
        <v>2274.3200000000002</v>
      </c>
      <c r="D2732" s="1">
        <v>44013</v>
      </c>
      <c r="E2732" t="str">
        <f>"202007017507"</f>
        <v>202007017507</v>
      </c>
      <c r="F2732" t="str">
        <f>"ACCT#72-5613 / 06032020"</f>
        <v>ACCT#72-5613 / 06032020</v>
      </c>
      <c r="G2732" s="2">
        <v>2274.3200000000002</v>
      </c>
      <c r="H2732" t="str">
        <f>"ACCT#72-5613 / 06032020"</f>
        <v>ACCT#72-5613 / 06032020</v>
      </c>
    </row>
    <row r="2733" spans="1:8" x14ac:dyDescent="0.25">
      <c r="A2733" t="s">
        <v>180</v>
      </c>
      <c r="B2733">
        <v>574</v>
      </c>
      <c r="C2733" s="2">
        <v>536.41999999999996</v>
      </c>
      <c r="D2733" s="1">
        <v>44013</v>
      </c>
      <c r="E2733" t="str">
        <f>"202007017505"</f>
        <v>202007017505</v>
      </c>
      <c r="F2733" t="str">
        <f>"ACCT#72-5613 / 06032020"</f>
        <v>ACCT#72-5613 / 06032020</v>
      </c>
      <c r="G2733" s="2">
        <v>536.41999999999996</v>
      </c>
      <c r="H2733" t="str">
        <f>"ACCT#72-5613 / 06032020"</f>
        <v>ACCT#72-5613 / 06032020</v>
      </c>
    </row>
    <row r="2734" spans="1:8" x14ac:dyDescent="0.25">
      <c r="A2734" t="s">
        <v>180</v>
      </c>
      <c r="B2734">
        <v>621</v>
      </c>
      <c r="C2734" s="2">
        <v>479.1</v>
      </c>
      <c r="D2734" s="1">
        <v>44032</v>
      </c>
      <c r="E2734" t="str">
        <f>"202007167877"</f>
        <v>202007167877</v>
      </c>
      <c r="F2734" t="str">
        <f>"ACCT#72-5613 / 07032020"</f>
        <v>ACCT#72-5613 / 07032020</v>
      </c>
      <c r="G2734" s="2">
        <v>479.1</v>
      </c>
      <c r="H2734" t="str">
        <f>"ACCT#72-5613 / 07032020"</f>
        <v>ACCT#72-5613 / 07032020</v>
      </c>
    </row>
    <row r="2735" spans="1:8" x14ac:dyDescent="0.25">
      <c r="A2735" t="s">
        <v>260</v>
      </c>
      <c r="B2735">
        <v>577</v>
      </c>
      <c r="C2735" s="2">
        <v>55.98</v>
      </c>
      <c r="D2735" s="1">
        <v>44013</v>
      </c>
      <c r="E2735" t="str">
        <f>"202007017501"</f>
        <v>202007017501</v>
      </c>
      <c r="F2735" t="str">
        <f>"ACCT#72-5613 / 06032020"</f>
        <v>ACCT#72-5613 / 06032020</v>
      </c>
      <c r="G2735" s="2">
        <v>55.98</v>
      </c>
      <c r="H2735" t="str">
        <f>"ACCT#72-5613 / 06032020"</f>
        <v>ACCT#72-5613 / 06032020</v>
      </c>
    </row>
    <row r="2736" spans="1:8" x14ac:dyDescent="0.25">
      <c r="A2736" t="s">
        <v>260</v>
      </c>
      <c r="B2736">
        <v>623</v>
      </c>
      <c r="C2736" s="2">
        <v>71.989999999999995</v>
      </c>
      <c r="D2736" s="1">
        <v>44032</v>
      </c>
      <c r="E2736" t="str">
        <f>"202007167879"</f>
        <v>202007167879</v>
      </c>
      <c r="F2736" t="str">
        <f>"ACCT#72-5613 / 07032020"</f>
        <v>ACCT#72-5613 / 07032020</v>
      </c>
      <c r="G2736" s="2">
        <v>71.989999999999995</v>
      </c>
      <c r="H2736" t="str">
        <f>"ACCT#72-5613 / 07032020"</f>
        <v>ACCT#72-5613 / 07032020</v>
      </c>
    </row>
    <row r="2737" spans="1:8" x14ac:dyDescent="0.25">
      <c r="A2737" t="s">
        <v>355</v>
      </c>
      <c r="B2737">
        <v>624</v>
      </c>
      <c r="C2737" s="2">
        <v>536.13</v>
      </c>
      <c r="D2737" s="1">
        <v>44032</v>
      </c>
      <c r="E2737" t="str">
        <f>"202007167880"</f>
        <v>202007167880</v>
      </c>
      <c r="F2737" t="str">
        <f>"ACCT#72-5613 / 07032020"</f>
        <v>ACCT#72-5613 / 07032020</v>
      </c>
      <c r="G2737" s="2">
        <v>536.13</v>
      </c>
      <c r="H2737" t="str">
        <f>"ACCT#72-5613 / 07032020"</f>
        <v>ACCT#72-5613 / 07032020</v>
      </c>
    </row>
    <row r="2738" spans="1:8" x14ac:dyDescent="0.25">
      <c r="A2738" t="s">
        <v>290</v>
      </c>
      <c r="B2738">
        <v>582</v>
      </c>
      <c r="C2738" s="2">
        <v>29.95</v>
      </c>
      <c r="D2738" s="1">
        <v>44013</v>
      </c>
      <c r="E2738" t="str">
        <f>"202007017506"</f>
        <v>202007017506</v>
      </c>
      <c r="F2738" t="str">
        <f>"ACCT#72-5613 / 06032020"</f>
        <v>ACCT#72-5613 / 06032020</v>
      </c>
      <c r="G2738" s="2">
        <v>29.95</v>
      </c>
      <c r="H2738" t="str">
        <f>"ACCT#72-5613 / 06032020"</f>
        <v>ACCT#72-5613 / 06032020</v>
      </c>
    </row>
    <row r="2739" spans="1:8" x14ac:dyDescent="0.25">
      <c r="A2739" t="s">
        <v>356</v>
      </c>
      <c r="B2739">
        <v>583</v>
      </c>
      <c r="C2739" s="2">
        <v>182.65</v>
      </c>
      <c r="D2739" s="1">
        <v>44013</v>
      </c>
      <c r="E2739" t="str">
        <f>"202007017502"</f>
        <v>202007017502</v>
      </c>
      <c r="F2739" t="str">
        <f>"ACCT#72-5613 / 06032020"</f>
        <v>ACCT#72-5613 / 06032020</v>
      </c>
      <c r="G2739" s="2">
        <v>182.65</v>
      </c>
      <c r="H2739" t="str">
        <f>"ACCT#72-5613 / 06032020"</f>
        <v>ACCT#72-5613 / 06032020</v>
      </c>
    </row>
    <row r="2740" spans="1:8" x14ac:dyDescent="0.25">
      <c r="A2740" t="s">
        <v>356</v>
      </c>
      <c r="B2740">
        <v>626</v>
      </c>
      <c r="C2740" s="2">
        <v>282.92</v>
      </c>
      <c r="D2740" s="1">
        <v>44032</v>
      </c>
      <c r="E2740" t="str">
        <f>"202007167883"</f>
        <v>202007167883</v>
      </c>
      <c r="F2740" t="str">
        <f>"ACCT#72-5613 / 07032020"</f>
        <v>ACCT#72-5613 / 07032020</v>
      </c>
      <c r="G2740" s="2">
        <v>282.92</v>
      </c>
      <c r="H2740" t="str">
        <f>"ACCT#72-5613 / 07032020"</f>
        <v>ACCT#72-5613 / 07032020</v>
      </c>
    </row>
    <row r="2741" spans="1:8" ht="15.75" thickBot="1" x14ac:dyDescent="0.3">
      <c r="C2741" s="6"/>
      <c r="G2741" s="5">
        <f>SUM(G2:G2740)</f>
        <v>6418008.3200000031</v>
      </c>
    </row>
    <row r="2742" spans="1:8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2020-08-13T21:36:50Z</dcterms:created>
  <dcterms:modified xsi:type="dcterms:W3CDTF">2020-08-13T21:46:58Z</dcterms:modified>
</cp:coreProperties>
</file>