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pril 2021" sheetId="1" r:id="rId1"/>
  </sheets>
  <definedNames>
    <definedName name="_xlnm._FilterDatabase" localSheetId="0" hidden="1">'April 2021'!$A$1:$H$1</definedName>
  </definedNames>
  <calcPr calcId="152511"/>
</workbook>
</file>

<file path=xl/calcChain.xml><?xml version="1.0" encoding="utf-8"?>
<calcChain xmlns="http://schemas.openxmlformats.org/spreadsheetml/2006/main">
  <c r="G3241" i="1" l="1"/>
  <c r="C3241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  <c r="E2908" i="1"/>
  <c r="F2908" i="1"/>
  <c r="H2908" i="1"/>
  <c r="E2909" i="1"/>
  <c r="F2909" i="1"/>
  <c r="H2909" i="1"/>
  <c r="E2910" i="1"/>
  <c r="F2910" i="1"/>
  <c r="H2910" i="1"/>
  <c r="E2911" i="1"/>
  <c r="F2911" i="1"/>
  <c r="H2911" i="1"/>
  <c r="E2912" i="1"/>
  <c r="F2912" i="1"/>
  <c r="H2912" i="1"/>
  <c r="E2913" i="1"/>
  <c r="F2913" i="1"/>
  <c r="H2913" i="1"/>
  <c r="E2914" i="1"/>
  <c r="F2914" i="1"/>
  <c r="H2914" i="1"/>
  <c r="E2915" i="1"/>
  <c r="F2915" i="1"/>
  <c r="H2915" i="1"/>
  <c r="E2916" i="1"/>
  <c r="F2916" i="1"/>
  <c r="H2916" i="1"/>
  <c r="E2917" i="1"/>
  <c r="F2917" i="1"/>
  <c r="H2917" i="1"/>
  <c r="E2918" i="1"/>
  <c r="F2918" i="1"/>
  <c r="H2918" i="1"/>
  <c r="E2919" i="1"/>
  <c r="F2919" i="1"/>
  <c r="H2919" i="1"/>
  <c r="E2920" i="1"/>
  <c r="F2920" i="1"/>
  <c r="H2920" i="1"/>
  <c r="E2921" i="1"/>
  <c r="F2921" i="1"/>
  <c r="H2921" i="1"/>
  <c r="E2922" i="1"/>
  <c r="F2922" i="1"/>
  <c r="H2922" i="1"/>
  <c r="E2923" i="1"/>
  <c r="F2923" i="1"/>
  <c r="H2923" i="1"/>
  <c r="E2924" i="1"/>
  <c r="F2924" i="1"/>
  <c r="H2924" i="1"/>
  <c r="E2925" i="1"/>
  <c r="F2925" i="1"/>
  <c r="H2925" i="1"/>
  <c r="E2926" i="1"/>
  <c r="F2926" i="1"/>
  <c r="H2926" i="1"/>
  <c r="E2927" i="1"/>
  <c r="F2927" i="1"/>
  <c r="H2927" i="1"/>
  <c r="E2928" i="1"/>
  <c r="F2928" i="1"/>
  <c r="H2928" i="1"/>
  <c r="E2929" i="1"/>
  <c r="F2929" i="1"/>
  <c r="H2929" i="1"/>
  <c r="E2930" i="1"/>
  <c r="F2930" i="1"/>
  <c r="H2930" i="1"/>
  <c r="E2931" i="1"/>
  <c r="F2931" i="1"/>
  <c r="H2931" i="1"/>
  <c r="E2932" i="1"/>
  <c r="F2932" i="1"/>
  <c r="H2932" i="1"/>
  <c r="E2933" i="1"/>
  <c r="F2933" i="1"/>
  <c r="H2933" i="1"/>
  <c r="E2934" i="1"/>
  <c r="F2934" i="1"/>
  <c r="H2934" i="1"/>
  <c r="E2935" i="1"/>
  <c r="F2935" i="1"/>
  <c r="H2935" i="1"/>
  <c r="E2936" i="1"/>
  <c r="F2936" i="1"/>
  <c r="H2936" i="1"/>
  <c r="E2937" i="1"/>
  <c r="F2937" i="1"/>
  <c r="H2937" i="1"/>
  <c r="E2938" i="1"/>
  <c r="F2938" i="1"/>
  <c r="H2938" i="1"/>
  <c r="E2939" i="1"/>
  <c r="F2939" i="1"/>
  <c r="H2939" i="1"/>
  <c r="E2940" i="1"/>
  <c r="F2940" i="1"/>
  <c r="H2940" i="1"/>
  <c r="E2941" i="1"/>
  <c r="F2941" i="1"/>
  <c r="H2941" i="1"/>
  <c r="E2942" i="1"/>
  <c r="F2942" i="1"/>
  <c r="H2942" i="1"/>
  <c r="E2943" i="1"/>
  <c r="F2943" i="1"/>
  <c r="H2943" i="1"/>
  <c r="E2944" i="1"/>
  <c r="F2944" i="1"/>
  <c r="H2944" i="1"/>
  <c r="E2945" i="1"/>
  <c r="F2945" i="1"/>
  <c r="H2945" i="1"/>
  <c r="E2946" i="1"/>
  <c r="F2946" i="1"/>
  <c r="H2946" i="1"/>
  <c r="E2947" i="1"/>
  <c r="F2947" i="1"/>
  <c r="H2947" i="1"/>
  <c r="E2948" i="1"/>
  <c r="F2948" i="1"/>
  <c r="H2948" i="1"/>
  <c r="E2949" i="1"/>
  <c r="F2949" i="1"/>
  <c r="H2949" i="1"/>
  <c r="E2950" i="1"/>
  <c r="F2950" i="1"/>
  <c r="H2950" i="1"/>
  <c r="E2951" i="1"/>
  <c r="F2951" i="1"/>
  <c r="H2951" i="1"/>
  <c r="E2952" i="1"/>
  <c r="F2952" i="1"/>
  <c r="H2952" i="1"/>
  <c r="E2953" i="1"/>
  <c r="F2953" i="1"/>
  <c r="H2953" i="1"/>
  <c r="E2954" i="1"/>
  <c r="F2954" i="1"/>
  <c r="H2954" i="1"/>
  <c r="E2955" i="1"/>
  <c r="F2955" i="1"/>
  <c r="H2955" i="1"/>
  <c r="E2956" i="1"/>
  <c r="F2956" i="1"/>
  <c r="H2956" i="1"/>
  <c r="E2957" i="1"/>
  <c r="F2957" i="1"/>
  <c r="H2957" i="1"/>
  <c r="E2958" i="1"/>
  <c r="F2958" i="1"/>
  <c r="H2958" i="1"/>
  <c r="E2959" i="1"/>
  <c r="F2959" i="1"/>
  <c r="H2959" i="1"/>
  <c r="E2960" i="1"/>
  <c r="F2960" i="1"/>
  <c r="H2960" i="1"/>
  <c r="E2961" i="1"/>
  <c r="F2961" i="1"/>
  <c r="H2961" i="1"/>
  <c r="E2962" i="1"/>
  <c r="F2962" i="1"/>
  <c r="H2962" i="1"/>
  <c r="E2963" i="1"/>
  <c r="F2963" i="1"/>
  <c r="H2963" i="1"/>
  <c r="E2964" i="1"/>
  <c r="F2964" i="1"/>
  <c r="H2964" i="1"/>
  <c r="E2965" i="1"/>
  <c r="F2965" i="1"/>
  <c r="H2965" i="1"/>
  <c r="E2966" i="1"/>
  <c r="F2966" i="1"/>
  <c r="H2966" i="1"/>
  <c r="E2967" i="1"/>
  <c r="F2967" i="1"/>
  <c r="H2967" i="1"/>
  <c r="E2968" i="1"/>
  <c r="F2968" i="1"/>
  <c r="H2968" i="1"/>
  <c r="E2969" i="1"/>
  <c r="F2969" i="1"/>
  <c r="H2969" i="1"/>
  <c r="E2970" i="1"/>
  <c r="F2970" i="1"/>
  <c r="H2970" i="1"/>
  <c r="E2971" i="1"/>
  <c r="F2971" i="1"/>
  <c r="H2971" i="1"/>
  <c r="E2972" i="1"/>
  <c r="F2972" i="1"/>
  <c r="H2972" i="1"/>
  <c r="E2973" i="1"/>
  <c r="F2973" i="1"/>
  <c r="H2973" i="1"/>
  <c r="E2974" i="1"/>
  <c r="F2974" i="1"/>
  <c r="H2974" i="1"/>
  <c r="E2975" i="1"/>
  <c r="F2975" i="1"/>
  <c r="H2975" i="1"/>
  <c r="E2976" i="1"/>
  <c r="F2976" i="1"/>
  <c r="H2976" i="1"/>
  <c r="E2977" i="1"/>
  <c r="F2977" i="1"/>
  <c r="H2977" i="1"/>
  <c r="E2978" i="1"/>
  <c r="F2978" i="1"/>
  <c r="H2978" i="1"/>
  <c r="E2979" i="1"/>
  <c r="F2979" i="1"/>
  <c r="H2979" i="1"/>
  <c r="E2980" i="1"/>
  <c r="F2980" i="1"/>
  <c r="H2980" i="1"/>
  <c r="E2981" i="1"/>
  <c r="F2981" i="1"/>
  <c r="H2981" i="1"/>
  <c r="E2982" i="1"/>
  <c r="F2982" i="1"/>
  <c r="H2982" i="1"/>
  <c r="E2983" i="1"/>
  <c r="F2983" i="1"/>
  <c r="H2983" i="1"/>
  <c r="E2984" i="1"/>
  <c r="F2984" i="1"/>
  <c r="H2984" i="1"/>
  <c r="E2985" i="1"/>
  <c r="F2985" i="1"/>
  <c r="H2985" i="1"/>
  <c r="E2986" i="1"/>
  <c r="F2986" i="1"/>
  <c r="H2986" i="1"/>
  <c r="E2987" i="1"/>
  <c r="F2987" i="1"/>
  <c r="H2987" i="1"/>
  <c r="E2988" i="1"/>
  <c r="F2988" i="1"/>
  <c r="H2988" i="1"/>
  <c r="E2989" i="1"/>
  <c r="F2989" i="1"/>
  <c r="H2989" i="1"/>
  <c r="E2990" i="1"/>
  <c r="F2990" i="1"/>
  <c r="H2990" i="1"/>
  <c r="E2991" i="1"/>
  <c r="F2991" i="1"/>
  <c r="H2991" i="1"/>
  <c r="E2992" i="1"/>
  <c r="F2992" i="1"/>
  <c r="H2992" i="1"/>
  <c r="E2993" i="1"/>
  <c r="F2993" i="1"/>
  <c r="H2993" i="1"/>
  <c r="E2994" i="1"/>
  <c r="F2994" i="1"/>
  <c r="H2994" i="1"/>
  <c r="E2995" i="1"/>
  <c r="F2995" i="1"/>
  <c r="H2995" i="1"/>
  <c r="E2996" i="1"/>
  <c r="F2996" i="1"/>
  <c r="H2996" i="1"/>
  <c r="E2997" i="1"/>
  <c r="F2997" i="1"/>
  <c r="H2997" i="1"/>
  <c r="E2998" i="1"/>
  <c r="F2998" i="1"/>
  <c r="H2998" i="1"/>
  <c r="E2999" i="1"/>
  <c r="F2999" i="1"/>
  <c r="H2999" i="1"/>
  <c r="E3000" i="1"/>
  <c r="F3000" i="1"/>
  <c r="H3000" i="1"/>
  <c r="E3001" i="1"/>
  <c r="F3001" i="1"/>
  <c r="H3001" i="1"/>
  <c r="E3002" i="1"/>
  <c r="F3002" i="1"/>
  <c r="H3002" i="1"/>
  <c r="E3003" i="1"/>
  <c r="F3003" i="1"/>
  <c r="H3003" i="1"/>
  <c r="E3004" i="1"/>
  <c r="F3004" i="1"/>
  <c r="H3004" i="1"/>
  <c r="E3005" i="1"/>
  <c r="F3005" i="1"/>
  <c r="H3005" i="1"/>
  <c r="E3006" i="1"/>
  <c r="F3006" i="1"/>
  <c r="H3006" i="1"/>
  <c r="E3007" i="1"/>
  <c r="F3007" i="1"/>
  <c r="H3007" i="1"/>
  <c r="E3008" i="1"/>
  <c r="F3008" i="1"/>
  <c r="H3008" i="1"/>
  <c r="E3009" i="1"/>
  <c r="F3009" i="1"/>
  <c r="H3009" i="1"/>
  <c r="E3010" i="1"/>
  <c r="F3010" i="1"/>
  <c r="H3010" i="1"/>
  <c r="E3011" i="1"/>
  <c r="F3011" i="1"/>
  <c r="H3011" i="1"/>
  <c r="E3012" i="1"/>
  <c r="F3012" i="1"/>
  <c r="H3012" i="1"/>
  <c r="E3013" i="1"/>
  <c r="F3013" i="1"/>
  <c r="H3013" i="1"/>
  <c r="E3014" i="1"/>
  <c r="F3014" i="1"/>
  <c r="H3014" i="1"/>
  <c r="E3015" i="1"/>
  <c r="F3015" i="1"/>
  <c r="H3015" i="1"/>
  <c r="E3016" i="1"/>
  <c r="F3016" i="1"/>
  <c r="H3016" i="1"/>
  <c r="E3017" i="1"/>
  <c r="F3017" i="1"/>
  <c r="H3017" i="1"/>
  <c r="E3018" i="1"/>
  <c r="F3018" i="1"/>
  <c r="H3018" i="1"/>
  <c r="E3019" i="1"/>
  <c r="F3019" i="1"/>
  <c r="H3019" i="1"/>
  <c r="E3020" i="1"/>
  <c r="F3020" i="1"/>
  <c r="H3020" i="1"/>
  <c r="E3021" i="1"/>
  <c r="F3021" i="1"/>
  <c r="H3021" i="1"/>
  <c r="E3022" i="1"/>
  <c r="F3022" i="1"/>
  <c r="H3022" i="1"/>
  <c r="E3023" i="1"/>
  <c r="F3023" i="1"/>
  <c r="H3023" i="1"/>
  <c r="E3024" i="1"/>
  <c r="F3024" i="1"/>
  <c r="H3024" i="1"/>
  <c r="E3025" i="1"/>
  <c r="F3025" i="1"/>
  <c r="H3025" i="1"/>
  <c r="E3026" i="1"/>
  <c r="F3026" i="1"/>
  <c r="H3026" i="1"/>
  <c r="E3027" i="1"/>
  <c r="F3027" i="1"/>
  <c r="H3027" i="1"/>
  <c r="E3028" i="1"/>
  <c r="F3028" i="1"/>
  <c r="H3028" i="1"/>
  <c r="E3029" i="1"/>
  <c r="F3029" i="1"/>
  <c r="H3029" i="1"/>
  <c r="E3030" i="1"/>
  <c r="F3030" i="1"/>
  <c r="H3030" i="1"/>
  <c r="E3031" i="1"/>
  <c r="F3031" i="1"/>
  <c r="H3031" i="1"/>
  <c r="E3032" i="1"/>
  <c r="F3032" i="1"/>
  <c r="H3032" i="1"/>
  <c r="E3033" i="1"/>
  <c r="F3033" i="1"/>
  <c r="H3033" i="1"/>
  <c r="E3034" i="1"/>
  <c r="F3034" i="1"/>
  <c r="H3034" i="1"/>
  <c r="E3035" i="1"/>
  <c r="F3035" i="1"/>
  <c r="H3035" i="1"/>
  <c r="E3036" i="1"/>
  <c r="F3036" i="1"/>
  <c r="H3036" i="1"/>
  <c r="E3037" i="1"/>
  <c r="F3037" i="1"/>
  <c r="H3037" i="1"/>
  <c r="E3038" i="1"/>
  <c r="F3038" i="1"/>
  <c r="H3038" i="1"/>
  <c r="E3039" i="1"/>
  <c r="F3039" i="1"/>
  <c r="H3039" i="1"/>
  <c r="E3040" i="1"/>
  <c r="F3040" i="1"/>
  <c r="H3040" i="1"/>
  <c r="E3041" i="1"/>
  <c r="F3041" i="1"/>
  <c r="H3041" i="1"/>
  <c r="E3042" i="1"/>
  <c r="F3042" i="1"/>
  <c r="H3042" i="1"/>
  <c r="E3043" i="1"/>
  <c r="F3043" i="1"/>
  <c r="H3043" i="1"/>
  <c r="E3044" i="1"/>
  <c r="F3044" i="1"/>
  <c r="H3044" i="1"/>
  <c r="E3045" i="1"/>
  <c r="F3045" i="1"/>
  <c r="H3045" i="1"/>
  <c r="E3046" i="1"/>
  <c r="F3046" i="1"/>
  <c r="H3046" i="1"/>
  <c r="E3047" i="1"/>
  <c r="F3047" i="1"/>
  <c r="H3047" i="1"/>
  <c r="E3048" i="1"/>
  <c r="F3048" i="1"/>
  <c r="H3048" i="1"/>
  <c r="E3049" i="1"/>
  <c r="F3049" i="1"/>
  <c r="H3049" i="1"/>
  <c r="E3050" i="1"/>
  <c r="F3050" i="1"/>
  <c r="H3050" i="1"/>
  <c r="E3051" i="1"/>
  <c r="F3051" i="1"/>
  <c r="H3051" i="1"/>
  <c r="E3052" i="1"/>
  <c r="F3052" i="1"/>
  <c r="H3052" i="1"/>
  <c r="E3053" i="1"/>
  <c r="F3053" i="1"/>
  <c r="H3053" i="1"/>
  <c r="E3054" i="1"/>
  <c r="F3054" i="1"/>
  <c r="H3054" i="1"/>
  <c r="E3055" i="1"/>
  <c r="F3055" i="1"/>
  <c r="H3055" i="1"/>
  <c r="E3056" i="1"/>
  <c r="F3056" i="1"/>
  <c r="H3056" i="1"/>
  <c r="E3057" i="1"/>
  <c r="F3057" i="1"/>
  <c r="H3057" i="1"/>
  <c r="E3058" i="1"/>
  <c r="F3058" i="1"/>
  <c r="H3058" i="1"/>
  <c r="E3059" i="1"/>
  <c r="F3059" i="1"/>
  <c r="H3059" i="1"/>
  <c r="E3060" i="1"/>
  <c r="F3060" i="1"/>
  <c r="H3060" i="1"/>
  <c r="E3061" i="1"/>
  <c r="F3061" i="1"/>
  <c r="H3061" i="1"/>
  <c r="E3062" i="1"/>
  <c r="F3062" i="1"/>
  <c r="H3062" i="1"/>
  <c r="E3063" i="1"/>
  <c r="F3063" i="1"/>
  <c r="H3063" i="1"/>
  <c r="E3064" i="1"/>
  <c r="F3064" i="1"/>
  <c r="H3064" i="1"/>
  <c r="E3065" i="1"/>
  <c r="F3065" i="1"/>
  <c r="H3065" i="1"/>
  <c r="E3066" i="1"/>
  <c r="F3066" i="1"/>
  <c r="H3066" i="1"/>
  <c r="E3067" i="1"/>
  <c r="F3067" i="1"/>
  <c r="H3067" i="1"/>
  <c r="E3068" i="1"/>
  <c r="F3068" i="1"/>
  <c r="H3068" i="1"/>
  <c r="E3069" i="1"/>
  <c r="F3069" i="1"/>
  <c r="H3069" i="1"/>
  <c r="E3070" i="1"/>
  <c r="F3070" i="1"/>
  <c r="H3070" i="1"/>
  <c r="E3071" i="1"/>
  <c r="F3071" i="1"/>
  <c r="H3071" i="1"/>
  <c r="E3072" i="1"/>
  <c r="F3072" i="1"/>
  <c r="H3072" i="1"/>
  <c r="E3073" i="1"/>
  <c r="F3073" i="1"/>
  <c r="H3073" i="1"/>
  <c r="E3074" i="1"/>
  <c r="F3074" i="1"/>
  <c r="H3074" i="1"/>
  <c r="E3075" i="1"/>
  <c r="F3075" i="1"/>
  <c r="H3075" i="1"/>
  <c r="E3076" i="1"/>
  <c r="F3076" i="1"/>
  <c r="H3076" i="1"/>
  <c r="E3077" i="1"/>
  <c r="F3077" i="1"/>
  <c r="H3077" i="1"/>
  <c r="E3078" i="1"/>
  <c r="F3078" i="1"/>
  <c r="H3078" i="1"/>
  <c r="E3079" i="1"/>
  <c r="F3079" i="1"/>
  <c r="H3079" i="1"/>
  <c r="E3080" i="1"/>
  <c r="F3080" i="1"/>
  <c r="H3080" i="1"/>
  <c r="E3081" i="1"/>
  <c r="F3081" i="1"/>
  <c r="H3081" i="1"/>
  <c r="E3082" i="1"/>
  <c r="F3082" i="1"/>
  <c r="H3082" i="1"/>
  <c r="E3083" i="1"/>
  <c r="F3083" i="1"/>
  <c r="H3083" i="1"/>
  <c r="E3084" i="1"/>
  <c r="F3084" i="1"/>
  <c r="H3084" i="1"/>
  <c r="E3085" i="1"/>
  <c r="F3085" i="1"/>
  <c r="H3085" i="1"/>
  <c r="E3086" i="1"/>
  <c r="F3086" i="1"/>
  <c r="H3086" i="1"/>
  <c r="E3087" i="1"/>
  <c r="F3087" i="1"/>
  <c r="H3087" i="1"/>
  <c r="E3088" i="1"/>
  <c r="F3088" i="1"/>
  <c r="H3088" i="1"/>
  <c r="E3089" i="1"/>
  <c r="F3089" i="1"/>
  <c r="H3089" i="1"/>
  <c r="E3090" i="1"/>
  <c r="F3090" i="1"/>
  <c r="H3090" i="1"/>
  <c r="E3091" i="1"/>
  <c r="F3091" i="1"/>
  <c r="H3091" i="1"/>
  <c r="E3092" i="1"/>
  <c r="F3092" i="1"/>
  <c r="H3092" i="1"/>
  <c r="E3093" i="1"/>
  <c r="F3093" i="1"/>
  <c r="H3093" i="1"/>
  <c r="E3094" i="1"/>
  <c r="F3094" i="1"/>
  <c r="H3094" i="1"/>
  <c r="E3095" i="1"/>
  <c r="F3095" i="1"/>
  <c r="H3095" i="1"/>
  <c r="E3096" i="1"/>
  <c r="F3096" i="1"/>
  <c r="H3096" i="1"/>
  <c r="E3097" i="1"/>
  <c r="F3097" i="1"/>
  <c r="H3097" i="1"/>
  <c r="E3098" i="1"/>
  <c r="F3098" i="1"/>
  <c r="H3098" i="1"/>
  <c r="E3099" i="1"/>
  <c r="F3099" i="1"/>
  <c r="H3099" i="1"/>
  <c r="E3100" i="1"/>
  <c r="F3100" i="1"/>
  <c r="H3100" i="1"/>
  <c r="E3101" i="1"/>
  <c r="F3101" i="1"/>
  <c r="H3101" i="1"/>
  <c r="E3102" i="1"/>
  <c r="F3102" i="1"/>
  <c r="H3102" i="1"/>
  <c r="E3103" i="1"/>
  <c r="F3103" i="1"/>
  <c r="H3103" i="1"/>
  <c r="E3104" i="1"/>
  <c r="F3104" i="1"/>
  <c r="H3104" i="1"/>
  <c r="E3105" i="1"/>
  <c r="F3105" i="1"/>
  <c r="H3105" i="1"/>
  <c r="E3106" i="1"/>
  <c r="F3106" i="1"/>
  <c r="H3106" i="1"/>
  <c r="E3107" i="1"/>
  <c r="F3107" i="1"/>
  <c r="H3107" i="1"/>
  <c r="E3108" i="1"/>
  <c r="F3108" i="1"/>
  <c r="H3108" i="1"/>
  <c r="E3109" i="1"/>
  <c r="F3109" i="1"/>
  <c r="H3109" i="1"/>
  <c r="E3110" i="1"/>
  <c r="F3110" i="1"/>
  <c r="H3110" i="1"/>
  <c r="E3111" i="1"/>
  <c r="F3111" i="1"/>
  <c r="H3111" i="1"/>
  <c r="E3112" i="1"/>
  <c r="F3112" i="1"/>
  <c r="H3112" i="1"/>
  <c r="E3113" i="1"/>
  <c r="F3113" i="1"/>
  <c r="H3113" i="1"/>
  <c r="E3114" i="1"/>
  <c r="F3114" i="1"/>
  <c r="H3114" i="1"/>
  <c r="E3115" i="1"/>
  <c r="F3115" i="1"/>
  <c r="H3115" i="1"/>
  <c r="E3116" i="1"/>
  <c r="F3116" i="1"/>
  <c r="H3116" i="1"/>
  <c r="E3117" i="1"/>
  <c r="F3117" i="1"/>
  <c r="H3117" i="1"/>
  <c r="E3118" i="1"/>
  <c r="F3118" i="1"/>
  <c r="H3118" i="1"/>
  <c r="E3119" i="1"/>
  <c r="F3119" i="1"/>
  <c r="H3119" i="1"/>
  <c r="E3120" i="1"/>
  <c r="F3120" i="1"/>
  <c r="H3120" i="1"/>
  <c r="E3121" i="1"/>
  <c r="F3121" i="1"/>
  <c r="H3121" i="1"/>
  <c r="E3122" i="1"/>
  <c r="F3122" i="1"/>
  <c r="H3122" i="1"/>
  <c r="E3123" i="1"/>
  <c r="F3123" i="1"/>
  <c r="H3123" i="1"/>
  <c r="E3124" i="1"/>
  <c r="F3124" i="1"/>
  <c r="H3124" i="1"/>
  <c r="E3125" i="1"/>
  <c r="F3125" i="1"/>
  <c r="H3125" i="1"/>
  <c r="E3126" i="1"/>
  <c r="F3126" i="1"/>
  <c r="H3126" i="1"/>
  <c r="E3127" i="1"/>
  <c r="F3127" i="1"/>
  <c r="H3127" i="1"/>
  <c r="E3128" i="1"/>
  <c r="F3128" i="1"/>
  <c r="H3128" i="1"/>
  <c r="E3129" i="1"/>
  <c r="F3129" i="1"/>
  <c r="H3129" i="1"/>
  <c r="E3130" i="1"/>
  <c r="F3130" i="1"/>
  <c r="H3130" i="1"/>
  <c r="E3131" i="1"/>
  <c r="F3131" i="1"/>
  <c r="H3131" i="1"/>
  <c r="E3132" i="1"/>
  <c r="F3132" i="1"/>
  <c r="H3132" i="1"/>
  <c r="E3133" i="1"/>
  <c r="F3133" i="1"/>
  <c r="H3133" i="1"/>
  <c r="E3134" i="1"/>
  <c r="F3134" i="1"/>
  <c r="H3134" i="1"/>
  <c r="E3135" i="1"/>
  <c r="F3135" i="1"/>
  <c r="H3135" i="1"/>
  <c r="E3136" i="1"/>
  <c r="F3136" i="1"/>
  <c r="H3136" i="1"/>
  <c r="E3137" i="1"/>
  <c r="F3137" i="1"/>
  <c r="H3137" i="1"/>
  <c r="E3138" i="1"/>
  <c r="F3138" i="1"/>
  <c r="H3138" i="1"/>
  <c r="E3139" i="1"/>
  <c r="F3139" i="1"/>
  <c r="H3139" i="1"/>
  <c r="E3140" i="1"/>
  <c r="F3140" i="1"/>
  <c r="H3140" i="1"/>
  <c r="E3141" i="1"/>
  <c r="F3141" i="1"/>
  <c r="H3141" i="1"/>
  <c r="E3142" i="1"/>
  <c r="F3142" i="1"/>
  <c r="H3142" i="1"/>
  <c r="E3143" i="1"/>
  <c r="F3143" i="1"/>
  <c r="H3143" i="1"/>
  <c r="E3144" i="1"/>
  <c r="F3144" i="1"/>
  <c r="H3144" i="1"/>
  <c r="E3145" i="1"/>
  <c r="F3145" i="1"/>
  <c r="H3145" i="1"/>
  <c r="E3146" i="1"/>
  <c r="F3146" i="1"/>
  <c r="H3146" i="1"/>
  <c r="E3147" i="1"/>
  <c r="F3147" i="1"/>
  <c r="H3147" i="1"/>
  <c r="E3148" i="1"/>
  <c r="F3148" i="1"/>
  <c r="H3148" i="1"/>
  <c r="E3149" i="1"/>
  <c r="F3149" i="1"/>
  <c r="H3149" i="1"/>
  <c r="E3150" i="1"/>
  <c r="F3150" i="1"/>
  <c r="H3150" i="1"/>
  <c r="E3151" i="1"/>
  <c r="F3151" i="1"/>
  <c r="H3151" i="1"/>
  <c r="E3152" i="1"/>
  <c r="F3152" i="1"/>
  <c r="H3152" i="1"/>
  <c r="E3153" i="1"/>
  <c r="F3153" i="1"/>
  <c r="H3153" i="1"/>
  <c r="E3154" i="1"/>
  <c r="F3154" i="1"/>
  <c r="H3154" i="1"/>
  <c r="E3155" i="1"/>
  <c r="F3155" i="1"/>
  <c r="H3155" i="1"/>
  <c r="E3156" i="1"/>
  <c r="F3156" i="1"/>
  <c r="H3156" i="1"/>
  <c r="E3157" i="1"/>
  <c r="F3157" i="1"/>
  <c r="H3157" i="1"/>
  <c r="E3158" i="1"/>
  <c r="F3158" i="1"/>
  <c r="H3158" i="1"/>
  <c r="E3159" i="1"/>
  <c r="F3159" i="1"/>
  <c r="H3159" i="1"/>
  <c r="E3160" i="1"/>
  <c r="F3160" i="1"/>
  <c r="H3160" i="1"/>
  <c r="E3161" i="1"/>
  <c r="F3161" i="1"/>
  <c r="H3161" i="1"/>
  <c r="E3162" i="1"/>
  <c r="F3162" i="1"/>
  <c r="H3162" i="1"/>
  <c r="E3163" i="1"/>
  <c r="F3163" i="1"/>
  <c r="H3163" i="1"/>
  <c r="E3164" i="1"/>
  <c r="F3164" i="1"/>
  <c r="H3164" i="1"/>
  <c r="E3165" i="1"/>
  <c r="F3165" i="1"/>
  <c r="H3165" i="1"/>
  <c r="E3166" i="1"/>
  <c r="F3166" i="1"/>
  <c r="H3166" i="1"/>
  <c r="E3167" i="1"/>
  <c r="F3167" i="1"/>
  <c r="H3167" i="1"/>
  <c r="E3168" i="1"/>
  <c r="F3168" i="1"/>
  <c r="H3168" i="1"/>
  <c r="E3169" i="1"/>
  <c r="F3169" i="1"/>
  <c r="H3169" i="1"/>
  <c r="E3170" i="1"/>
  <c r="F3170" i="1"/>
  <c r="H3170" i="1"/>
  <c r="E3171" i="1"/>
  <c r="F3171" i="1"/>
  <c r="H3171" i="1"/>
  <c r="E3172" i="1"/>
  <c r="F3172" i="1"/>
  <c r="H3172" i="1"/>
  <c r="E3173" i="1"/>
  <c r="F3173" i="1"/>
  <c r="H3173" i="1"/>
  <c r="E3174" i="1"/>
  <c r="F3174" i="1"/>
  <c r="H3174" i="1"/>
  <c r="E3175" i="1"/>
  <c r="F3175" i="1"/>
  <c r="H3175" i="1"/>
  <c r="E3176" i="1"/>
  <c r="F3176" i="1"/>
  <c r="H3176" i="1"/>
  <c r="E3177" i="1"/>
  <c r="F3177" i="1"/>
  <c r="H3177" i="1"/>
  <c r="E3178" i="1"/>
  <c r="F3178" i="1"/>
  <c r="H3178" i="1"/>
  <c r="E3179" i="1"/>
  <c r="F3179" i="1"/>
  <c r="H3179" i="1"/>
  <c r="E3180" i="1"/>
  <c r="F3180" i="1"/>
  <c r="H3180" i="1"/>
  <c r="E3181" i="1"/>
  <c r="F3181" i="1"/>
  <c r="H3181" i="1"/>
  <c r="E3182" i="1"/>
  <c r="F3182" i="1"/>
  <c r="H3182" i="1"/>
  <c r="E3183" i="1"/>
  <c r="F3183" i="1"/>
  <c r="H3183" i="1"/>
  <c r="E3184" i="1"/>
  <c r="F3184" i="1"/>
  <c r="H3184" i="1"/>
  <c r="E3185" i="1"/>
  <c r="F3185" i="1"/>
  <c r="H3185" i="1"/>
  <c r="E3186" i="1"/>
  <c r="F3186" i="1"/>
  <c r="H3186" i="1"/>
  <c r="E3187" i="1"/>
  <c r="F3187" i="1"/>
  <c r="H3187" i="1"/>
  <c r="E3188" i="1"/>
  <c r="F3188" i="1"/>
  <c r="H3188" i="1"/>
  <c r="E3189" i="1"/>
  <c r="F3189" i="1"/>
  <c r="H3189" i="1"/>
  <c r="E3190" i="1"/>
  <c r="F3190" i="1"/>
  <c r="H3190" i="1"/>
  <c r="E3191" i="1"/>
  <c r="F3191" i="1"/>
  <c r="H3191" i="1"/>
  <c r="E3192" i="1"/>
  <c r="F3192" i="1"/>
  <c r="H3192" i="1"/>
  <c r="E3193" i="1"/>
  <c r="F3193" i="1"/>
  <c r="H3193" i="1"/>
  <c r="E3194" i="1"/>
  <c r="F3194" i="1"/>
  <c r="H3194" i="1"/>
  <c r="E3195" i="1"/>
  <c r="F3195" i="1"/>
  <c r="H3195" i="1"/>
  <c r="E3196" i="1"/>
  <c r="F3196" i="1"/>
  <c r="H3196" i="1"/>
  <c r="E3197" i="1"/>
  <c r="F3197" i="1"/>
  <c r="H3197" i="1"/>
  <c r="E3198" i="1"/>
  <c r="F3198" i="1"/>
  <c r="H3198" i="1"/>
  <c r="E3199" i="1"/>
  <c r="F3199" i="1"/>
  <c r="H3199" i="1"/>
  <c r="E3200" i="1"/>
  <c r="F3200" i="1"/>
  <c r="H3200" i="1"/>
  <c r="E3201" i="1"/>
  <c r="F3201" i="1"/>
  <c r="H3201" i="1"/>
  <c r="E3202" i="1"/>
  <c r="F3202" i="1"/>
  <c r="H3202" i="1"/>
  <c r="E3203" i="1"/>
  <c r="F3203" i="1"/>
  <c r="H3203" i="1"/>
  <c r="E3204" i="1"/>
  <c r="F3204" i="1"/>
  <c r="H3204" i="1"/>
  <c r="E3205" i="1"/>
  <c r="F3205" i="1"/>
  <c r="H3205" i="1"/>
  <c r="E3206" i="1"/>
  <c r="F3206" i="1"/>
  <c r="H3206" i="1"/>
  <c r="E3207" i="1"/>
  <c r="F3207" i="1"/>
  <c r="H3207" i="1"/>
  <c r="E3208" i="1"/>
  <c r="F3208" i="1"/>
  <c r="H3208" i="1"/>
  <c r="E3209" i="1"/>
  <c r="F3209" i="1"/>
  <c r="H3209" i="1"/>
  <c r="E3210" i="1"/>
  <c r="F3210" i="1"/>
  <c r="H3210" i="1"/>
  <c r="E3211" i="1"/>
  <c r="F3211" i="1"/>
  <c r="H3211" i="1"/>
  <c r="E3212" i="1"/>
  <c r="F3212" i="1"/>
  <c r="H3212" i="1"/>
  <c r="E3213" i="1"/>
  <c r="F3213" i="1"/>
  <c r="H3213" i="1"/>
  <c r="E3214" i="1"/>
  <c r="F3214" i="1"/>
  <c r="H3214" i="1"/>
  <c r="E3215" i="1"/>
  <c r="F3215" i="1"/>
  <c r="H3215" i="1"/>
  <c r="E3216" i="1"/>
  <c r="F3216" i="1"/>
  <c r="H3216" i="1"/>
  <c r="E3217" i="1"/>
  <c r="F3217" i="1"/>
  <c r="H3217" i="1"/>
  <c r="E3218" i="1"/>
  <c r="F3218" i="1"/>
  <c r="H3218" i="1"/>
  <c r="E3219" i="1"/>
  <c r="F3219" i="1"/>
  <c r="H3219" i="1"/>
  <c r="E3220" i="1"/>
  <c r="F3220" i="1"/>
  <c r="H3220" i="1"/>
  <c r="E3221" i="1"/>
  <c r="F3221" i="1"/>
  <c r="H3221" i="1"/>
  <c r="E3222" i="1"/>
  <c r="F3222" i="1"/>
  <c r="H3222" i="1"/>
  <c r="E3223" i="1"/>
  <c r="F3223" i="1"/>
  <c r="H3223" i="1"/>
  <c r="E3224" i="1"/>
  <c r="F3224" i="1"/>
  <c r="H3224" i="1"/>
  <c r="E3225" i="1"/>
  <c r="F3225" i="1"/>
  <c r="H3225" i="1"/>
  <c r="E3226" i="1"/>
  <c r="F3226" i="1"/>
  <c r="H3226" i="1"/>
  <c r="E3227" i="1"/>
  <c r="F3227" i="1"/>
  <c r="H3227" i="1"/>
  <c r="E3228" i="1"/>
  <c r="F3228" i="1"/>
  <c r="H3228" i="1"/>
  <c r="E3229" i="1"/>
  <c r="F3229" i="1"/>
  <c r="H3229" i="1"/>
  <c r="E3230" i="1"/>
  <c r="F3230" i="1"/>
  <c r="H3230" i="1"/>
  <c r="E3231" i="1"/>
  <c r="F3231" i="1"/>
  <c r="H3231" i="1"/>
  <c r="E3232" i="1"/>
  <c r="F3232" i="1"/>
  <c r="H3232" i="1"/>
  <c r="E3233" i="1"/>
  <c r="F3233" i="1"/>
  <c r="H3233" i="1"/>
  <c r="E3234" i="1"/>
  <c r="F3234" i="1"/>
  <c r="H3234" i="1"/>
  <c r="E3235" i="1"/>
  <c r="F3235" i="1"/>
  <c r="H3235" i="1"/>
  <c r="E3236" i="1"/>
  <c r="F3236" i="1"/>
  <c r="H3236" i="1"/>
  <c r="E3237" i="1"/>
  <c r="F3237" i="1"/>
  <c r="H3237" i="1"/>
  <c r="E3238" i="1"/>
  <c r="F3238" i="1"/>
  <c r="H3238" i="1"/>
  <c r="E3239" i="1"/>
  <c r="F3239" i="1"/>
  <c r="H3239" i="1"/>
  <c r="E3240" i="1"/>
  <c r="F3240" i="1"/>
  <c r="H3240" i="1"/>
</calcChain>
</file>

<file path=xl/sharedStrings.xml><?xml version="1.0" encoding="utf-8"?>
<sst xmlns="http://schemas.openxmlformats.org/spreadsheetml/2006/main" count="547" uniqueCount="407">
  <si>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</si>
  <si>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</si>
  <si>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</si>
  <si>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</si>
  <si>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</si>
  <si>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</si>
  <si>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</si>
  <si>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</si>
  <si>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</si>
  <si>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973 MATERIALS  LLC</t>
  </si>
  <si>
    <t>A PLUS BAIL BONDS</t>
  </si>
  <si>
    <t>ARNOLD OIL COMPANY OF AUSTIN LP</t>
  </si>
  <si>
    <t>ABRAM BARKER</t>
  </si>
  <si>
    <t>ACADIAN AMBULANCE SERVICE INC</t>
  </si>
  <si>
    <t>ADAM DAKOTA ROWINS</t>
  </si>
  <si>
    <t>ADENA LEWIS</t>
  </si>
  <si>
    <t>ADVANCED GRAPHIX INC</t>
  </si>
  <si>
    <t>ALAMO  GROUP (TX)  INC</t>
  </si>
  <si>
    <t>ALANNA DICKINSON</t>
  </si>
  <si>
    <t>ALBERT NEAL PFEIFFER</t>
  </si>
  <si>
    <t>TIMOTHY HALL</t>
  </si>
  <si>
    <t>AMAZON CAPITAL SERVICES INC</t>
  </si>
  <si>
    <t>AMERISOURCEBERGEN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</si>
  <si>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</si>
  <si>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</si>
  <si>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</si>
  <si>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</si>
  <si>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</si>
  <si>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ARBEN SHAHOLLI</t>
  </si>
  <si>
    <t>ASCENSION SETON</t>
  </si>
  <si>
    <t>ASSOCIATED SUPPLY COMPANY  INC.</t>
  </si>
  <si>
    <t>ASHLEY RADDE</t>
  </si>
  <si>
    <t>AT&amp;T</t>
  </si>
  <si>
    <t>AT&amp;T MOBILITY</t>
  </si>
  <si>
    <t>ERNESTO B HERRERA</t>
  </si>
  <si>
    <t>ATRIUM REAL ESTATE SERVICES</t>
  </si>
  <si>
    <t>AUSTIN RADIOLOGICAL ASSOC</t>
  </si>
  <si>
    <t>AUTUMN J SMITH</t>
  </si>
  <si>
    <t>JIM ATTRA INC</t>
  </si>
  <si>
    <t>MICHAEL OLDHAM TIRE INC</t>
  </si>
  <si>
    <t>EDUARDO BARRIENTOS</t>
  </si>
  <si>
    <t>BASTROP BAIL BONDS</t>
  </si>
  <si>
    <t>BASTROP COUNTY SHERIFF'S DEPT</t>
  </si>
  <si>
    <t>BASTROP COUNTY CARES</t>
  </si>
  <si>
    <t>BASTROP COUNTY TAX-ASSESSOR</t>
  </si>
  <si>
    <t>BASTROP COUNTY EMERGENCY FOOD PANTRY</t>
  </si>
  <si>
    <t>BASTROP COUNTY PROBATION DEPT</t>
  </si>
  <si>
    <t>BASTROP COUNTY TAX ASSESSOR</t>
  </si>
  <si>
    <t>BASTROP INDEPENDENT SCHOOL DISTRICT</t>
  </si>
  <si>
    <t>BASTROP MEDICAL CLINIC</t>
  </si>
  <si>
    <t>BASTROP PROVIDENCE  LLC</t>
  </si>
  <si>
    <t>DAVID H OUTON</t>
  </si>
  <si>
    <t>BELL COUNTY</t>
  </si>
  <si>
    <t>BEN E KEITH CO.</t>
  </si>
  <si>
    <t>B C FOOD GROUP  LLC</t>
  </si>
  <si>
    <t>BIG CITY CRUSHED CONCRETE  LLC</t>
  </si>
  <si>
    <t>BIG WRENCH ROAD SERVICE INC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</si>
  <si>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</si>
  <si>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</si>
  <si>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</si>
  <si>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</si>
  <si>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</si>
  <si>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BOBBIE JAROCKI</t>
  </si>
  <si>
    <t>BRAUNTEX MATERIALS INC</t>
  </si>
  <si>
    <t>LAW OFFICE OF BRYAN W. MCDANIEL  P.C.</t>
  </si>
  <si>
    <t>BUREAU OF VITAL STATISTICS</t>
  </si>
  <si>
    <t>CALBRI ROAD &amp; BRIDGE LLC</t>
  </si>
  <si>
    <t>CANYON TELECOM INC</t>
  </si>
  <si>
    <t>CAPITAL PUMPING LP</t>
  </si>
  <si>
    <t>CAPITOL BEARING SERVICE OF AUSTIN  INC.</t>
  </si>
  <si>
    <t>TIB-THE INDEPENDENT BANKERS BANK</t>
  </si>
  <si>
    <t>CARRIER CORPORATION</t>
  </si>
  <si>
    <t>CDW GOVERNMENT INC</t>
  </si>
  <si>
    <t>CEN-TEX MARINE FABRICATORS INC</t>
  </si>
  <si>
    <t>CENTEX IMAGE DESIGNS  LLC</t>
  </si>
  <si>
    <t>CENTEX MATERIALS LLC</t>
  </si>
  <si>
    <t>TIMOTHY LYLE HENNING</t>
  </si>
  <si>
    <t>CHARLES W CARVER</t>
  </si>
  <si>
    <t>CHEROKEE COUNTY CLERK</t>
  </si>
  <si>
    <t>CHESTNUT STREET BONDING COMPANY</t>
  </si>
  <si>
    <t>CHRIS MATT DILLON</t>
  </si>
  <si>
    <t>CINTAS</t>
  </si>
  <si>
    <t>CINTAS CORPORATION</t>
  </si>
  <si>
    <t>CITIBANK</t>
  </si>
  <si>
    <t>CITY OF BASTROP</t>
  </si>
  <si>
    <t>CLAUDE GROHMAN</t>
  </si>
  <si>
    <t>CLINICAL PATHOLOGY LABORATORIES INC</t>
  </si>
  <si>
    <t>CML SECURITY  LLC</t>
  </si>
  <si>
    <t>COLLIN COUNTY SHERIFF</t>
  </si>
  <si>
    <t>COMMUNITY COFFEE COMPANY LLC</t>
  </si>
  <si>
    <t>CONNIE SCHROEDER</t>
  </si>
  <si>
    <t>CONTECH ENGINEERED SOLUTIONS INC</t>
  </si>
  <si>
    <t>CONVERGENCE CABLING  INC.</t>
  </si>
  <si>
    <t>COOPER EQUIPMENT CO.</t>
  </si>
  <si>
    <t>COUNTY OF BEXAR - SHERIFF</t>
  </si>
  <si>
    <t>COVERT CHEVROLET-OLDS</t>
  </si>
  <si>
    <t>BUTLER ANIMAL HEALTH HOLDING COMPANY  LLC</t>
  </si>
  <si>
    <t>CRAIG WINTER</t>
  </si>
  <si>
    <t>CUMMINS SOUTHERN PLAINS  LLC</t>
  </si>
  <si>
    <t>DALLAS COUNTY CONSTABLE PCT 1</t>
  </si>
  <si>
    <t>DARLA DAWN ABSHER</t>
  </si>
  <si>
    <t>DARLON J. SOJAK</t>
  </si>
  <si>
    <t>DATA PROJECTIONS  INC.</t>
  </si>
  <si>
    <t>DAVID M COLLINS</t>
  </si>
  <si>
    <t>DEAN DAIRY CORPORATE  LLC</t>
  </si>
  <si>
    <t>DELL</t>
  </si>
  <si>
    <t>DENTRUST DENTAL TX PC</t>
  </si>
  <si>
    <t>DIAMOND BUSINESS SERVICES  INC.</t>
  </si>
  <si>
    <t>DICKENS LOCKSMITH INC</t>
  </si>
  <si>
    <t>TEXAS DEPARTMENT OF INFORMATION RESOURCES</t>
  </si>
  <si>
    <t>DISCOUNT DOOR &amp; METAL  LLC</t>
  </si>
  <si>
    <t>THE REINALT - THOMAS CORPORATION</t>
  </si>
  <si>
    <t>DONNIE STARK</t>
  </si>
  <si>
    <t>DORA HERNANDEZ</t>
  </si>
  <si>
    <t>DOUBLE D INTERNATIONAL FOOD CO.  INC.</t>
  </si>
  <si>
    <t>DUNNE &amp; JUAREZ L.L.C.</t>
  </si>
  <si>
    <t>DAVID MCMULLEN</t>
  </si>
  <si>
    <t>RHODES &amp; LOZIER LLC</t>
  </si>
  <si>
    <t>ECOLAB INC</t>
  </si>
  <si>
    <t>ELANCO US INC</t>
  </si>
  <si>
    <t>ELECTION SYSTEMS &amp; SOFTWARE INC</t>
  </si>
  <si>
    <t>BLACKLANDS PUBLICATIONS INC</t>
  </si>
  <si>
    <t>ELGIN FUNERAL HOME</t>
  </si>
  <si>
    <t>RALPH DAVID GLASS</t>
  </si>
  <si>
    <t>ELGIN REINVESTMENT ZONE # 1</t>
  </si>
  <si>
    <t>CITY OF ELGIN UTILITIES</t>
  </si>
  <si>
    <t>ELIDA SALINAS</t>
  </si>
  <si>
    <t>ELINA BRINDLE</t>
  </si>
  <si>
    <t>ELLIOTT ELECTRIC SUPPLY INC</t>
  </si>
  <si>
    <t>ERGON ASPHALT &amp; EMULSIONS INC</t>
  </si>
  <si>
    <t>ERIN NICKEL</t>
  </si>
  <si>
    <t>FAMILY HEALTH CENTER OF BASTROP PLLC</t>
  </si>
  <si>
    <t>FEDERAL EXPRESS</t>
  </si>
  <si>
    <t>FERGUSON ENTERPRISES  INC.</t>
  </si>
  <si>
    <t>FLEETPRIDE</t>
  </si>
  <si>
    <t>FOREMOST COUNTY MUTUAL INS CO</t>
  </si>
  <si>
    <t>FORREST L. SANDERSON</t>
  </si>
  <si>
    <t>FOUR B PAVING INC</t>
  </si>
  <si>
    <t>AUSTIN TRUCK AND EQUIPMENT  LTD</t>
  </si>
  <si>
    <t>FRONTIER BANK</t>
  </si>
  <si>
    <t>FTS FOREST TECHNOLOGY SYSTEMS LTD</t>
  </si>
  <si>
    <t>EUGENE W BRIGGS JR</t>
  </si>
  <si>
    <t>GALLS PARENT HOLDINGS LLC</t>
  </si>
  <si>
    <t>GARMENTS TO GO  INC</t>
  </si>
  <si>
    <t>GIPSON PENDERGRASS PEOPLE'S MORTUARY LLC</t>
  </si>
  <si>
    <t>GRAINGER INC</t>
  </si>
  <si>
    <t>GRAYSON COUNTY SHERIFF</t>
  </si>
  <si>
    <t>GT DISTRIBUTORS  INC.</t>
  </si>
  <si>
    <t>GULF COAST PAPER CO. INC.</t>
  </si>
  <si>
    <t>H&amp;H OIL  L.P.</t>
  </si>
  <si>
    <t>HALFF ASSOCIATES</t>
  </si>
  <si>
    <t>HAMILTON ELECTRIC WORKS  INC.</t>
  </si>
  <si>
    <t>HARRIS COUNTY CONSTABLE PCT 1</t>
  </si>
  <si>
    <t>HARRIS COUNTY CONSTABLE PCT 3</t>
  </si>
  <si>
    <t>HAYS COUNTY CONSTABLE PCT 5</t>
  </si>
  <si>
    <t>HEADSETS DIRECT INC.</t>
  </si>
  <si>
    <t>HEARTLAND QUARRIES  LLC</t>
  </si>
  <si>
    <t>HENDERSON COUNTY SHERIFF</t>
  </si>
  <si>
    <t>HENGST PRINTING &amp; SUPPLIES</t>
  </si>
  <si>
    <t>HI-LINE</t>
  </si>
  <si>
    <t>BASCOM L HODGES JR</t>
  </si>
  <si>
    <t>HODGSON G ECKEL</t>
  </si>
  <si>
    <t>BD HOLT CO</t>
  </si>
  <si>
    <t>CITIBANK (SOUTH DAKOTA)N.A./THE HOME DEPOT</t>
  </si>
  <si>
    <t>NORTHWEST CASCADE INC</t>
  </si>
  <si>
    <t>GREGORY LUCAS</t>
  </si>
  <si>
    <t>HEAT TRANSFER SOLUTIONS  INC.</t>
  </si>
  <si>
    <t>HYDRAULIC HOUSE INC</t>
  </si>
  <si>
    <t>I&amp;R MACHINING  INC.</t>
  </si>
  <si>
    <t>IDEXX DISTRIBUTION INC</t>
  </si>
  <si>
    <t>INDIGENT HEALTHCARE SOLUTIONS</t>
  </si>
  <si>
    <t>INTERSTATE BILLING SERVICE INC</t>
  </si>
  <si>
    <t>IRON MOUNTAIN RECORDS MGMT INC</t>
  </si>
  <si>
    <t>J &amp; J METAL WORKS INC</t>
  </si>
  <si>
    <t>JAMES O. BURKE</t>
  </si>
  <si>
    <t>JENKINS &amp; JENKINS LLP</t>
  </si>
  <si>
    <t>JORDAN BATTERSBY  MCDONALD</t>
  </si>
  <si>
    <t>JUSTIN MATTHEW FOHN</t>
  </si>
  <si>
    <t>KATY NYC-LYYTINEN</t>
  </si>
  <si>
    <t>KAYCI SCHULTZ WATSON</t>
  </si>
  <si>
    <t>MAX ACOSTA-RUBIO</t>
  </si>
  <si>
    <t>KELLY-MOORE PAINT COMPANY  INC</t>
  </si>
  <si>
    <t>KENNETH LIMUEL</t>
  </si>
  <si>
    <t>KENT BROUSSARD TOWER RENTAL INC</t>
  </si>
  <si>
    <t>KING'S PORTABLE THRONES</t>
  </si>
  <si>
    <t>KNIGHT SECURITY SYSTEMS LLC</t>
  </si>
  <si>
    <t>KOETTER FIRE PROTECTION OF AUSTIN  LLC</t>
  </si>
  <si>
    <t>KRISTAL WILT</t>
  </si>
  <si>
    <t>LONGHORN INTERNATIONAL TRUCKS LTD</t>
  </si>
  <si>
    <t>LA GRANGE FORD</t>
  </si>
  <si>
    <t>THE LA GRANGE PARTS HOUSE INC</t>
  </si>
  <si>
    <t>LABATT INSTITUTIONAL SUPPLY CO</t>
  </si>
  <si>
    <t>LANGFORD COMMUNITY MGMT INC</t>
  </si>
  <si>
    <t>LAURA ROBERTSON</t>
  </si>
  <si>
    <t>LAURA WALLIN</t>
  </si>
  <si>
    <t>LAUREN CONCRETE  INC</t>
  </si>
  <si>
    <t>LAW OFFICE OF MARK HEFTER  P.C.</t>
  </si>
  <si>
    <t>LBJ SCHOOL OF PUBLIC AFFAIRS</t>
  </si>
  <si>
    <t>LEE COUNTY SHERIFF</t>
  </si>
  <si>
    <t>LENNAR HOMES</t>
  </si>
  <si>
    <t>LENNOX INDUSTRIES INC</t>
  </si>
  <si>
    <t>AUSTIN LT  INC.</t>
  </si>
  <si>
    <t>LEXISNEXIS RISK DATA MGMT INC</t>
  </si>
  <si>
    <t>LIBERTY TIRE RECYCLING</t>
  </si>
  <si>
    <t>LINDA CONNER</t>
  </si>
  <si>
    <t>LISA BARRIGA</t>
  </si>
  <si>
    <t>LONE STAR CIRCLE OF CARE</t>
  </si>
  <si>
    <t>UNITED KWB COLLABORATIONS LLC</t>
  </si>
  <si>
    <t>LONGHORN EMERGENCY MEDICAL ASSOC PA</t>
  </si>
  <si>
    <t>LONGHORN MOBILE GLASS SERVICE INC</t>
  </si>
  <si>
    <t>LONNIE LAWRENCE DAVIS JR</t>
  </si>
  <si>
    <t>SCOTT BRYANT</t>
  </si>
  <si>
    <t>LOWE'S</t>
  </si>
  <si>
    <t>M&amp;C FONSECA CONSTRUCTION CO.  INC.</t>
  </si>
  <si>
    <t>MAIN STOP STORE</t>
  </si>
  <si>
    <t>MARIA ANFOSSO</t>
  </si>
  <si>
    <t>MARK GARCIA</t>
  </si>
  <si>
    <t>MARK MEUTH</t>
  </si>
  <si>
    <t>MARK T. MALONE  M.D. P.A</t>
  </si>
  <si>
    <t>JOHN W GASPARINI INC</t>
  </si>
  <si>
    <t>MARY BETH SCOTT</t>
  </si>
  <si>
    <t>MATHESON TRI-GAS INC</t>
  </si>
  <si>
    <t>McCREARY  VESELKA  BRAGG &amp; ALLEN P</t>
  </si>
  <si>
    <t>McKESSON MEDICAL-SURGICAL GOVERNMENT SOLUTIONS LLC</t>
  </si>
  <si>
    <t>MEDIMPACT HEALTHCARE SYSTEMS INC</t>
  </si>
  <si>
    <t>MELLANIE MICKELSON</t>
  </si>
  <si>
    <t>INTERVET INC</t>
  </si>
  <si>
    <t>MIDTEX MATERIALS</t>
  </si>
  <si>
    <t>MIKE FORSTNER'S WATERLIFE</t>
  </si>
  <si>
    <t>MILLER CONTRACTING INC</t>
  </si>
  <si>
    <t>ADAM HAROLD STAGMAN</t>
  </si>
  <si>
    <t>GREGORY N BICKWERMERT</t>
  </si>
  <si>
    <t>GAIL BELLAH MCDONALD</t>
  </si>
  <si>
    <t>JEANNIE MARIE RICHTER</t>
  </si>
  <si>
    <t>BRAD MARTIN LINDGREN</t>
  </si>
  <si>
    <t>RONALD DWAYNE DANIELS</t>
  </si>
  <si>
    <t>RONALD DALE BLACKMORE</t>
  </si>
  <si>
    <t>THOMAS EDWARD WHITE</t>
  </si>
  <si>
    <t>RONA MICHELLE SHEERAN</t>
  </si>
  <si>
    <t>SAMELLA THOMPSON WILLIAMS</t>
  </si>
  <si>
    <t>STEVE RAY CHAMBERLAIN</t>
  </si>
  <si>
    <t>MONTGOMERY COUNTY CONSTABLE PCT 1</t>
  </si>
  <si>
    <t>MONTGOMERY COUNTY CONSTABLE PCT 3</t>
  </si>
  <si>
    <t>MOTOROLA SOLUTIONS  IN.C</t>
  </si>
  <si>
    <t>MOUNTAIN WEST DERM-AUSTIN PLLC</t>
  </si>
  <si>
    <t>EK&amp;R ENTERPRISES  INC</t>
  </si>
  <si>
    <t>MUSTANG MACHINERY COMPANY LTD</t>
  </si>
  <si>
    <t>NALCO COMPANY LLC</t>
  </si>
  <si>
    <t>NANCY M. LEWIS</t>
  </si>
  <si>
    <t>INTERNATIONAL IDENTIFICATION INC.</t>
  </si>
  <si>
    <t>NATIONAL FOOD GROUP INC</t>
  </si>
  <si>
    <t>O'REILLY AUTOMOTIVE  INC.</t>
  </si>
  <si>
    <t>OFFICE DEPOT</t>
  </si>
  <si>
    <t>OMNIBASE SERVICES OF TEXAS LP</t>
  </si>
  <si>
    <t>ON SITE SERVICES</t>
  </si>
  <si>
    <t>P SQUARED EMULSION PLANTS  LLC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</si>
  <si>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</si>
  <si>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</si>
  <si>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</si>
  <si>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</si>
  <si>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</si>
  <si>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PATTILLO  BROWN &amp; HILL   LLP</t>
  </si>
  <si>
    <t>PAUL GRANADO</t>
  </si>
  <si>
    <t>PERDUE  BRANDON  FIELDER  COLLINS &amp; MOTT LLP</t>
  </si>
  <si>
    <t>PHILIP R DUCLOUX</t>
  </si>
  <si>
    <t>CLYDE HAYWOOD SR</t>
  </si>
  <si>
    <t>PB PROFESSIONAL SERVICES INC</t>
  </si>
  <si>
    <t>PITNEY BOWES GLOBAL FINANCIAL SERVICES</t>
  </si>
  <si>
    <t>POST OAK HARDWARE  INC.</t>
  </si>
  <si>
    <t>POSTMASTER</t>
  </si>
  <si>
    <t>JOHN DEERE FINANCIAL f.s.b.</t>
  </si>
  <si>
    <t>POPE PRO ENTERPRISES INC</t>
  </si>
  <si>
    <t>ELGIN PROVIDENCE LLC</t>
  </si>
  <si>
    <t>PYE-BARKER FIRE &amp; SAFETY LLC</t>
  </si>
  <si>
    <t>RANDAL'S TOWER TECH INC</t>
  </si>
  <si>
    <t>MADTEX  INC.</t>
  </si>
  <si>
    <t>NESTLE WATERS N AMERICA INC</t>
  </si>
  <si>
    <t>REBECCA STRNAD</t>
  </si>
  <si>
    <t>RED WING BUSINESS ADVANTAGE ACCOUNT</t>
  </si>
  <si>
    <t>RIATA FORD</t>
  </si>
  <si>
    <t>CIT TECHNOLOGY FINANCE</t>
  </si>
  <si>
    <t>ROADRUNNER PHARMACY  INC.</t>
  </si>
  <si>
    <t>ROADRUNNER RADIOLOGY EQUIP LLC</t>
  </si>
  <si>
    <t>ROBERT MADDEN INDUSTRIES LTD</t>
  </si>
  <si>
    <t>ROCKY ROAD PRINTING</t>
  </si>
  <si>
    <t>RODERICK DEWAYNE MOORE</t>
  </si>
  <si>
    <t>ROSE PIETSCH COUNTY CLERK</t>
  </si>
  <si>
    <t>RUSH AUTOMOTIVE LLC</t>
  </si>
  <si>
    <t>SAMMY LERMA III MD</t>
  </si>
  <si>
    <t>SERVICE CASTER CORPORATION</t>
  </si>
  <si>
    <t>SETON FAMILY OF HOSPITALS</t>
  </si>
  <si>
    <t>SETON HEALTHCARE SPONSORED PROJECTS</t>
  </si>
  <si>
    <t>SHARON HANCOCK</t>
  </si>
  <si>
    <t>FERRELLGAS  LP</t>
  </si>
  <si>
    <t>SHOPPA'S FARM SUPPLY</t>
  </si>
  <si>
    <t>SHRED-IT US HOLDCO  INC</t>
  </si>
  <si>
    <t>JANINE FEMINELLA</t>
  </si>
  <si>
    <t>RONALD JOHN CALDWELL JR</t>
  </si>
  <si>
    <t>SINGLETON ASSOCIATES  PA</t>
  </si>
  <si>
    <t>SMITH STORES  INC.</t>
  </si>
  <si>
    <t>SMITHVILLE AUTO PARTS  INC</t>
  </si>
  <si>
    <t>SOUTH AUSTIN SURGERY CENTER</t>
  </si>
  <si>
    <t>SOUTH CENTRAL PLANNING AND DEVELOPMENT COMMISSION</t>
  </si>
  <si>
    <t>SOUTHERN COMPUTER WAREHOUSE INC</t>
  </si>
  <si>
    <t>SOUTHERN TIRE MART LLC</t>
  </si>
  <si>
    <t>DS WATERS OF AMERICA INC</t>
  </si>
  <si>
    <t>SPECIALTY VETERINARY PHARMACY INC</t>
  </si>
  <si>
    <t>ST DAVID'S HEALTHCARE PARTNERSHIP</t>
  </si>
  <si>
    <t>STAPLES  INC.</t>
  </si>
  <si>
    <t>STATE OF TEXAS</t>
  </si>
  <si>
    <t>STEGER &amp; BIZZELL ENGINEERING  INC</t>
  </si>
  <si>
    <t>STERICYCLE  INC.</t>
  </si>
  <si>
    <t>STEVE GRANADO</t>
  </si>
  <si>
    <t>MICHAEL GRAMZA</t>
  </si>
  <si>
    <t>SUN COAST RESOURCES</t>
  </si>
  <si>
    <t>TAVCO SERVICES INC</t>
  </si>
  <si>
    <t>TEXAS COMMISSION ON LAW ENFORCEMENT</t>
  </si>
  <si>
    <t>TEJAS ELEVATOR COMPANY</t>
  </si>
  <si>
    <t>TEX-CON OIL CO</t>
  </si>
  <si>
    <t>TEXAS AGGREGATES  LLC</t>
  </si>
  <si>
    <t>TEXAS ASSOCIATES INSURORS AGENCY</t>
  </si>
  <si>
    <t>TEXAS ASSOCIATION OF COUNTIES</t>
  </si>
  <si>
    <t>TEXAS COMMISSION ON ENVIRONMENTAL QUALITY</t>
  </si>
  <si>
    <t>TEXAS CORRUGATORS INC</t>
  </si>
  <si>
    <t>TEXAS DECON LLC</t>
  </si>
  <si>
    <t>TEXAS DEPARTMENT OF MOTOR VEHICLES</t>
  </si>
  <si>
    <t>TEXAS DISPOSAL SYSTEMS  INC.</t>
  </si>
  <si>
    <t>TEXAS MATERIALS GROUP  INC.</t>
  </si>
  <si>
    <t>TEXAS PARKS &amp; WILDLIFE DEPARTMENT</t>
  </si>
  <si>
    <t>JOHN THOMAS GARRETT</t>
  </si>
  <si>
    <t>TEXAS COMPTROLLER OF PUBLIC ACCOUNTS</t>
  </si>
  <si>
    <t>TEXAS VISION CLINIC  PLLC</t>
  </si>
  <si>
    <t>TEXAS WELDING SUPPLY</t>
  </si>
  <si>
    <t>BUG MASTER EXTERMINATING SERVICES  LTD</t>
  </si>
  <si>
    <t>RICHARD NELSON MOORE</t>
  </si>
  <si>
    <t>THE NITSCHE GROUP</t>
  </si>
  <si>
    <t>THE TRAVELERS INDEMNITY COMPANY</t>
  </si>
  <si>
    <t>WEST PUBLISHING CORPORATION</t>
  </si>
  <si>
    <t>TWE-ADVANCE/NEWHOUSE PARTNERSHIP</t>
  </si>
  <si>
    <t>TODAYS CLASSROOM LLC</t>
  </si>
  <si>
    <t>TRACTOR SUPPLY CREDIT PLAN</t>
  </si>
  <si>
    <t>TRAVIS COUNTY CLERK</t>
  </si>
  <si>
    <t>TRAVIS COUNTY CONSTABLE PCT 5</t>
  </si>
  <si>
    <t>TRAVIS COUNTY CONSTABLE PCT 4</t>
  </si>
  <si>
    <t>TRAVIS COUNTY MEDICAL EXAMINER</t>
  </si>
  <si>
    <t>TRAVIS MATERIALS GROUP LTD</t>
  </si>
  <si>
    <t>TRI-TECH FORENSICS  INC.</t>
  </si>
  <si>
    <t>TULL FARLEY</t>
  </si>
  <si>
    <t>TYLER TECHNOLOGIES INC</t>
  </si>
  <si>
    <t>COUFAL-PRATER EQUIPMENT  LLC</t>
  </si>
  <si>
    <t>VICTORY SUPPLY LLC</t>
  </si>
  <si>
    <t>TEXAS DEPARTMENT OF STATE HEALTH SERVICES</t>
  </si>
  <si>
    <t>VIVIAN PAN</t>
  </si>
  <si>
    <t>SHELTERED WINGS INC.</t>
  </si>
  <si>
    <t>US BANK NA</t>
  </si>
  <si>
    <t>VTX COMMUNICATIONS  LLC</t>
  </si>
  <si>
    <t>WAGEWORKS INC  FSA/HSA</t>
  </si>
  <si>
    <t>WALLER COUNTY ASPHALT INC</t>
  </si>
  <si>
    <t>WASTE CONNECTIONS LONE STAR. INC.</t>
  </si>
  <si>
    <t>WASTE MANAGEMENT OF TEXAS  INC</t>
  </si>
  <si>
    <t>WATCH GUARD VIDEO</t>
  </si>
  <si>
    <t>WAYNE WOOD</t>
  </si>
  <si>
    <t>WELLS FARGO BANK  NA</t>
  </si>
  <si>
    <t>WESTCREEK HOMES</t>
  </si>
  <si>
    <t>LEYLA YATIM-ALIN</t>
  </si>
  <si>
    <t>MAO PHARMACY INC</t>
  </si>
  <si>
    <t>WILLIAMSON COUNTY CONSTABLE PCT 2</t>
  </si>
  <si>
    <t>WILLO PRODUCTS CO.  INC.</t>
  </si>
  <si>
    <t>WINZER CORPORATION</t>
  </si>
  <si>
    <t>YVONNE ROCHA</t>
  </si>
  <si>
    <t>ZOETIS US LLC</t>
  </si>
  <si>
    <t>TROY HINDLE</t>
  </si>
  <si>
    <t>BASTROP AIR CONDITIONING &amp; HEATING</t>
  </si>
  <si>
    <t>DESMAR WALKES</t>
  </si>
  <si>
    <t>TRUBAR  LLC</t>
  </si>
  <si>
    <t>SUNBELT RENTALS INC</t>
  </si>
  <si>
    <t>JOHN J FIETSAM INC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</si>
  <si>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</si>
  <si>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</si>
  <si>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</si>
  <si>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</si>
  <si>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</si>
  <si>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</si>
  <si>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</si>
  <si>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</si>
  <si>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</si>
  <si>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</si>
  <si>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</si>
  <si>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</si>
  <si>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</si>
  <si>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AMERICAN ASSN OF NOTARIES</t>
  </si>
  <si>
    <t>GATEHOUSE MEDIA TEXAS HOLDINGS II  INC.</t>
  </si>
  <si>
    <t>AUSTIN PUMP &amp; SUPPLY CO</t>
  </si>
  <si>
    <t>B&amp;H FOTO &amp; ELECTRONICS CORP</t>
  </si>
  <si>
    <t>MULTI SERVICE TECHNOLOGY SOLUTIONS  INC.</t>
  </si>
  <si>
    <t>BINSWANGER GLASS CO.</t>
  </si>
  <si>
    <t>HARBOR FREIGHT TOOLS USA  INC</t>
  </si>
  <si>
    <t>QUORUM HOSPITALITY</t>
  </si>
  <si>
    <t>NORTHERN TOOL &amp; EQUIPMENT COMPANY. INC</t>
  </si>
  <si>
    <t>PSI SERVICES LL</t>
  </si>
  <si>
    <t>BASTROP CAR WASH SERVICES LLC</t>
  </si>
  <si>
    <t>SERVICE KING BASTROP</t>
  </si>
  <si>
    <t>STAFFENT USA LTD</t>
  </si>
  <si>
    <t>TOWER TECH SERVICES  INC.</t>
  </si>
  <si>
    <t>TRANE</t>
  </si>
  <si>
    <t>UNITED REFRIGERATION INC</t>
  </si>
  <si>
    <t>WINTERS AND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</si>
</sst>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3" fontId="0" fillId="0" borderId="0" xfId="1" applyFont="1"/>
    <xf numFmtId="43" fontId="0" fillId="0" borderId="10" xfId="1" applyFont="1" applyBorder="1"/>
    <xf numFmtId="0" fontId="18" fillId="0" borderId="0" xfId="0" applyFont="1"/>
    <xf numFmtId="43" fontId="18" fillId="0" borderId="0" xfId="1" applyFont="1"/>
    <xf numFmtId="164" fontId="18" fillId="0" borderId="0" xfId="0" applyNumberFormat="1" applyFont="1"/>
    <xf numFmtId="16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2"/>
  <sheetViews>
    <sheetView tabSelected="1" workbookViewId="0"/>
  </sheetViews>
  <sheetFormatPr defaultColWidth="6.28515625" defaultRowHeight="15" x14ac:dyDescent="0.25"/>
  <cols>
    <col min="1" max="1" width="57.140625" bestFit="1" customWidth="1"/>
    <col min="2" max="2" width="7.7109375" bestFit="1" customWidth="1"/>
    <col min="3" max="3" width="14" style="1" bestFit="1" customWidth="1"/>
    <col min="4" max="4" width="10.85546875" style="6" bestFit="1" customWidth="1"/>
    <col min="5" max="5" width="19" bestFit="1" customWidth="1"/>
    <col min="6" max="6" width="37.42578125" bestFit="1" customWidth="1"/>
    <col min="7" max="7" width="15.85546875" style="1" bestFit="1" customWidth="1"/>
    <col min="8" max="8" width="37.4257812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135097</v>
      </c>
      <c r="C2" s="1">
        <v>30</v>
      </c>
      <c r="D2" s="6">
        <v>44298</v>
      </c>
      <c r="E2" t="str">
        <f>"202103242272"</f>
        <v>202103242272</v>
      </c>
      <c r="F2" t="str">
        <f>"REIMBURSEMENT COUPONS #25880"</f>
        <v>REIMBURSEMENT COUPONS #25880</v>
      </c>
      <c r="G2" s="1">
        <v>30</v>
      </c>
      <c r="H2" t="str">
        <f>"REIMBURSEMENT COUPONS #25880"</f>
        <v>REIMBURSEMENT COUPONS #25880</v>
      </c>
    </row>
    <row r="3" spans="1:8" x14ac:dyDescent="0.25">
      <c r="A3" t="s">
        <v>9</v>
      </c>
      <c r="B3">
        <v>4255</v>
      </c>
      <c r="C3" s="1">
        <v>20003.61</v>
      </c>
      <c r="D3" s="6">
        <v>44299</v>
      </c>
      <c r="E3" t="str">
        <f>"9725-001-120691"</f>
        <v>9725-001-120691</v>
      </c>
      <c r="F3" t="str">
        <f t="shared" ref="F3:F10" si="0">"ACCT#9725-001/PCT#2"</f>
        <v>ACCT#9725-001/PCT#2</v>
      </c>
      <c r="G3" s="1">
        <v>207.46</v>
      </c>
      <c r="H3" t="str">
        <f t="shared" ref="H3:H10" si="1">"ACCT#9725-001/PCT#2"</f>
        <v>ACCT#9725-001/PCT#2</v>
      </c>
    </row>
    <row r="4" spans="1:8" x14ac:dyDescent="0.25">
      <c r="E4" t="str">
        <f>"9725-001-120772"</f>
        <v>9725-001-120772</v>
      </c>
      <c r="F4" t="str">
        <f t="shared" si="0"/>
        <v>ACCT#9725-001/PCT#2</v>
      </c>
      <c r="G4" s="1">
        <v>211.4</v>
      </c>
      <c r="H4" t="str">
        <f t="shared" si="1"/>
        <v>ACCT#9725-001/PCT#2</v>
      </c>
    </row>
    <row r="5" spans="1:8" x14ac:dyDescent="0.25">
      <c r="E5" t="str">
        <f>"9725-001-120809"</f>
        <v>9725-001-120809</v>
      </c>
      <c r="F5" t="str">
        <f t="shared" si="0"/>
        <v>ACCT#9725-001/PCT#2</v>
      </c>
      <c r="G5" s="1">
        <v>198.8</v>
      </c>
      <c r="H5" t="str">
        <f t="shared" si="1"/>
        <v>ACCT#9725-001/PCT#2</v>
      </c>
    </row>
    <row r="6" spans="1:8" x14ac:dyDescent="0.25">
      <c r="E6" t="str">
        <f>"9725-001-120842"</f>
        <v>9725-001-120842</v>
      </c>
      <c r="F6" t="str">
        <f t="shared" si="0"/>
        <v>ACCT#9725-001/PCT#2</v>
      </c>
      <c r="G6" s="1">
        <v>201.86</v>
      </c>
      <c r="H6" t="str">
        <f t="shared" si="1"/>
        <v>ACCT#9725-001/PCT#2</v>
      </c>
    </row>
    <row r="7" spans="1:8" x14ac:dyDescent="0.25">
      <c r="E7" t="str">
        <f>"9725-001-120852"</f>
        <v>9725-001-120852</v>
      </c>
      <c r="F7" t="str">
        <f t="shared" si="0"/>
        <v>ACCT#9725-001/PCT#2</v>
      </c>
      <c r="G7" s="1">
        <v>1570.71</v>
      </c>
      <c r="H7" t="str">
        <f t="shared" si="1"/>
        <v>ACCT#9725-001/PCT#2</v>
      </c>
    </row>
    <row r="8" spans="1:8" x14ac:dyDescent="0.25">
      <c r="E8" t="str">
        <f>"9725-001-120886"</f>
        <v>9725-001-120886</v>
      </c>
      <c r="F8" t="str">
        <f t="shared" si="0"/>
        <v>ACCT#9725-001/PCT#2</v>
      </c>
      <c r="G8" s="1">
        <v>203.79</v>
      </c>
      <c r="H8" t="str">
        <f t="shared" si="1"/>
        <v>ACCT#9725-001/PCT#2</v>
      </c>
    </row>
    <row r="9" spans="1:8" x14ac:dyDescent="0.25">
      <c r="E9" t="str">
        <f>"9725-001-120907"</f>
        <v>9725-001-120907</v>
      </c>
      <c r="F9" t="str">
        <f t="shared" si="0"/>
        <v>ACCT#9725-001/PCT#2</v>
      </c>
      <c r="G9" s="1">
        <v>206.33</v>
      </c>
      <c r="H9" t="str">
        <f t="shared" si="1"/>
        <v>ACCT#9725-001/PCT#2</v>
      </c>
    </row>
    <row r="10" spans="1:8" x14ac:dyDescent="0.25">
      <c r="E10" t="str">
        <f>"9725-001-121002"</f>
        <v>9725-001-121002</v>
      </c>
      <c r="F10" t="str">
        <f t="shared" si="0"/>
        <v>ACCT#9725-001/PCT#2</v>
      </c>
      <c r="G10" s="1">
        <v>419.13</v>
      </c>
      <c r="H10" t="str">
        <f t="shared" si="1"/>
        <v>ACCT#9725-001/PCT#2</v>
      </c>
    </row>
    <row r="11" spans="1:8" x14ac:dyDescent="0.25">
      <c r="E11" t="str">
        <f>"9725-001-121018"</f>
        <v>9725-001-121018</v>
      </c>
      <c r="F11" t="str">
        <f>"ACCT#9725-001//PCT#2"</f>
        <v>ACCT#9725-001//PCT#2</v>
      </c>
      <c r="G11" s="1">
        <v>200.2</v>
      </c>
      <c r="H11" t="str">
        <f>"ACCT#9725-001//PCT#2"</f>
        <v>ACCT#9725-001//PCT#2</v>
      </c>
    </row>
    <row r="12" spans="1:8" x14ac:dyDescent="0.25">
      <c r="E12" t="str">
        <f>"9725-001-20947"</f>
        <v>9725-001-20947</v>
      </c>
      <c r="F12" t="str">
        <f>"ACCT#9725-001/PCT#2"</f>
        <v>ACCT#9725-001/PCT#2</v>
      </c>
      <c r="G12" s="1">
        <v>204.84</v>
      </c>
      <c r="H12" t="str">
        <f>"ACCT#9725-001/PCT#2"</f>
        <v>ACCT#9725-001/PCT#2</v>
      </c>
    </row>
    <row r="13" spans="1:8" x14ac:dyDescent="0.25">
      <c r="E13" t="str">
        <f>"9725-004-120778"</f>
        <v>9725-004-120778</v>
      </c>
      <c r="F13" t="str">
        <f>"ACCT#9725-004/PCT#1"</f>
        <v>ACCT#9725-004/PCT#1</v>
      </c>
      <c r="G13" s="1">
        <v>1913.39</v>
      </c>
      <c r="H13" t="str">
        <f>"ACCT#9725-004/PCT#1"</f>
        <v>ACCT#9725-004/PCT#1</v>
      </c>
    </row>
    <row r="14" spans="1:8" x14ac:dyDescent="0.25">
      <c r="E14" t="str">
        <f>"9725-004-120797"</f>
        <v>9725-004-120797</v>
      </c>
      <c r="F14" t="str">
        <f>"ACCT#9725-004/PCT#1"</f>
        <v>ACCT#9725-004/PCT#1</v>
      </c>
      <c r="G14" s="1">
        <v>1469.84</v>
      </c>
      <c r="H14" t="str">
        <f>"ACCT#9725-004/PCT#1"</f>
        <v>ACCT#9725-004/PCT#1</v>
      </c>
    </row>
    <row r="15" spans="1:8" x14ac:dyDescent="0.25">
      <c r="E15" t="str">
        <f>"9725-004-120816"</f>
        <v>9725-004-120816</v>
      </c>
      <c r="F15" t="str">
        <f>"ACCT#9725-004/PCT#1"</f>
        <v>ACCT#9725-004/PCT#1</v>
      </c>
      <c r="G15" s="1">
        <v>1293.8800000000001</v>
      </c>
      <c r="H15" t="str">
        <f>"ACCT#9725-004/PCT#1"</f>
        <v>ACCT#9725-004/PCT#1</v>
      </c>
    </row>
    <row r="16" spans="1:8" x14ac:dyDescent="0.25">
      <c r="E16" t="str">
        <f>"9725-004-120833"</f>
        <v>9725-004-120833</v>
      </c>
      <c r="F16" t="str">
        <f>"ACCT#9725-004/PCT#1"</f>
        <v>ACCT#9725-004/PCT#1</v>
      </c>
      <c r="G16" s="1">
        <v>1244</v>
      </c>
      <c r="H16" t="str">
        <f>"ACCT#9725-004/PCT#1"</f>
        <v>ACCT#9725-004/PCT#1</v>
      </c>
    </row>
    <row r="17" spans="1:8" x14ac:dyDescent="0.25">
      <c r="E17" t="str">
        <f>"9725-007-120700"</f>
        <v>9725-007-120700</v>
      </c>
      <c r="F17" t="str">
        <f t="shared" ref="F17:F24" si="2">"ACCT#9725-007/PCT#4"</f>
        <v>ACCT#9725-007/PCT#4</v>
      </c>
      <c r="G17" s="1">
        <v>803.34</v>
      </c>
      <c r="H17" t="str">
        <f t="shared" ref="H17:H24" si="3">"ACCT#9725-007/PCT#4"</f>
        <v>ACCT#9725-007/PCT#4</v>
      </c>
    </row>
    <row r="18" spans="1:8" x14ac:dyDescent="0.25">
      <c r="E18" t="str">
        <f>"9725-007-120798"</f>
        <v>9725-007-120798</v>
      </c>
      <c r="F18" t="str">
        <f t="shared" si="2"/>
        <v>ACCT#9725-007/PCT#4</v>
      </c>
      <c r="G18" s="1">
        <v>1205.5</v>
      </c>
      <c r="H18" t="str">
        <f t="shared" si="3"/>
        <v>ACCT#9725-007/PCT#4</v>
      </c>
    </row>
    <row r="19" spans="1:8" x14ac:dyDescent="0.25">
      <c r="E19" t="str">
        <f>"9725-007-120860"</f>
        <v>9725-007-120860</v>
      </c>
      <c r="F19" t="str">
        <f t="shared" si="2"/>
        <v>ACCT#9725-007/PCT#4</v>
      </c>
      <c r="G19" s="1">
        <v>599.12</v>
      </c>
      <c r="H19" t="str">
        <f t="shared" si="3"/>
        <v>ACCT#9725-007/PCT#4</v>
      </c>
    </row>
    <row r="20" spans="1:8" x14ac:dyDescent="0.25">
      <c r="E20" t="str">
        <f>"9725-007-120873"</f>
        <v>9725-007-120873</v>
      </c>
      <c r="F20" t="str">
        <f t="shared" si="2"/>
        <v>ACCT#9725-007/PCT#4</v>
      </c>
      <c r="G20" s="1">
        <v>1010.28</v>
      </c>
      <c r="H20" t="str">
        <f t="shared" si="3"/>
        <v>ACCT#9725-007/PCT#4</v>
      </c>
    </row>
    <row r="21" spans="1:8" x14ac:dyDescent="0.25">
      <c r="E21" t="str">
        <f>"9725-007-120917"</f>
        <v>9725-007-120917</v>
      </c>
      <c r="F21" t="str">
        <f t="shared" si="2"/>
        <v>ACCT#9725-007/PCT#4</v>
      </c>
      <c r="G21" s="1">
        <v>605.5</v>
      </c>
      <c r="H21" t="str">
        <f t="shared" si="3"/>
        <v>ACCT#9725-007/PCT#4</v>
      </c>
    </row>
    <row r="22" spans="1:8" x14ac:dyDescent="0.25">
      <c r="E22" t="str">
        <f>"9725-007-120930"</f>
        <v>9725-007-120930</v>
      </c>
      <c r="F22" t="str">
        <f t="shared" si="2"/>
        <v>ACCT#9725-007/PCT#4</v>
      </c>
      <c r="G22" s="1">
        <v>1007.49</v>
      </c>
      <c r="H22" t="str">
        <f t="shared" si="3"/>
        <v>ACCT#9725-007/PCT#4</v>
      </c>
    </row>
    <row r="23" spans="1:8" x14ac:dyDescent="0.25">
      <c r="E23" t="str">
        <f>"9725-007-120956"</f>
        <v>9725-007-120956</v>
      </c>
      <c r="F23" t="str">
        <f t="shared" si="2"/>
        <v>ACCT#9725-007/PCT#4</v>
      </c>
      <c r="G23" s="1">
        <v>1196.6500000000001</v>
      </c>
      <c r="H23" t="str">
        <f t="shared" si="3"/>
        <v>ACCT#9725-007/PCT#4</v>
      </c>
    </row>
    <row r="24" spans="1:8" x14ac:dyDescent="0.25">
      <c r="E24" t="str">
        <f>"9725-007-120973"</f>
        <v>9725-007-120973</v>
      </c>
      <c r="F24" t="str">
        <f t="shared" si="2"/>
        <v>ACCT#9725-007/PCT#4</v>
      </c>
      <c r="G24" s="1">
        <v>201.69</v>
      </c>
      <c r="H24" t="str">
        <f t="shared" si="3"/>
        <v>ACCT#9725-007/PCT#4</v>
      </c>
    </row>
    <row r="25" spans="1:8" x14ac:dyDescent="0.25">
      <c r="E25" t="str">
        <f>"9725-018-120462"</f>
        <v>9725-018-120462</v>
      </c>
      <c r="F25" t="str">
        <f>"ACCT#9725-018/PCT#1"</f>
        <v>ACCT#9725-018/PCT#1</v>
      </c>
      <c r="G25" s="1">
        <v>218.58</v>
      </c>
      <c r="H25" t="str">
        <f>"ACCT#9725-018/PCT#1"</f>
        <v>ACCT#9725-018/PCT#1</v>
      </c>
    </row>
    <row r="26" spans="1:8" x14ac:dyDescent="0.25">
      <c r="E26" t="str">
        <f>"97250-001-120864"</f>
        <v>97250-001-120864</v>
      </c>
      <c r="F26" t="str">
        <f t="shared" ref="F26:F33" si="4">"ACCT#9725-001/PCT#2"</f>
        <v>ACCT#9725-001/PCT#2</v>
      </c>
      <c r="G26" s="1">
        <v>3609.83</v>
      </c>
      <c r="H26" t="str">
        <f t="shared" ref="H26:H33" si="5">"ACCT#9725-001/PCT#2"</f>
        <v>ACCT#9725-001/PCT#2</v>
      </c>
    </row>
    <row r="27" spans="1:8" x14ac:dyDescent="0.25">
      <c r="A27" t="s">
        <v>9</v>
      </c>
      <c r="B27">
        <v>4334</v>
      </c>
      <c r="C27" s="1">
        <v>3067.85</v>
      </c>
      <c r="D27" s="6">
        <v>44313</v>
      </c>
      <c r="E27" t="str">
        <f>"9725-001-121038"</f>
        <v>9725-001-121038</v>
      </c>
      <c r="F27" t="str">
        <f t="shared" si="4"/>
        <v>ACCT#9725-001/PCT#2</v>
      </c>
      <c r="G27" s="1">
        <v>412.39</v>
      </c>
      <c r="H27" t="str">
        <f t="shared" si="5"/>
        <v>ACCT#9725-001/PCT#2</v>
      </c>
    </row>
    <row r="28" spans="1:8" x14ac:dyDescent="0.25">
      <c r="E28" t="str">
        <f>"9725-001-121058"</f>
        <v>9725-001-121058</v>
      </c>
      <c r="F28" t="str">
        <f t="shared" si="4"/>
        <v>ACCT#9725-001/PCT#2</v>
      </c>
      <c r="G28" s="1">
        <v>412.3</v>
      </c>
      <c r="H28" t="str">
        <f t="shared" si="5"/>
        <v>ACCT#9725-001/PCT#2</v>
      </c>
    </row>
    <row r="29" spans="1:8" x14ac:dyDescent="0.25">
      <c r="E29" t="str">
        <f>"9725-001-121074"</f>
        <v>9725-001-121074</v>
      </c>
      <c r="F29" t="str">
        <f t="shared" si="4"/>
        <v>ACCT#9725-001/PCT#2</v>
      </c>
      <c r="G29" s="1">
        <v>610.84</v>
      </c>
      <c r="H29" t="str">
        <f t="shared" si="5"/>
        <v>ACCT#9725-001/PCT#2</v>
      </c>
    </row>
    <row r="30" spans="1:8" x14ac:dyDescent="0.25">
      <c r="E30" t="str">
        <f>"9725-001-121089"</f>
        <v>9725-001-121089</v>
      </c>
      <c r="F30" t="str">
        <f t="shared" si="4"/>
        <v>ACCT#9725-001/PCT#2</v>
      </c>
      <c r="G30" s="1">
        <v>414.75</v>
      </c>
      <c r="H30" t="str">
        <f t="shared" si="5"/>
        <v>ACCT#9725-001/PCT#2</v>
      </c>
    </row>
    <row r="31" spans="1:8" x14ac:dyDescent="0.25">
      <c r="E31" t="str">
        <f>"9725-001-121109"</f>
        <v>9725-001-121109</v>
      </c>
      <c r="F31" t="str">
        <f t="shared" si="4"/>
        <v>ACCT#9725-001/PCT#2</v>
      </c>
      <c r="G31" s="1">
        <v>419.04</v>
      </c>
      <c r="H31" t="str">
        <f t="shared" si="5"/>
        <v>ACCT#9725-001/PCT#2</v>
      </c>
    </row>
    <row r="32" spans="1:8" x14ac:dyDescent="0.25">
      <c r="E32" t="str">
        <f>"9725-001-121130"</f>
        <v>9725-001-121130</v>
      </c>
      <c r="F32" t="str">
        <f t="shared" si="4"/>
        <v>ACCT#9725-001/PCT#2</v>
      </c>
      <c r="G32" s="1">
        <v>389.29</v>
      </c>
      <c r="H32" t="str">
        <f t="shared" si="5"/>
        <v>ACCT#9725-001/PCT#2</v>
      </c>
    </row>
    <row r="33" spans="1:8" x14ac:dyDescent="0.25">
      <c r="E33" t="str">
        <f>"9725-001-121156"</f>
        <v>9725-001-121156</v>
      </c>
      <c r="F33" t="str">
        <f t="shared" si="4"/>
        <v>ACCT#9725-001/PCT#2</v>
      </c>
      <c r="G33" s="1">
        <v>409.24</v>
      </c>
      <c r="H33" t="str">
        <f t="shared" si="5"/>
        <v>ACCT#9725-001/PCT#2</v>
      </c>
    </row>
    <row r="34" spans="1:8" x14ac:dyDescent="0.25">
      <c r="A34" t="s">
        <v>10</v>
      </c>
      <c r="B34">
        <v>135098</v>
      </c>
      <c r="C34" s="1">
        <v>60</v>
      </c>
      <c r="D34" s="6">
        <v>44298</v>
      </c>
      <c r="E34" t="str">
        <f>"202103242270"</f>
        <v>202103242270</v>
      </c>
      <c r="F34" t="str">
        <f>"REIMBURSEMENT COUPONS #25586"</f>
        <v>REIMBURSEMENT COUPONS #25586</v>
      </c>
      <c r="G34" s="1">
        <v>60</v>
      </c>
      <c r="H34" t="str">
        <f>"REIMBURSEMENT COUPONS #25586"</f>
        <v>REIMBURSEMENT COUPONS #25586</v>
      </c>
    </row>
    <row r="35" spans="1:8" x14ac:dyDescent="0.25">
      <c r="A35" t="s">
        <v>11</v>
      </c>
      <c r="B35">
        <v>135099</v>
      </c>
      <c r="C35" s="1">
        <v>1131.83</v>
      </c>
      <c r="D35" s="6">
        <v>44298</v>
      </c>
      <c r="E35" t="str">
        <f>"423683"</f>
        <v>423683</v>
      </c>
      <c r="F35" t="str">
        <f>"ACCT#16500/PCT#4"</f>
        <v>ACCT#16500/PCT#4</v>
      </c>
      <c r="G35" s="1">
        <v>1089.8699999999999</v>
      </c>
      <c r="H35" t="str">
        <f>"ACCT#16500/PCT#4"</f>
        <v>ACCT#16500/PCT#4</v>
      </c>
    </row>
    <row r="36" spans="1:8" x14ac:dyDescent="0.25">
      <c r="E36" t="str">
        <f>"423683-1"</f>
        <v>423683-1</v>
      </c>
      <c r="F36" t="str">
        <f>"CUST#16500/WILD FIRE"</f>
        <v>CUST#16500/WILD FIRE</v>
      </c>
      <c r="G36" s="1">
        <v>41.96</v>
      </c>
      <c r="H36" t="str">
        <f>"CUST#16500/WILD FIRE"</f>
        <v>CUST#16500/WILD FIRE</v>
      </c>
    </row>
    <row r="37" spans="1:8" x14ac:dyDescent="0.25">
      <c r="A37" t="s">
        <v>12</v>
      </c>
      <c r="B37">
        <v>135276</v>
      </c>
      <c r="C37" s="1">
        <v>200</v>
      </c>
      <c r="D37" s="6">
        <v>44312</v>
      </c>
      <c r="E37" t="str">
        <f>"202104152708"</f>
        <v>202104152708</v>
      </c>
      <c r="F37" t="str">
        <f>"REIMBURSEMENT/ABRAM BARKER"</f>
        <v>REIMBURSEMENT/ABRAM BARKER</v>
      </c>
      <c r="G37" s="1">
        <v>200</v>
      </c>
      <c r="H37" t="str">
        <f>"REIMBURSEMENT/ABRAM BARKER"</f>
        <v>REIMBURSEMENT/ABRAM BARKER</v>
      </c>
    </row>
    <row r="38" spans="1:8" x14ac:dyDescent="0.25">
      <c r="A38" t="s">
        <v>13</v>
      </c>
      <c r="B38">
        <v>135100</v>
      </c>
      <c r="C38" s="1">
        <v>2431.56</v>
      </c>
      <c r="D38" s="6">
        <v>44298</v>
      </c>
      <c r="E38" t="str">
        <f>"A6607386"</f>
        <v>A6607386</v>
      </c>
      <c r="F38" t="str">
        <f>"INV A6607386"</f>
        <v>INV A6607386</v>
      </c>
      <c r="G38" s="1">
        <v>2431.56</v>
      </c>
      <c r="H38" t="str">
        <f>"INV A6607386"</f>
        <v>INV A6607386</v>
      </c>
    </row>
    <row r="39" spans="1:8" x14ac:dyDescent="0.25">
      <c r="A39" t="s">
        <v>14</v>
      </c>
      <c r="B39">
        <v>135101</v>
      </c>
      <c r="C39" s="1">
        <v>1037.5</v>
      </c>
      <c r="D39" s="6">
        <v>44298</v>
      </c>
      <c r="E39" t="str">
        <f>"202104052412"</f>
        <v>202104052412</v>
      </c>
      <c r="F39" t="str">
        <f>"21-20542"</f>
        <v>21-20542</v>
      </c>
      <c r="G39" s="1">
        <v>167.5</v>
      </c>
      <c r="H39" t="str">
        <f>"21-20542"</f>
        <v>21-20542</v>
      </c>
    </row>
    <row r="40" spans="1:8" x14ac:dyDescent="0.25">
      <c r="E40" t="str">
        <f>"202104052413"</f>
        <v>202104052413</v>
      </c>
      <c r="F40" t="str">
        <f>"20-20262"</f>
        <v>20-20262</v>
      </c>
      <c r="G40" s="1">
        <v>105</v>
      </c>
      <c r="H40" t="str">
        <f>"20-20262"</f>
        <v>20-20262</v>
      </c>
    </row>
    <row r="41" spans="1:8" x14ac:dyDescent="0.25">
      <c r="E41" t="str">
        <f>"202104052414"</f>
        <v>202104052414</v>
      </c>
      <c r="F41" t="str">
        <f>"21-20568"</f>
        <v>21-20568</v>
      </c>
      <c r="G41" s="1">
        <v>130</v>
      </c>
      <c r="H41" t="str">
        <f>"21-20568"</f>
        <v>21-20568</v>
      </c>
    </row>
    <row r="42" spans="1:8" x14ac:dyDescent="0.25">
      <c r="E42" t="str">
        <f>"202104052415"</f>
        <v>202104052415</v>
      </c>
      <c r="F42" t="str">
        <f>"20-20454"</f>
        <v>20-20454</v>
      </c>
      <c r="G42" s="1">
        <v>115</v>
      </c>
      <c r="H42" t="str">
        <f>"20-20454"</f>
        <v>20-20454</v>
      </c>
    </row>
    <row r="43" spans="1:8" x14ac:dyDescent="0.25">
      <c r="E43" t="str">
        <f>"202104052416"</f>
        <v>202104052416</v>
      </c>
      <c r="F43" t="str">
        <f>"19-19864"</f>
        <v>19-19864</v>
      </c>
      <c r="G43" s="1">
        <v>150</v>
      </c>
      <c r="H43" t="str">
        <f>"19-19864"</f>
        <v>19-19864</v>
      </c>
    </row>
    <row r="44" spans="1:8" x14ac:dyDescent="0.25">
      <c r="E44" t="str">
        <f>"202104052417"</f>
        <v>202104052417</v>
      </c>
      <c r="F44" t="str">
        <f>"21-20594"</f>
        <v>21-20594</v>
      </c>
      <c r="G44" s="1">
        <v>152.5</v>
      </c>
      <c r="H44" t="str">
        <f>"21-20594"</f>
        <v>21-20594</v>
      </c>
    </row>
    <row r="45" spans="1:8" x14ac:dyDescent="0.25">
      <c r="E45" t="str">
        <f>"202104052418"</f>
        <v>202104052418</v>
      </c>
      <c r="F45" t="str">
        <f>"20-20264"</f>
        <v>20-20264</v>
      </c>
      <c r="G45" s="1">
        <v>142.5</v>
      </c>
      <c r="H45" t="str">
        <f>"20-20264"</f>
        <v>20-20264</v>
      </c>
    </row>
    <row r="46" spans="1:8" x14ac:dyDescent="0.25">
      <c r="E46" t="str">
        <f>"202104052419"</f>
        <v>202104052419</v>
      </c>
      <c r="F46" t="str">
        <f>"20-20321"</f>
        <v>20-20321</v>
      </c>
      <c r="G46" s="1">
        <v>75</v>
      </c>
      <c r="H46" t="str">
        <f>"20-20321"</f>
        <v>20-20321</v>
      </c>
    </row>
    <row r="47" spans="1:8" x14ac:dyDescent="0.25">
      <c r="A47" t="s">
        <v>15</v>
      </c>
      <c r="B47">
        <v>4269</v>
      </c>
      <c r="C47" s="1">
        <v>1177.44</v>
      </c>
      <c r="D47" s="6">
        <v>44299</v>
      </c>
      <c r="E47" t="str">
        <f>"202103302367"</f>
        <v>202103302367</v>
      </c>
      <c r="F47" t="str">
        <f>"TRAVEL ADVANCE/ADENA LEWIS"</f>
        <v>TRAVEL ADVANCE/ADENA LEWIS</v>
      </c>
      <c r="G47" s="1">
        <v>75</v>
      </c>
      <c r="H47" t="str">
        <f>"TRAVEL ADVANCE/ADENA LEWIS"</f>
        <v>TRAVEL ADVANCE/ADENA LEWIS</v>
      </c>
    </row>
    <row r="48" spans="1:8" x14ac:dyDescent="0.25">
      <c r="E48" t="str">
        <f>"202103302368"</f>
        <v>202103302368</v>
      </c>
      <c r="F48" t="str">
        <f>"REIMBURSEMENT/ADENA LEWIS"</f>
        <v>REIMBURSEMENT/ADENA LEWIS</v>
      </c>
      <c r="G48" s="1">
        <v>1102.44</v>
      </c>
      <c r="H48" t="str">
        <f>"REIMBURSEMENT/ADENA LEWIS"</f>
        <v>REIMBURSEMENT/ADENA LEWIS</v>
      </c>
    </row>
    <row r="49" spans="1:8" x14ac:dyDescent="0.25">
      <c r="E49" t="str">
        <f>""</f>
        <v/>
      </c>
      <c r="F49" t="str">
        <f>""</f>
        <v/>
      </c>
      <c r="H49" t="str">
        <f>"REIMBURSEMENT/ADENA LEWIS"</f>
        <v>REIMBURSEMENT/ADENA LEWIS</v>
      </c>
    </row>
    <row r="50" spans="1:8" x14ac:dyDescent="0.25">
      <c r="A50" t="s">
        <v>16</v>
      </c>
      <c r="B50">
        <v>135102</v>
      </c>
      <c r="C50" s="1">
        <v>626.79999999999995</v>
      </c>
      <c r="D50" s="6">
        <v>44298</v>
      </c>
      <c r="E50" t="str">
        <f>"206317"</f>
        <v>206317</v>
      </c>
      <c r="F50" t="str">
        <f>"INV 206317"</f>
        <v>INV 206317</v>
      </c>
      <c r="G50" s="1">
        <v>626.79999999999995</v>
      </c>
      <c r="H50" t="str">
        <f>"INV 206317"</f>
        <v>INV 206317</v>
      </c>
    </row>
    <row r="51" spans="1:8" x14ac:dyDescent="0.25">
      <c r="A51" t="s">
        <v>17</v>
      </c>
      <c r="B51">
        <v>135103</v>
      </c>
      <c r="C51" s="1">
        <v>1798.23</v>
      </c>
      <c r="D51" s="6">
        <v>44298</v>
      </c>
      <c r="E51" t="str">
        <f>"7455398"</f>
        <v>7455398</v>
      </c>
      <c r="F51" t="str">
        <f>"ACCT#17295/PCT#4"</f>
        <v>ACCT#17295/PCT#4</v>
      </c>
      <c r="G51" s="1">
        <v>1270.69</v>
      </c>
      <c r="H51" t="str">
        <f>"ACCT#17295/PCT#4"</f>
        <v>ACCT#17295/PCT#4</v>
      </c>
    </row>
    <row r="52" spans="1:8" x14ac:dyDescent="0.25">
      <c r="E52" t="str">
        <f>"7456123"</f>
        <v>7456123</v>
      </c>
      <c r="F52" t="str">
        <f>"ACCT#17295/PCT#4"</f>
        <v>ACCT#17295/PCT#4</v>
      </c>
      <c r="G52" s="1">
        <v>228.84</v>
      </c>
      <c r="H52" t="str">
        <f>"ACCT#17295/PCT#4"</f>
        <v>ACCT#17295/PCT#4</v>
      </c>
    </row>
    <row r="53" spans="1:8" x14ac:dyDescent="0.25">
      <c r="E53" t="str">
        <f>"7459144"</f>
        <v>7459144</v>
      </c>
      <c r="F53" t="str">
        <f>"ACCT#17295/PCT#4"</f>
        <v>ACCT#17295/PCT#4</v>
      </c>
      <c r="G53" s="1">
        <v>298.7</v>
      </c>
      <c r="H53" t="str">
        <f>"ACCT#17295/PCT#4"</f>
        <v>ACCT#17295/PCT#4</v>
      </c>
    </row>
    <row r="54" spans="1:8" x14ac:dyDescent="0.25">
      <c r="A54" t="s">
        <v>18</v>
      </c>
      <c r="B54">
        <v>135104</v>
      </c>
      <c r="C54" s="1">
        <v>60</v>
      </c>
      <c r="D54" s="6">
        <v>44298</v>
      </c>
      <c r="E54" t="str">
        <f>"202104072482"</f>
        <v>202104072482</v>
      </c>
      <c r="F54" t="str">
        <f>"ALANNA DICKINSON"</f>
        <v>ALANNA DICKINSON</v>
      </c>
      <c r="G54" s="1">
        <v>60</v>
      </c>
      <c r="H54" t="str">
        <f>""</f>
        <v/>
      </c>
    </row>
    <row r="55" spans="1:8" x14ac:dyDescent="0.25">
      <c r="A55" t="s">
        <v>19</v>
      </c>
      <c r="B55">
        <v>4307</v>
      </c>
      <c r="C55" s="1">
        <v>400</v>
      </c>
      <c r="D55" s="6">
        <v>44299</v>
      </c>
      <c r="E55" t="str">
        <f>"202103242290"</f>
        <v>202103242290</v>
      </c>
      <c r="F55" t="str">
        <f>"JP-408202915"</f>
        <v>JP-408202915</v>
      </c>
      <c r="G55" s="1">
        <v>400</v>
      </c>
      <c r="H55" t="str">
        <f>"JP-408202915"</f>
        <v>JP-408202915</v>
      </c>
    </row>
    <row r="56" spans="1:8" x14ac:dyDescent="0.25">
      <c r="A56" t="s">
        <v>19</v>
      </c>
      <c r="B56">
        <v>4381</v>
      </c>
      <c r="C56" s="1">
        <v>1000</v>
      </c>
      <c r="D56" s="6">
        <v>44313</v>
      </c>
      <c r="E56" t="str">
        <f>"202104152647"</f>
        <v>202104152647</v>
      </c>
      <c r="F56" t="str">
        <f>"17-176"</f>
        <v>17-176</v>
      </c>
      <c r="G56" s="1">
        <v>400</v>
      </c>
      <c r="H56" t="str">
        <f>"17-176"</f>
        <v>17-176</v>
      </c>
    </row>
    <row r="57" spans="1:8" x14ac:dyDescent="0.25">
      <c r="E57" t="str">
        <f>"202104152650"</f>
        <v>202104152650</v>
      </c>
      <c r="F57" t="str">
        <f>"16616"</f>
        <v>16616</v>
      </c>
      <c r="G57" s="1">
        <v>600</v>
      </c>
      <c r="H57" t="str">
        <f>"16616"</f>
        <v>16616</v>
      </c>
    </row>
    <row r="58" spans="1:8" x14ac:dyDescent="0.25">
      <c r="A58" t="s">
        <v>20</v>
      </c>
      <c r="B58">
        <v>4262</v>
      </c>
      <c r="C58" s="1">
        <v>19721.509999999998</v>
      </c>
      <c r="D58" s="6">
        <v>44299</v>
      </c>
      <c r="E58" t="str">
        <f>"202104062429"</f>
        <v>202104062429</v>
      </c>
      <c r="F58" t="str">
        <f>"HAULING/PCT#4"</f>
        <v>HAULING/PCT#4</v>
      </c>
      <c r="G58" s="1">
        <v>4927.7299999999996</v>
      </c>
      <c r="H58" t="str">
        <f>"HAULING/PCT#4"</f>
        <v>HAULING/PCT#4</v>
      </c>
    </row>
    <row r="59" spans="1:8" x14ac:dyDescent="0.25">
      <c r="E59" t="str">
        <f>"202104062431"</f>
        <v>202104062431</v>
      </c>
      <c r="F59" t="str">
        <f>"HAULING/PCT#1"</f>
        <v>HAULING/PCT#1</v>
      </c>
      <c r="G59" s="1">
        <v>8619.59</v>
      </c>
      <c r="H59" t="str">
        <f>"HAULING/PCT#1"</f>
        <v>HAULING/PCT#1</v>
      </c>
    </row>
    <row r="60" spans="1:8" x14ac:dyDescent="0.25">
      <c r="E60" t="str">
        <f>"202104062432"</f>
        <v>202104062432</v>
      </c>
      <c r="F60" t="str">
        <f>"HAULING/PCT#1"</f>
        <v>HAULING/PCT#1</v>
      </c>
      <c r="G60" s="1">
        <v>3827.5</v>
      </c>
      <c r="H60" t="str">
        <f>"HAULING/PCT#1"</f>
        <v>HAULING/PCT#1</v>
      </c>
    </row>
    <row r="61" spans="1:8" x14ac:dyDescent="0.25">
      <c r="E61" t="str">
        <f>"202104062433"</f>
        <v>202104062433</v>
      </c>
      <c r="F61" t="str">
        <f>"HAULING/PCT#1"</f>
        <v>HAULING/PCT#1</v>
      </c>
      <c r="G61" s="1">
        <v>2346.69</v>
      </c>
      <c r="H61" t="str">
        <f>"HAULING/PCT#1"</f>
        <v>HAULING/PCT#1</v>
      </c>
    </row>
    <row r="62" spans="1:8" x14ac:dyDescent="0.25">
      <c r="A62" t="s">
        <v>20</v>
      </c>
      <c r="B62">
        <v>4339</v>
      </c>
      <c r="C62" s="1">
        <v>6662.03</v>
      </c>
      <c r="D62" s="6">
        <v>44313</v>
      </c>
      <c r="E62" t="str">
        <f>"202104202745"</f>
        <v>202104202745</v>
      </c>
      <c r="F62" t="str">
        <f>"HAULING/POPE BEND/PCT#1"</f>
        <v>HAULING/POPE BEND/PCT#1</v>
      </c>
      <c r="G62" s="1">
        <v>4743.6099999999997</v>
      </c>
      <c r="H62" t="str">
        <f>"HAULING/POPE BEND/PCT#1"</f>
        <v>HAULING/POPE BEND/PCT#1</v>
      </c>
    </row>
    <row r="63" spans="1:8" x14ac:dyDescent="0.25">
      <c r="E63" t="str">
        <f>"202104202746"</f>
        <v>202104202746</v>
      </c>
      <c r="F63" t="str">
        <f>"HAULING/MCALISTER/PCT#1"</f>
        <v>HAULING/MCALISTER/PCT#1</v>
      </c>
      <c r="G63" s="1">
        <v>1065.54</v>
      </c>
      <c r="H63" t="str">
        <f>"HAULING/MCALISTER/PCT#1"</f>
        <v>HAULING/MCALISTER/PCT#1</v>
      </c>
    </row>
    <row r="64" spans="1:8" x14ac:dyDescent="0.25">
      <c r="E64" t="str">
        <f>"202104202747"</f>
        <v>202104202747</v>
      </c>
      <c r="F64" t="str">
        <f>"HAULING/AIRSTRIP/PCT#1"</f>
        <v>HAULING/AIRSTRIP/PCT#1</v>
      </c>
      <c r="G64" s="1">
        <v>852.88</v>
      </c>
      <c r="H64" t="str">
        <f>"HAULING/AIRSTRIP/PCT#1"</f>
        <v>HAULING/AIRSTRIP/PCT#1</v>
      </c>
    </row>
    <row r="65" spans="1:8" x14ac:dyDescent="0.25">
      <c r="A65" t="s">
        <v>21</v>
      </c>
      <c r="B65">
        <v>4282</v>
      </c>
      <c r="C65" s="1">
        <v>3878.86</v>
      </c>
      <c r="D65" s="6">
        <v>44299</v>
      </c>
      <c r="E65" t="str">
        <f>"202103242274"</f>
        <v>202103242274</v>
      </c>
      <c r="F65" t="str">
        <f>"Office Supplies Amazon"</f>
        <v>Office Supplies Amazon</v>
      </c>
      <c r="G65" s="1">
        <v>25.25</v>
      </c>
      <c r="H65" t="str">
        <f>"Clipcase Duo Sided"</f>
        <v>Clipcase Duo Sided</v>
      </c>
    </row>
    <row r="66" spans="1:8" x14ac:dyDescent="0.25">
      <c r="E66" t="str">
        <f>""</f>
        <v/>
      </c>
      <c r="F66" t="str">
        <f>""</f>
        <v/>
      </c>
      <c r="H66" t="str">
        <f>"Roll clear tape"</f>
        <v>Roll clear tape</v>
      </c>
    </row>
    <row r="67" spans="1:8" x14ac:dyDescent="0.25">
      <c r="E67" t="str">
        <f>"23198"</f>
        <v>23198</v>
      </c>
      <c r="F67" t="str">
        <f>"Headset For Jason Parker"</f>
        <v>Headset For Jason Parker</v>
      </c>
      <c r="G67" s="1">
        <v>27.67</v>
      </c>
      <c r="H67" t="str">
        <f>"Headset For Jason Parker"</f>
        <v>Headset For Jason Parker</v>
      </c>
    </row>
    <row r="68" spans="1:8" x14ac:dyDescent="0.25">
      <c r="E68" t="str">
        <f>""</f>
        <v/>
      </c>
      <c r="F68" t="str">
        <f>""</f>
        <v/>
      </c>
      <c r="H68" t="str">
        <f>"Shipping Fee"</f>
        <v>Shipping Fee</v>
      </c>
    </row>
    <row r="69" spans="1:8" x14ac:dyDescent="0.25">
      <c r="E69" t="str">
        <f>"23211"</f>
        <v>23211</v>
      </c>
      <c r="F69" t="str">
        <f>"USB Cable 4 Card Printer"</f>
        <v>USB Cable 4 Card Printer</v>
      </c>
      <c r="G69" s="1">
        <v>13.48</v>
      </c>
      <c r="H69" t="str">
        <f>"USB Cable 4 Card Printer"</f>
        <v>USB Cable 4 Card Printer</v>
      </c>
    </row>
    <row r="70" spans="1:8" x14ac:dyDescent="0.25">
      <c r="E70" t="str">
        <f>""</f>
        <v/>
      </c>
      <c r="F70" t="str">
        <f>""</f>
        <v/>
      </c>
      <c r="H70" t="str">
        <f>"Shipping Cost"</f>
        <v>Shipping Cost</v>
      </c>
    </row>
    <row r="71" spans="1:8" x14ac:dyDescent="0.25">
      <c r="E71" t="str">
        <f>"23303"</f>
        <v>23303</v>
      </c>
      <c r="F71" t="str">
        <f>"SAGOMIC"</f>
        <v>SAGOMIC</v>
      </c>
      <c r="G71" s="1">
        <v>99.98</v>
      </c>
      <c r="H71" t="str">
        <f>"SAGOMIC"</f>
        <v>SAGOMIC</v>
      </c>
    </row>
    <row r="72" spans="1:8" x14ac:dyDescent="0.25">
      <c r="E72" t="str">
        <f>"23374"</f>
        <v>23374</v>
      </c>
      <c r="F72" t="str">
        <f>"TV BRACKET MD5420"</f>
        <v>TV BRACKET MD5420</v>
      </c>
      <c r="G72" s="1">
        <v>27.98</v>
      </c>
      <c r="H72" t="str">
        <f>"TV BRACKET MD5420"</f>
        <v>TV BRACKET MD5420</v>
      </c>
    </row>
    <row r="73" spans="1:8" x14ac:dyDescent="0.25">
      <c r="E73" t="str">
        <f>""</f>
        <v/>
      </c>
      <c r="F73" t="str">
        <f>""</f>
        <v/>
      </c>
      <c r="H73" t="str">
        <f>"shipping cost"</f>
        <v>shipping cost</v>
      </c>
    </row>
    <row r="74" spans="1:8" x14ac:dyDescent="0.25">
      <c r="E74" t="str">
        <f>"23495"</f>
        <v>23495</v>
      </c>
      <c r="F74" t="str">
        <f>"External Hard Drive"</f>
        <v>External Hard Drive</v>
      </c>
      <c r="G74" s="1">
        <v>104.99</v>
      </c>
      <c r="H74" t="str">
        <f>"External Hard Drive"</f>
        <v>External Hard Drive</v>
      </c>
    </row>
    <row r="75" spans="1:8" x14ac:dyDescent="0.25">
      <c r="E75" t="str">
        <f>"23578"</f>
        <v>23578</v>
      </c>
      <c r="F75" t="str">
        <f>"Disinfecting Wipes"</f>
        <v>Disinfecting Wipes</v>
      </c>
      <c r="G75" s="1">
        <v>473</v>
      </c>
      <c r="H75" t="str">
        <f>"Disinfecting Wipes"</f>
        <v>Disinfecting Wipes</v>
      </c>
    </row>
    <row r="76" spans="1:8" x14ac:dyDescent="0.25">
      <c r="E76" t="str">
        <f>"23591"</f>
        <v>23591</v>
      </c>
      <c r="F76" t="str">
        <f>"Locking Drop Boxes"</f>
        <v>Locking Drop Boxes</v>
      </c>
      <c r="G76" s="1">
        <v>39.700000000000003</v>
      </c>
      <c r="H76" t="str">
        <f>"Locking Drop Boxes"</f>
        <v>Locking Drop Boxes</v>
      </c>
    </row>
    <row r="77" spans="1:8" x14ac:dyDescent="0.25">
      <c r="E77" t="str">
        <f>"75473"</f>
        <v>75473</v>
      </c>
      <c r="F77" t="str">
        <f>"Black Wall Clock"</f>
        <v>Black Wall Clock</v>
      </c>
      <c r="G77" s="1">
        <v>67.81</v>
      </c>
      <c r="H77" t="str">
        <f>"Black Wall Clock"</f>
        <v>Black Wall Clock</v>
      </c>
    </row>
    <row r="78" spans="1:8" x14ac:dyDescent="0.25">
      <c r="E78" t="str">
        <f>"EI10V080V1"</f>
        <v>EI10V080V1</v>
      </c>
      <c r="F78" t="str">
        <f>"Amazon Order"</f>
        <v>Amazon Order</v>
      </c>
      <c r="G78" s="1">
        <v>2999</v>
      </c>
      <c r="H78" t="str">
        <f>"EI10V080V1"</f>
        <v>EI10V080V1</v>
      </c>
    </row>
    <row r="79" spans="1:8" x14ac:dyDescent="0.25">
      <c r="A79" t="s">
        <v>21</v>
      </c>
      <c r="B79">
        <v>4357</v>
      </c>
      <c r="C79" s="1">
        <v>2445.9699999999998</v>
      </c>
      <c r="D79" s="6">
        <v>44313</v>
      </c>
      <c r="E79" t="str">
        <f>"202104192713"</f>
        <v>202104192713</v>
      </c>
      <c r="F79" t="str">
        <f>"Amazon Order"</f>
        <v>Amazon Order</v>
      </c>
      <c r="G79" s="1">
        <v>28.98</v>
      </c>
      <c r="H79" t="str">
        <f>"Gatorade Zero 50pk"</f>
        <v>Gatorade Zero 50pk</v>
      </c>
    </row>
    <row r="80" spans="1:8" x14ac:dyDescent="0.25">
      <c r="E80" t="str">
        <f>"23111"</f>
        <v>23111</v>
      </c>
      <c r="F80" t="str">
        <f>"AMAZON CAPITAL SERVICES INC"</f>
        <v>AMAZON CAPITAL SERVICES INC</v>
      </c>
      <c r="G80" s="1">
        <v>39.909999999999997</v>
      </c>
      <c r="H80" t="str">
        <f>"Suction Pipe"</f>
        <v>Suction Pipe</v>
      </c>
    </row>
    <row r="81" spans="1:8" x14ac:dyDescent="0.25">
      <c r="E81" t="str">
        <f>"23337"</f>
        <v>23337</v>
      </c>
      <c r="F81" t="str">
        <f>"AMAZON CAPITAL SERVICES INC"</f>
        <v>AMAZON CAPITAL SERVICES INC</v>
      </c>
      <c r="G81" s="1">
        <v>310</v>
      </c>
      <c r="H81" t="str">
        <f>"Gorilla Cart"</f>
        <v>Gorilla Cart</v>
      </c>
    </row>
    <row r="82" spans="1:8" x14ac:dyDescent="0.25">
      <c r="E82" t="str">
        <f>"23508"</f>
        <v>23508</v>
      </c>
      <c r="F82" t="str">
        <f>"Crucial Ram 16GB"</f>
        <v>Crucial Ram 16GB</v>
      </c>
      <c r="G82" s="1">
        <v>89.95</v>
      </c>
      <c r="H82" t="str">
        <f>"Crucial Ram 16GB"</f>
        <v>Crucial Ram 16GB</v>
      </c>
    </row>
    <row r="83" spans="1:8" x14ac:dyDescent="0.25">
      <c r="E83" t="str">
        <f>"23586"</f>
        <v>23586</v>
      </c>
      <c r="F83" t="str">
        <f>"USB Hub 3.0"</f>
        <v>USB Hub 3.0</v>
      </c>
      <c r="G83" s="1">
        <v>138.9</v>
      </c>
      <c r="H83" t="str">
        <f>"USB Hub 3.0"</f>
        <v>USB Hub 3.0</v>
      </c>
    </row>
    <row r="84" spans="1:8" x14ac:dyDescent="0.25">
      <c r="E84" t="str">
        <f>"23725"</f>
        <v>23725</v>
      </c>
      <c r="F84" t="str">
        <f>"Wireless Keyboard/Mouse"</f>
        <v>Wireless Keyboard/Mouse</v>
      </c>
      <c r="G84" s="1">
        <v>124.95</v>
      </c>
      <c r="H84" t="str">
        <f>"Wireless Keyboard/Mouse"</f>
        <v>Wireless Keyboard/Mouse</v>
      </c>
    </row>
    <row r="85" spans="1:8" x14ac:dyDescent="0.25">
      <c r="E85" t="str">
        <f>"23727/23728"</f>
        <v>23727/23728</v>
      </c>
      <c r="F85" t="str">
        <f>"AMAZON CAPITAL SERVICES INC"</f>
        <v>AMAZON CAPITAL SERVICES INC</v>
      </c>
      <c r="G85" s="1">
        <v>1661.32</v>
      </c>
      <c r="H85" t="str">
        <f>"HDMI 90 DEGREE"</f>
        <v>HDMI 90 DEGREE</v>
      </c>
    </row>
    <row r="86" spans="1:8" x14ac:dyDescent="0.25">
      <c r="E86" t="str">
        <f>""</f>
        <v/>
      </c>
      <c r="F86" t="str">
        <f>""</f>
        <v/>
      </c>
      <c r="H86" t="str">
        <f>"SHIPPING COST"</f>
        <v>SHIPPING COST</v>
      </c>
    </row>
    <row r="87" spans="1:8" x14ac:dyDescent="0.25">
      <c r="E87" t="str">
        <f>""</f>
        <v/>
      </c>
      <c r="F87" t="str">
        <f>""</f>
        <v/>
      </c>
      <c r="H87" t="str">
        <f>"CAMERA POWER SHOT"</f>
        <v>CAMERA POWER SHOT</v>
      </c>
    </row>
    <row r="88" spans="1:8" x14ac:dyDescent="0.25">
      <c r="E88" t="str">
        <f>"23741"</f>
        <v>23741</v>
      </c>
      <c r="F88" t="str">
        <f>"Cooler Hinges"</f>
        <v>Cooler Hinges</v>
      </c>
      <c r="G88" s="1">
        <v>51.96</v>
      </c>
      <c r="H88" t="str">
        <f>"Cooler Hinges"</f>
        <v>Cooler Hinges</v>
      </c>
    </row>
    <row r="89" spans="1:8" x14ac:dyDescent="0.25">
      <c r="A89" t="s">
        <v>22</v>
      </c>
      <c r="B89">
        <v>135105</v>
      </c>
      <c r="C89" s="1">
        <v>422.07</v>
      </c>
      <c r="D89" s="6">
        <v>44298</v>
      </c>
      <c r="E89" t="str">
        <f>"3050194972"</f>
        <v>3050194972</v>
      </c>
      <c r="F89" t="str">
        <f>"INV 3050194972"</f>
        <v>INV 3050194972</v>
      </c>
      <c r="G89" s="1">
        <v>422.07</v>
      </c>
      <c r="H89" t="str">
        <f>"INV 3050194972"</f>
        <v>INV 3050194972</v>
      </c>
    </row>
    <row r="90" spans="1:8" x14ac:dyDescent="0.25">
      <c r="E90" t="str">
        <f>""</f>
        <v/>
      </c>
      <c r="F90" t="str">
        <f>""</f>
        <v/>
      </c>
      <c r="H90" t="str">
        <f>"INV 3050194973"</f>
        <v>INV 3050194973</v>
      </c>
    </row>
    <row r="91" spans="1:8" x14ac:dyDescent="0.25">
      <c r="E91" t="str">
        <f>""</f>
        <v/>
      </c>
      <c r="F91" t="str">
        <f>""</f>
        <v/>
      </c>
      <c r="H91" t="str">
        <f>"INV 3050194974"</f>
        <v>INV 3050194974</v>
      </c>
    </row>
    <row r="92" spans="1:8" x14ac:dyDescent="0.25">
      <c r="A92" t="s">
        <v>22</v>
      </c>
      <c r="B92">
        <v>135277</v>
      </c>
      <c r="C92" s="1">
        <v>5090.25</v>
      </c>
      <c r="D92" s="6">
        <v>44312</v>
      </c>
      <c r="E92" t="str">
        <f>"3052188296"</f>
        <v>3052188296</v>
      </c>
      <c r="F92" t="str">
        <f>"INV 3052188296"</f>
        <v>INV 3052188296</v>
      </c>
      <c r="G92" s="1">
        <v>5090.25</v>
      </c>
      <c r="H92" t="str">
        <f>"INV 3052188296"</f>
        <v>INV 3052188296</v>
      </c>
    </row>
    <row r="93" spans="1:8" x14ac:dyDescent="0.25">
      <c r="A93" t="s">
        <v>23</v>
      </c>
      <c r="B93">
        <v>135278</v>
      </c>
      <c r="C93" s="1">
        <v>6633.65</v>
      </c>
      <c r="D93" s="6">
        <v>44312</v>
      </c>
      <c r="E93" t="str">
        <f>"113594"</f>
        <v>113594</v>
      </c>
      <c r="F93" t="str">
        <f>"BASTROP POSTCARD/ELECTIONS"</f>
        <v>BASTROP POSTCARD/ELECTIONS</v>
      </c>
      <c r="G93" s="1">
        <v>4914.1899999999996</v>
      </c>
      <c r="H93" t="str">
        <f>"POSTCARD/ELECTIONS"</f>
        <v>POSTCARD/ELECTIONS</v>
      </c>
    </row>
    <row r="94" spans="1:8" x14ac:dyDescent="0.25">
      <c r="E94" t="str">
        <f>"113594A"</f>
        <v>113594A</v>
      </c>
      <c r="F94" t="str">
        <f>"ELGIN POSTCARD/ELECTIONS"</f>
        <v>ELGIN POSTCARD/ELECTIONS</v>
      </c>
      <c r="G94" s="1">
        <v>468.31</v>
      </c>
      <c r="H94" t="str">
        <f>"ELGIN POSTCARD/ELECTIONS"</f>
        <v>ELGIN POSTCARD/ELECTIONS</v>
      </c>
    </row>
    <row r="95" spans="1:8" x14ac:dyDescent="0.25">
      <c r="E95" t="str">
        <f>"113594B"</f>
        <v>113594B</v>
      </c>
      <c r="F95" t="str">
        <f>"SMITHVILLE POSTCARD/ELECTIONS"</f>
        <v>SMITHVILLE POSTCARD/ELECTIONS</v>
      </c>
      <c r="G95" s="1">
        <v>1251.1500000000001</v>
      </c>
      <c r="H95" t="str">
        <f>"SMITHVILLE POSTCARD/ELECTIONS"</f>
        <v>SMITHVILLE POSTCARD/ELECTIONS</v>
      </c>
    </row>
    <row r="96" spans="1:8" x14ac:dyDescent="0.25">
      <c r="A96" t="s">
        <v>24</v>
      </c>
      <c r="B96">
        <v>4320</v>
      </c>
      <c r="C96" s="1">
        <v>5780</v>
      </c>
      <c r="D96" s="6">
        <v>44299</v>
      </c>
      <c r="E96" t="str">
        <f>"202103242286"</f>
        <v>202103242286</v>
      </c>
      <c r="F96" t="str">
        <f>"17-051"</f>
        <v>17-051</v>
      </c>
      <c r="G96" s="1">
        <v>400</v>
      </c>
      <c r="H96" t="str">
        <f>"17-051"</f>
        <v>17-051</v>
      </c>
    </row>
    <row r="97" spans="5:8" x14ac:dyDescent="0.25">
      <c r="E97" t="str">
        <f>"202103242288"</f>
        <v>202103242288</v>
      </c>
      <c r="F97" t="str">
        <f>"BC20210104A"</f>
        <v>BC20210104A</v>
      </c>
      <c r="G97" s="1">
        <v>250</v>
      </c>
      <c r="H97" t="str">
        <f>"BC20210104A"</f>
        <v>BC20210104A</v>
      </c>
    </row>
    <row r="98" spans="5:8" x14ac:dyDescent="0.25">
      <c r="E98" t="str">
        <f>"202103242289"</f>
        <v>202103242289</v>
      </c>
      <c r="F98" t="str">
        <f>"4110620-9"</f>
        <v>4110620-9</v>
      </c>
      <c r="G98" s="1">
        <v>250</v>
      </c>
      <c r="H98" t="str">
        <f>"4110620-9"</f>
        <v>4110620-9</v>
      </c>
    </row>
    <row r="99" spans="5:8" x14ac:dyDescent="0.25">
      <c r="E99" t="str">
        <f>"202103242294"</f>
        <v>202103242294</v>
      </c>
      <c r="F99" t="str">
        <f>"423-7712"</f>
        <v>423-7712</v>
      </c>
      <c r="G99" s="1">
        <v>100</v>
      </c>
      <c r="H99" t="str">
        <f>"423-7712"</f>
        <v>423-7712</v>
      </c>
    </row>
    <row r="100" spans="5:8" x14ac:dyDescent="0.25">
      <c r="E100" t="str">
        <f>"202103242295"</f>
        <v>202103242295</v>
      </c>
      <c r="F100" t="str">
        <f>"20-20381/20-20382"</f>
        <v>20-20381/20-20382</v>
      </c>
      <c r="G100" s="1">
        <v>200</v>
      </c>
      <c r="H100" t="str">
        <f>"20-20381/20-20382"</f>
        <v>20-20381/20-20382</v>
      </c>
    </row>
    <row r="101" spans="5:8" x14ac:dyDescent="0.25">
      <c r="E101" t="str">
        <f>"202103242296"</f>
        <v>202103242296</v>
      </c>
      <c r="F101" t="str">
        <f>"20-20179"</f>
        <v>20-20179</v>
      </c>
      <c r="G101" s="1">
        <v>682.5</v>
      </c>
      <c r="H101" t="str">
        <f>"20-20179"</f>
        <v>20-20179</v>
      </c>
    </row>
    <row r="102" spans="5:8" x14ac:dyDescent="0.25">
      <c r="E102" t="str">
        <f>"202103242297"</f>
        <v>202103242297</v>
      </c>
      <c r="F102" t="str">
        <f>"20-20514"</f>
        <v>20-20514</v>
      </c>
      <c r="G102" s="1">
        <v>182.5</v>
      </c>
      <c r="H102" t="str">
        <f>"20-20514"</f>
        <v>20-20514</v>
      </c>
    </row>
    <row r="103" spans="5:8" x14ac:dyDescent="0.25">
      <c r="E103" t="str">
        <f>"202103242298"</f>
        <v>202103242298</v>
      </c>
      <c r="F103" t="str">
        <f>"20-20527"</f>
        <v>20-20527</v>
      </c>
      <c r="G103" s="1">
        <v>217.5</v>
      </c>
      <c r="H103" t="str">
        <f>"20-20527"</f>
        <v>20-20527</v>
      </c>
    </row>
    <row r="104" spans="5:8" x14ac:dyDescent="0.25">
      <c r="E104" t="str">
        <f>"202103242299"</f>
        <v>202103242299</v>
      </c>
      <c r="F104" t="str">
        <f>"21-20562"</f>
        <v>21-20562</v>
      </c>
      <c r="G104" s="1">
        <v>397.5</v>
      </c>
      <c r="H104" t="str">
        <f>"21-20562"</f>
        <v>21-20562</v>
      </c>
    </row>
    <row r="105" spans="5:8" x14ac:dyDescent="0.25">
      <c r="E105" t="str">
        <f>"202103242300"</f>
        <v>202103242300</v>
      </c>
      <c r="F105" t="str">
        <f>"20-20056"</f>
        <v>20-20056</v>
      </c>
      <c r="G105" s="1">
        <v>360</v>
      </c>
      <c r="H105" t="str">
        <f>"20-20056"</f>
        <v>20-20056</v>
      </c>
    </row>
    <row r="106" spans="5:8" x14ac:dyDescent="0.25">
      <c r="E106" t="str">
        <f>"202103242301"</f>
        <v>202103242301</v>
      </c>
      <c r="F106" t="str">
        <f>"20-20372"</f>
        <v>20-20372</v>
      </c>
      <c r="G106" s="1">
        <v>67.5</v>
      </c>
      <c r="H106" t="str">
        <f>"20-20372"</f>
        <v>20-20372</v>
      </c>
    </row>
    <row r="107" spans="5:8" x14ac:dyDescent="0.25">
      <c r="E107" t="str">
        <f>"202103242302"</f>
        <v>202103242302</v>
      </c>
      <c r="F107" t="str">
        <f>"21-20608"</f>
        <v>21-20608</v>
      </c>
      <c r="G107" s="1">
        <v>280</v>
      </c>
      <c r="H107" t="str">
        <f>"21-20608"</f>
        <v>21-20608</v>
      </c>
    </row>
    <row r="108" spans="5:8" x14ac:dyDescent="0.25">
      <c r="E108" t="str">
        <f>"202103242303"</f>
        <v>202103242303</v>
      </c>
      <c r="F108" t="str">
        <f>"20-20403"</f>
        <v>20-20403</v>
      </c>
      <c r="G108" s="1">
        <v>142.5</v>
      </c>
      <c r="H108" t="str">
        <f>"20-20403"</f>
        <v>20-20403</v>
      </c>
    </row>
    <row r="109" spans="5:8" x14ac:dyDescent="0.25">
      <c r="E109" t="str">
        <f>"202103312382"</f>
        <v>202103312382</v>
      </c>
      <c r="F109" t="str">
        <f>"16-985"</f>
        <v>16-985</v>
      </c>
      <c r="G109" s="1">
        <v>400</v>
      </c>
      <c r="H109" t="str">
        <f>"16-985"</f>
        <v>16-985</v>
      </c>
    </row>
    <row r="110" spans="5:8" x14ac:dyDescent="0.25">
      <c r="E110" t="str">
        <f>"202104052391"</f>
        <v>202104052391</v>
      </c>
      <c r="F110" t="str">
        <f>"1681-335"</f>
        <v>1681-335</v>
      </c>
      <c r="G110" s="1">
        <v>100</v>
      </c>
      <c r="H110" t="str">
        <f>"1681-335"</f>
        <v>1681-335</v>
      </c>
    </row>
    <row r="111" spans="5:8" x14ac:dyDescent="0.25">
      <c r="E111" t="str">
        <f>"202104052392"</f>
        <v>202104052392</v>
      </c>
      <c r="F111" t="str">
        <f>"1724-21 1725-335"</f>
        <v>1724-21 1725-335</v>
      </c>
      <c r="G111" s="1">
        <v>300</v>
      </c>
      <c r="H111" t="str">
        <f>"1724-21 1725-335"</f>
        <v>1724-21 1725-335</v>
      </c>
    </row>
    <row r="112" spans="5:8" x14ac:dyDescent="0.25">
      <c r="E112" t="str">
        <f>"202104062460"</f>
        <v>202104062460</v>
      </c>
      <c r="F112" t="str">
        <f>"57582"</f>
        <v>57582</v>
      </c>
      <c r="G112" s="1">
        <v>250</v>
      </c>
      <c r="H112" t="str">
        <f>"57582"</f>
        <v>57582</v>
      </c>
    </row>
    <row r="113" spans="1:8" x14ac:dyDescent="0.25">
      <c r="E113" t="str">
        <f>"202104062461"</f>
        <v>202104062461</v>
      </c>
      <c r="F113" t="str">
        <f>"17-003"</f>
        <v>17-003</v>
      </c>
      <c r="G113" s="1">
        <v>200</v>
      </c>
      <c r="H113" t="str">
        <f>"17-003"</f>
        <v>17-003</v>
      </c>
    </row>
    <row r="114" spans="1:8" x14ac:dyDescent="0.25">
      <c r="E114" t="str">
        <f>"202104062462"</f>
        <v>202104062462</v>
      </c>
      <c r="F114" t="str">
        <f>"17-157"</f>
        <v>17-157</v>
      </c>
      <c r="G114" s="1">
        <v>600</v>
      </c>
      <c r="H114" t="str">
        <f>"17-157"</f>
        <v>17-157</v>
      </c>
    </row>
    <row r="115" spans="1:8" x14ac:dyDescent="0.25">
      <c r="E115" t="str">
        <f>"202104062463"</f>
        <v>202104062463</v>
      </c>
      <c r="F115" t="str">
        <f>"17-261"</f>
        <v>17-261</v>
      </c>
      <c r="G115" s="1">
        <v>400</v>
      </c>
      <c r="H115" t="str">
        <f>"17-261"</f>
        <v>17-261</v>
      </c>
    </row>
    <row r="116" spans="1:8" x14ac:dyDescent="0.25">
      <c r="A116" t="s">
        <v>24</v>
      </c>
      <c r="B116">
        <v>4391</v>
      </c>
      <c r="C116" s="1">
        <v>2375</v>
      </c>
      <c r="D116" s="6">
        <v>44313</v>
      </c>
      <c r="E116" t="str">
        <f>"202104152639"</f>
        <v>202104152639</v>
      </c>
      <c r="F116" t="str">
        <f>"57-433"</f>
        <v>57-433</v>
      </c>
      <c r="G116" s="1">
        <v>250</v>
      </c>
      <c r="H116" t="str">
        <f>"57-433"</f>
        <v>57-433</v>
      </c>
    </row>
    <row r="117" spans="1:8" x14ac:dyDescent="0.25">
      <c r="E117" t="str">
        <f>"202104152640"</f>
        <v>202104152640</v>
      </c>
      <c r="F117" t="str">
        <f>"57-562"</f>
        <v>57-562</v>
      </c>
      <c r="G117" s="1">
        <v>375</v>
      </c>
      <c r="H117" t="str">
        <f>"57-562"</f>
        <v>57-562</v>
      </c>
    </row>
    <row r="118" spans="1:8" x14ac:dyDescent="0.25">
      <c r="E118" t="str">
        <f>"202104152648"</f>
        <v>202104152648</v>
      </c>
      <c r="F118" t="str">
        <f>"16-172"</f>
        <v>16-172</v>
      </c>
      <c r="G118" s="1">
        <v>1350</v>
      </c>
      <c r="H118" t="str">
        <f>"16-172"</f>
        <v>16-172</v>
      </c>
    </row>
    <row r="119" spans="1:8" x14ac:dyDescent="0.25">
      <c r="E119" t="str">
        <f>"202104152653"</f>
        <v>202104152653</v>
      </c>
      <c r="F119" t="str">
        <f>"17-102"</f>
        <v>17-102</v>
      </c>
      <c r="G119" s="1">
        <v>400</v>
      </c>
      <c r="H119" t="str">
        <f>"17-102"</f>
        <v>17-102</v>
      </c>
    </row>
    <row r="120" spans="1:8" x14ac:dyDescent="0.25">
      <c r="A120" t="s">
        <v>25</v>
      </c>
      <c r="B120">
        <v>135106</v>
      </c>
      <c r="C120" s="1">
        <v>31.49</v>
      </c>
      <c r="D120" s="6">
        <v>44298</v>
      </c>
      <c r="E120" t="str">
        <f>"2013-339307"</f>
        <v>2013-339307</v>
      </c>
      <c r="F120" t="str">
        <f>"ACCT#3-3053/PCT#2"</f>
        <v>ACCT#3-3053/PCT#2</v>
      </c>
      <c r="G120" s="1">
        <v>31.49</v>
      </c>
      <c r="H120" t="str">
        <f>"ACCT#3-3053/PCT#2"</f>
        <v>ACCT#3-3053/PCT#2</v>
      </c>
    </row>
    <row r="121" spans="1:8" x14ac:dyDescent="0.25">
      <c r="A121" t="s">
        <v>26</v>
      </c>
      <c r="B121">
        <v>135107</v>
      </c>
      <c r="C121" s="1">
        <v>602.86</v>
      </c>
      <c r="D121" s="6">
        <v>44298</v>
      </c>
      <c r="E121" t="str">
        <f>"264587"</f>
        <v>264587</v>
      </c>
      <c r="F121" t="str">
        <f>"ACCT#011033/ IT"</f>
        <v>ACCT#011033/ IT</v>
      </c>
      <c r="G121" s="1">
        <v>39</v>
      </c>
      <c r="H121" t="str">
        <f>"ACCT#011033/ IT"</f>
        <v>ACCT#011033/ IT</v>
      </c>
    </row>
    <row r="122" spans="1:8" x14ac:dyDescent="0.25">
      <c r="E122" t="str">
        <f>"264611"</f>
        <v>264611</v>
      </c>
      <c r="F122" t="str">
        <f>"ACCT#010238/GENERAL SERVICES"</f>
        <v>ACCT#010238/GENERAL SERVICES</v>
      </c>
      <c r="G122" s="1">
        <v>122.98</v>
      </c>
      <c r="H122" t="str">
        <f>"ACCT#010238/GENERAL SERVICES"</f>
        <v>ACCT#010238/GENERAL SERVICES</v>
      </c>
    </row>
    <row r="123" spans="1:8" x14ac:dyDescent="0.25">
      <c r="E123" t="str">
        <f>"266452"</f>
        <v>266452</v>
      </c>
      <c r="F123" t="str">
        <f>"ACCT#014737/ANIMAL SERVICES"</f>
        <v>ACCT#014737/ANIMAL SERVICES</v>
      </c>
      <c r="G123" s="1">
        <v>37.99</v>
      </c>
      <c r="H123" t="str">
        <f>"ACCT#014737/ANIMAL SERVICES"</f>
        <v>ACCT#014737/ANIMAL SERVICES</v>
      </c>
    </row>
    <row r="124" spans="1:8" x14ac:dyDescent="0.25">
      <c r="E124" t="str">
        <f>"267687"</f>
        <v>267687</v>
      </c>
      <c r="F124" t="str">
        <f>"ACCT#011280/COUNTY CLERK"</f>
        <v>ACCT#011280/COUNTY CLERK</v>
      </c>
      <c r="G124" s="1">
        <v>61.5</v>
      </c>
      <c r="H124" t="str">
        <f>"ACCT#011280/COUNTY CLERK"</f>
        <v>ACCT#011280/COUNTY CLERK</v>
      </c>
    </row>
    <row r="125" spans="1:8" x14ac:dyDescent="0.25">
      <c r="E125" t="str">
        <f>"267909"</f>
        <v>267909</v>
      </c>
      <c r="F125" t="str">
        <f>"ACCT#015476/PURCHASING"</f>
        <v>ACCT#015476/PURCHASING</v>
      </c>
      <c r="G125" s="1">
        <v>17.989999999999998</v>
      </c>
      <c r="H125" t="str">
        <f>"ACCT#015476/PURCHASING"</f>
        <v>ACCT#015476/PURCHASING</v>
      </c>
    </row>
    <row r="126" spans="1:8" x14ac:dyDescent="0.25">
      <c r="E126" t="str">
        <f>"267910"</f>
        <v>267910</v>
      </c>
      <c r="F126" t="str">
        <f>"ACCT#010311/COUNTY COURT"</f>
        <v>ACCT#010311/COUNTY COURT</v>
      </c>
      <c r="G126" s="1">
        <v>95</v>
      </c>
      <c r="H126" t="str">
        <f>"ACCT#010311/COUNTY COURT"</f>
        <v>ACCT#010311/COUNTY COURT</v>
      </c>
    </row>
    <row r="127" spans="1:8" x14ac:dyDescent="0.25">
      <c r="E127" t="str">
        <f>"267911"</f>
        <v>267911</v>
      </c>
      <c r="F127" t="str">
        <f>"ACCT#013393/HUMAN RESOURCES"</f>
        <v>ACCT#013393/HUMAN RESOURCES</v>
      </c>
      <c r="G127" s="1">
        <v>46.4</v>
      </c>
      <c r="H127" t="str">
        <f>"ACCT#013393/HUMAN RESOURCES"</f>
        <v>ACCT#013393/HUMAN RESOURCES</v>
      </c>
    </row>
    <row r="128" spans="1:8" x14ac:dyDescent="0.25">
      <c r="E128" t="str">
        <f>"267912"</f>
        <v>267912</v>
      </c>
      <c r="F128" t="str">
        <f>"ACCT#011955/DISTRICT JUDGE"</f>
        <v>ACCT#011955/DISTRICT JUDGE</v>
      </c>
      <c r="G128" s="1">
        <v>48</v>
      </c>
      <c r="H128" t="str">
        <f>"ACCT#011955/DISTRICT JUDGE"</f>
        <v>ACCT#011955/DISTRICT JUDGE</v>
      </c>
    </row>
    <row r="129" spans="1:8" x14ac:dyDescent="0.25">
      <c r="E129" t="str">
        <f>"267913"</f>
        <v>267913</v>
      </c>
      <c r="F129" t="str">
        <f>"ACCT#011474/ELECTIONS"</f>
        <v>ACCT#011474/ELECTIONS</v>
      </c>
      <c r="G129" s="1">
        <v>25</v>
      </c>
      <c r="H129" t="str">
        <f>"ACCT#011474/ELECTIONS"</f>
        <v>ACCT#011474/ELECTIONS</v>
      </c>
    </row>
    <row r="130" spans="1:8" x14ac:dyDescent="0.25">
      <c r="E130" t="str">
        <f>"268739"</f>
        <v>268739</v>
      </c>
      <c r="F130" t="str">
        <f>"ACCT#010057/AUDITOR"</f>
        <v>ACCT#010057/AUDITOR</v>
      </c>
      <c r="G130" s="1">
        <v>9</v>
      </c>
      <c r="H130" t="str">
        <f>"ACCT#010057/AUDITOR"</f>
        <v>ACCT#010057/AUDITOR</v>
      </c>
    </row>
    <row r="131" spans="1:8" x14ac:dyDescent="0.25">
      <c r="E131" t="str">
        <f>"268748"</f>
        <v>268748</v>
      </c>
      <c r="F131" t="str">
        <f>"ACCT#010149"</f>
        <v>ACCT#010149</v>
      </c>
      <c r="G131" s="1">
        <v>15</v>
      </c>
      <c r="H131" t="str">
        <f>"ACCT#010149"</f>
        <v>ACCT#010149</v>
      </c>
    </row>
    <row r="132" spans="1:8" x14ac:dyDescent="0.25">
      <c r="E132" t="str">
        <f>"268785"</f>
        <v>268785</v>
      </c>
      <c r="F132" t="str">
        <f>"ACCT#010602/COMISSIONERS"</f>
        <v>ACCT#010602/COMISSIONERS</v>
      </c>
      <c r="G132" s="1">
        <v>9</v>
      </c>
      <c r="H132" t="str">
        <f>"ACCT#010602/COMISSIONERS"</f>
        <v>ACCT#010602/COMISSIONERS</v>
      </c>
    </row>
    <row r="133" spans="1:8" x14ac:dyDescent="0.25">
      <c r="E133" t="str">
        <f>"268914"</f>
        <v>268914</v>
      </c>
      <c r="F133" t="str">
        <f>"ACCT#012259/DISTRICT CLERK"</f>
        <v>ACCT#012259/DISTRICT CLERK</v>
      </c>
      <c r="G133" s="1">
        <v>39</v>
      </c>
      <c r="H133" t="str">
        <f>"ACCT#012259/DISTRICT CLERK"</f>
        <v>ACCT#012259/DISTRICT CLERK</v>
      </c>
    </row>
    <row r="134" spans="1:8" x14ac:dyDescent="0.25">
      <c r="E134" t="str">
        <f>"268959"</f>
        <v>268959</v>
      </c>
      <c r="F134" t="str">
        <f>"ACCT#012231/DIST JUDGE"</f>
        <v>ACCT#012231/DIST JUDGE</v>
      </c>
      <c r="G134" s="1">
        <v>10</v>
      </c>
      <c r="H134" t="str">
        <f>"ACCT#012231/DIST JUDGE"</f>
        <v>ACCT#012231/DIST JUDGE</v>
      </c>
    </row>
    <row r="135" spans="1:8" x14ac:dyDescent="0.25">
      <c r="E135" t="str">
        <f>"269004"</f>
        <v>269004</v>
      </c>
      <c r="F135" t="str">
        <f>"ACCT#012571/TREASURER"</f>
        <v>ACCT#012571/TREASURER</v>
      </c>
      <c r="G135" s="1">
        <v>9</v>
      </c>
      <c r="H135" t="str">
        <f>"ACCT#012571/TREASURER"</f>
        <v>ACCT#012571/TREASURER</v>
      </c>
    </row>
    <row r="136" spans="1:8" x14ac:dyDescent="0.25">
      <c r="E136" t="str">
        <f>"269031"</f>
        <v>269031</v>
      </c>
      <c r="F136" t="str">
        <f>"ACCT#012803/ COUNTY JUDGE"</f>
        <v>ACCT#012803/ COUNTY JUDGE</v>
      </c>
      <c r="G136" s="1">
        <v>9</v>
      </c>
      <c r="H136" t="str">
        <f>"ACCT#012803/ COUNTY JUDGE"</f>
        <v>ACCT#012803/ COUNTY JUDGE</v>
      </c>
    </row>
    <row r="137" spans="1:8" x14ac:dyDescent="0.25">
      <c r="E137" t="str">
        <f>"269354"</f>
        <v>269354</v>
      </c>
      <c r="F137" t="str">
        <f>"ACCT#01599/JP#1"</f>
        <v>ACCT#01599/JP#1</v>
      </c>
      <c r="G137" s="1">
        <v>9</v>
      </c>
      <c r="H137" t="str">
        <f>"ACCT#01599/JP#1"</f>
        <v>ACCT#01599/JP#1</v>
      </c>
    </row>
    <row r="138" spans="1:8" x14ac:dyDescent="0.25">
      <c r="A138" t="s">
        <v>26</v>
      </c>
      <c r="B138">
        <v>135279</v>
      </c>
      <c r="C138" s="1">
        <v>9</v>
      </c>
      <c r="D138" s="6">
        <v>44312</v>
      </c>
      <c r="E138" t="str">
        <f>"269269"</f>
        <v>269269</v>
      </c>
      <c r="F138" t="str">
        <f>"ACCT#014877/INDIGENT HEALTH"</f>
        <v>ACCT#014877/INDIGENT HEALTH</v>
      </c>
      <c r="G138" s="1">
        <v>9</v>
      </c>
      <c r="H138" t="str">
        <f>"ACCT#014877/INDIGENT HEALTH"</f>
        <v>ACCT#014877/INDIGENT HEALTH</v>
      </c>
    </row>
    <row r="139" spans="1:8" x14ac:dyDescent="0.25">
      <c r="A139" t="s">
        <v>27</v>
      </c>
      <c r="B139">
        <v>135267</v>
      </c>
      <c r="C139" s="1">
        <v>92.87</v>
      </c>
      <c r="D139" s="6">
        <v>44299</v>
      </c>
      <c r="E139" t="str">
        <f>"202104082593"</f>
        <v>202104082593</v>
      </c>
      <c r="F139" t="str">
        <f>"ACCT#0201855301 / 04012021"</f>
        <v>ACCT#0201855301 / 04012021</v>
      </c>
      <c r="G139" s="1">
        <v>41.92</v>
      </c>
      <c r="H139" t="str">
        <f>"ACCT#0201855301 / 03312021"</f>
        <v>ACCT#0201855301 / 03312021</v>
      </c>
    </row>
    <row r="140" spans="1:8" x14ac:dyDescent="0.25">
      <c r="E140" t="str">
        <f>"202104082594"</f>
        <v>202104082594</v>
      </c>
      <c r="F140" t="str">
        <f>"ACCT#0201891401 / 04012021"</f>
        <v>ACCT#0201891401 / 04012021</v>
      </c>
      <c r="G140" s="1">
        <v>25.28</v>
      </c>
      <c r="H140" t="str">
        <f>"ACCT#0201891401 / 04022021"</f>
        <v>ACCT#0201891401 / 04022021</v>
      </c>
    </row>
    <row r="141" spans="1:8" x14ac:dyDescent="0.25">
      <c r="E141" t="str">
        <f>"202104082595"</f>
        <v>202104082595</v>
      </c>
      <c r="F141" t="str">
        <f>"ACCT#0202496901 / 04012021"</f>
        <v>ACCT#0202496901 / 04012021</v>
      </c>
      <c r="G141" s="1">
        <v>25.67</v>
      </c>
      <c r="H141" t="str">
        <f>"ACCT#0202496901 / 04012021"</f>
        <v>ACCT#0202496901 / 04012021</v>
      </c>
    </row>
    <row r="142" spans="1:8" x14ac:dyDescent="0.25">
      <c r="A142" t="s">
        <v>27</v>
      </c>
      <c r="B142">
        <v>135280</v>
      </c>
      <c r="C142" s="1">
        <v>1099.6600000000001</v>
      </c>
      <c r="D142" s="6">
        <v>44312</v>
      </c>
      <c r="E142" t="str">
        <f>"202104152709"</f>
        <v>202104152709</v>
      </c>
      <c r="F142" t="str">
        <f>"ACCT#7700010019/GENERAL SVCS"</f>
        <v>ACCT#7700010019/GENERAL SVCS</v>
      </c>
      <c r="G142" s="1">
        <v>57.91</v>
      </c>
      <c r="H142" t="str">
        <f>"ACCT#7700010019/GENERAL SVCS"</f>
        <v>ACCT#7700010019/GENERAL SVCS</v>
      </c>
    </row>
    <row r="143" spans="1:8" x14ac:dyDescent="0.25">
      <c r="E143" t="str">
        <f>"202104192722"</f>
        <v>202104192722</v>
      </c>
      <c r="F143" t="str">
        <f>"ACCT#7700010027/PCT#4"</f>
        <v>ACCT#7700010027/PCT#4</v>
      </c>
      <c r="G143" s="1">
        <v>492</v>
      </c>
      <c r="H143" t="str">
        <f>"ACCT#7700010027/PCT#4"</f>
        <v>ACCT#7700010027/PCT#4</v>
      </c>
    </row>
    <row r="144" spans="1:8" x14ac:dyDescent="0.25">
      <c r="E144" t="str">
        <f>"202104192736"</f>
        <v>202104192736</v>
      </c>
      <c r="F144" t="str">
        <f>"ACCT#7700010026/PCT#3"</f>
        <v>ACCT#7700010026/PCT#3</v>
      </c>
      <c r="G144" s="1">
        <v>317.75</v>
      </c>
      <c r="H144" t="str">
        <f>"ACCT#7700010026/PCT#3"</f>
        <v>ACCT#7700010026/PCT#3</v>
      </c>
    </row>
    <row r="145" spans="1:8" x14ac:dyDescent="0.25">
      <c r="E145" t="str">
        <f>"202104192737"</f>
        <v>202104192737</v>
      </c>
      <c r="F145" t="str">
        <f>"ACCT#7700010025/PCT#2"</f>
        <v>ACCT#7700010025/PCT#2</v>
      </c>
      <c r="G145" s="1">
        <v>82</v>
      </c>
      <c r="H145" t="str">
        <f>"ACCT#7700010025/PCT#2"</f>
        <v>ACCT#7700010025/PCT#2</v>
      </c>
    </row>
    <row r="146" spans="1:8" x14ac:dyDescent="0.25">
      <c r="E146" t="str">
        <f>"202104192742"</f>
        <v>202104192742</v>
      </c>
      <c r="F146" t="str">
        <f>"ACCT#0800042801/PRECINCT#3"</f>
        <v>ACCT#0800042801/PRECINCT#3</v>
      </c>
      <c r="G146" s="1">
        <v>150</v>
      </c>
      <c r="H146" t="str">
        <f>"ACCT#0800042801/PRECINCT#3"</f>
        <v>ACCT#0800042801/PRECINCT#3</v>
      </c>
    </row>
    <row r="147" spans="1:8" x14ac:dyDescent="0.25">
      <c r="A147" t="s">
        <v>27</v>
      </c>
      <c r="B147">
        <v>135433</v>
      </c>
      <c r="C147" s="1">
        <v>1082.6600000000001</v>
      </c>
      <c r="D147" s="6">
        <v>44313</v>
      </c>
      <c r="E147" t="str">
        <f>"202104272844"</f>
        <v>202104272844</v>
      </c>
      <c r="F147" t="str">
        <f>"ACCT#0102120801 / 04062021"</f>
        <v>ACCT#0102120801 / 04062021</v>
      </c>
      <c r="G147" s="1">
        <v>185.54</v>
      </c>
      <c r="H147" t="str">
        <f>"AQUA WATER SUPPLY CORPORATION"</f>
        <v>AQUA WATER SUPPLY CORPORATION</v>
      </c>
    </row>
    <row r="148" spans="1:8" x14ac:dyDescent="0.25">
      <c r="E148" t="str">
        <f>"202104272845"</f>
        <v>202104272845</v>
      </c>
      <c r="F148" t="str">
        <f>"ACCT#0400785803 / 04052021"</f>
        <v>ACCT#0400785803 / 04052021</v>
      </c>
      <c r="G148" s="1">
        <v>227.39</v>
      </c>
      <c r="H148" t="str">
        <f>"ACCT#0400785803 / 04052021"</f>
        <v>ACCT#0400785803 / 04052021</v>
      </c>
    </row>
    <row r="149" spans="1:8" x14ac:dyDescent="0.25">
      <c r="E149" t="str">
        <f>"202104272846"</f>
        <v>202104272846</v>
      </c>
      <c r="F149" t="str">
        <f>"ACCT#0401408501 / 04052021"</f>
        <v>ACCT#0401408501 / 04052021</v>
      </c>
      <c r="G149" s="1">
        <v>587.45000000000005</v>
      </c>
      <c r="H149" t="str">
        <f>"ACCT#0401408501 / 04052021"</f>
        <v>ACCT#0401408501 / 04052021</v>
      </c>
    </row>
    <row r="150" spans="1:8" x14ac:dyDescent="0.25">
      <c r="E150" t="str">
        <f>"202104272847"</f>
        <v>202104272847</v>
      </c>
      <c r="F150" t="str">
        <f>"ACCT#0800042801 / 04012021"</f>
        <v>ACCT#0800042801 / 04012021</v>
      </c>
      <c r="G150" s="1">
        <v>57</v>
      </c>
      <c r="H150" t="str">
        <f>"ACCT#0800042801 / 04012021"</f>
        <v>ACCT#0800042801 / 04012021</v>
      </c>
    </row>
    <row r="151" spans="1:8" x14ac:dyDescent="0.25">
      <c r="E151" t="str">
        <f>"202104272848"</f>
        <v>202104272848</v>
      </c>
      <c r="F151" t="str">
        <f>"ACCT#0802361501 / 04032021"</f>
        <v>ACCT#0802361501 / 04032021</v>
      </c>
      <c r="G151" s="1">
        <v>25.28</v>
      </c>
      <c r="H151" t="str">
        <f>"AQUA WATER SUPPLY CORPORATION"</f>
        <v>AQUA WATER SUPPLY CORPORATION</v>
      </c>
    </row>
    <row r="152" spans="1:8" x14ac:dyDescent="0.25">
      <c r="A152" t="s">
        <v>28</v>
      </c>
      <c r="B152">
        <v>135108</v>
      </c>
      <c r="C152" s="1">
        <v>51</v>
      </c>
      <c r="D152" s="6">
        <v>44298</v>
      </c>
      <c r="E152" t="str">
        <f>"202103302361"</f>
        <v>202103302361</v>
      </c>
      <c r="F152" t="str">
        <f>"REIMBURSEMENT/ARBEN SHAHOLLI"</f>
        <v>REIMBURSEMENT/ARBEN SHAHOLLI</v>
      </c>
      <c r="G152" s="1">
        <v>51</v>
      </c>
      <c r="H152" t="str">
        <f>"REIMBURSEMENT/ARBEN SHAHOLLI"</f>
        <v>REIMBURSEMENT/ARBEN SHAHOLLI</v>
      </c>
    </row>
    <row r="153" spans="1:8" x14ac:dyDescent="0.25">
      <c r="A153" t="s">
        <v>29</v>
      </c>
      <c r="B153">
        <v>135281</v>
      </c>
      <c r="C153" s="1">
        <v>5088.5</v>
      </c>
      <c r="D153" s="6">
        <v>44312</v>
      </c>
      <c r="E153" t="str">
        <f>"202104212798"</f>
        <v>202104212798</v>
      </c>
      <c r="F153" t="str">
        <f>"JAIL MEDICAL"</f>
        <v>JAIL MEDICAL</v>
      </c>
      <c r="G153" s="1">
        <v>5068.13</v>
      </c>
      <c r="H153" t="str">
        <f>"JAIL MEDICAL"</f>
        <v>JAIL MEDICAL</v>
      </c>
    </row>
    <row r="154" spans="1:8" x14ac:dyDescent="0.25">
      <c r="E154" t="str">
        <f>"202104212804"</f>
        <v>202104212804</v>
      </c>
      <c r="F154" t="str">
        <f>"INDIGENT HEALTH"</f>
        <v>INDIGENT HEALTH</v>
      </c>
      <c r="G154" s="1">
        <v>20.37</v>
      </c>
      <c r="H154" t="str">
        <f>"INDIGENT HEALTH"</f>
        <v>INDIGENT HEALTH</v>
      </c>
    </row>
    <row r="155" spans="1:8" x14ac:dyDescent="0.25">
      <c r="A155" t="s">
        <v>30</v>
      </c>
      <c r="B155">
        <v>4256</v>
      </c>
      <c r="C155" s="1">
        <v>380.6</v>
      </c>
      <c r="D155" s="6">
        <v>44299</v>
      </c>
      <c r="E155" t="str">
        <f>"OSO228277-1"</f>
        <v>OSO228277-1</v>
      </c>
      <c r="F155" t="str">
        <f>"CUST#BP0020879/PCT#1"</f>
        <v>CUST#BP0020879/PCT#1</v>
      </c>
      <c r="G155" s="1">
        <v>380.6</v>
      </c>
      <c r="H155" t="str">
        <f>"CUST#BP0020879/PCT#1"</f>
        <v>CUST#BP0020879/PCT#1</v>
      </c>
    </row>
    <row r="156" spans="1:8" x14ac:dyDescent="0.25">
      <c r="A156" t="s">
        <v>31</v>
      </c>
      <c r="B156">
        <v>135109</v>
      </c>
      <c r="C156" s="1">
        <v>510.62</v>
      </c>
      <c r="D156" s="6">
        <v>44298</v>
      </c>
      <c r="E156" t="str">
        <f>"202103242261"</f>
        <v>202103242261</v>
      </c>
      <c r="F156" t="str">
        <f>"REIMBURSEMENT/ ASHLEY RADDE"</f>
        <v>REIMBURSEMENT/ ASHLEY RADDE</v>
      </c>
      <c r="G156" s="1">
        <v>411.62</v>
      </c>
      <c r="H156" t="str">
        <f>"REIMBURSEMENT/ ASHLEY RADDE"</f>
        <v>REIMBURSEMENT/ ASHLEY RADDE</v>
      </c>
    </row>
    <row r="157" spans="1:8" x14ac:dyDescent="0.25">
      <c r="E157" t="str">
        <f>""</f>
        <v/>
      </c>
      <c r="F157" t="str">
        <f>""</f>
        <v/>
      </c>
      <c r="H157" t="str">
        <f>"REIMBURSEMENT/ ASHLEY RADDE"</f>
        <v>REIMBURSEMENT/ ASHLEY RADDE</v>
      </c>
    </row>
    <row r="158" spans="1:8" x14ac:dyDescent="0.25">
      <c r="E158" t="str">
        <f>"202103242262"</f>
        <v>202103242262</v>
      </c>
      <c r="F158" t="str">
        <f>"REIMBURSEMENT/ASHLEY RADDE"</f>
        <v>REIMBURSEMENT/ASHLEY RADDE</v>
      </c>
      <c r="G158" s="1">
        <v>99</v>
      </c>
      <c r="H158" t="str">
        <f>"REIMBURSEMENT/ASHLEY RADDE"</f>
        <v>REIMBURSEMENT/ASHLEY RADDE</v>
      </c>
    </row>
    <row r="159" spans="1:8" x14ac:dyDescent="0.25">
      <c r="A159" t="s">
        <v>31</v>
      </c>
      <c r="B159">
        <v>135282</v>
      </c>
      <c r="C159" s="1">
        <v>157.31</v>
      </c>
      <c r="D159" s="6">
        <v>44312</v>
      </c>
      <c r="E159" t="str">
        <f>"202104152712"</f>
        <v>202104152712</v>
      </c>
      <c r="F159" t="str">
        <f>"REIMBURSEMENT/ASHLEY RADDE"</f>
        <v>REIMBURSEMENT/ASHLEY RADDE</v>
      </c>
      <c r="G159" s="1">
        <v>157.31</v>
      </c>
      <c r="H159" t="str">
        <f>"REIMBURSEMENT/ASHLEY RADDE"</f>
        <v>REIMBURSEMENT/ASHLEY RADDE</v>
      </c>
    </row>
    <row r="160" spans="1:8" x14ac:dyDescent="0.25">
      <c r="A160" t="s">
        <v>32</v>
      </c>
      <c r="B160">
        <v>135110</v>
      </c>
      <c r="C160" s="1">
        <v>6060.85</v>
      </c>
      <c r="D160" s="6">
        <v>44298</v>
      </c>
      <c r="E160" t="str">
        <f>"202104072490"</f>
        <v>202104072490</v>
      </c>
      <c r="F160" t="str">
        <f>"ACCT#512-308-9870-5307"</f>
        <v>ACCT#512-308-9870-5307</v>
      </c>
      <c r="G160" s="1">
        <v>1099.53</v>
      </c>
      <c r="H160" t="str">
        <f>"ACCT#512-308-9870-5307"</f>
        <v>ACCT#512-308-9870-5307</v>
      </c>
    </row>
    <row r="161" spans="1:8" x14ac:dyDescent="0.25">
      <c r="E161" t="str">
        <f>"202104072491"</f>
        <v>202104072491</v>
      </c>
      <c r="F161" t="str">
        <f>"ACCT#512A49-0048-193-3"</f>
        <v>ACCT#512A49-0048-193-3</v>
      </c>
      <c r="G161" s="1">
        <v>4961.32</v>
      </c>
      <c r="H161" t="str">
        <f>"ACCT#512A49-0048-193-3"</f>
        <v>ACCT#512A49-0048-193-3</v>
      </c>
    </row>
    <row r="162" spans="1:8" x14ac:dyDescent="0.25">
      <c r="E162" t="str">
        <f>""</f>
        <v/>
      </c>
      <c r="F162" t="str">
        <f>""</f>
        <v/>
      </c>
      <c r="H162" t="str">
        <f>"ACCT#512A49-0048-193-3"</f>
        <v>ACCT#512A49-0048-193-3</v>
      </c>
    </row>
    <row r="163" spans="1:8" x14ac:dyDescent="0.25">
      <c r="E163" t="str">
        <f>""</f>
        <v/>
      </c>
      <c r="F163" t="str">
        <f>""</f>
        <v/>
      </c>
      <c r="H163" t="str">
        <f>"ACCT#512A49-0048-193-3"</f>
        <v>ACCT#512A49-0048-193-3</v>
      </c>
    </row>
    <row r="164" spans="1:8" x14ac:dyDescent="0.25">
      <c r="E164" t="str">
        <f>""</f>
        <v/>
      </c>
      <c r="F164" t="str">
        <f>""</f>
        <v/>
      </c>
      <c r="H164" t="str">
        <f>"ACCT#512A49-0048-193-3"</f>
        <v>ACCT#512A49-0048-193-3</v>
      </c>
    </row>
    <row r="165" spans="1:8" x14ac:dyDescent="0.25">
      <c r="A165" t="s">
        <v>32</v>
      </c>
      <c r="B165">
        <v>135111</v>
      </c>
      <c r="C165" s="1">
        <v>6680.84</v>
      </c>
      <c r="D165" s="6">
        <v>44298</v>
      </c>
      <c r="E165" t="str">
        <f>"1139631609"</f>
        <v>1139631609</v>
      </c>
      <c r="F165" t="str">
        <f>"ACCT#831-000-9850-451"</f>
        <v>ACCT#831-000-9850-451</v>
      </c>
      <c r="G165" s="1">
        <v>2121.52</v>
      </c>
      <c r="H165" t="str">
        <f>"ACCT#831-000-9850-451"</f>
        <v>ACCT#831-000-9850-451</v>
      </c>
    </row>
    <row r="166" spans="1:8" x14ac:dyDescent="0.25">
      <c r="E166" t="str">
        <f>"1995461604"</f>
        <v>1995461604</v>
      </c>
      <c r="F166" t="str">
        <f>"ACCT#831-000-7218-923"</f>
        <v>ACCT#831-000-7218-923</v>
      </c>
      <c r="G166" s="1">
        <v>874.25</v>
      </c>
      <c r="H166" t="str">
        <f>"ACCT#831-000-7218-923"</f>
        <v>ACCT#831-000-7218-923</v>
      </c>
    </row>
    <row r="167" spans="1:8" x14ac:dyDescent="0.25">
      <c r="E167" t="str">
        <f>"5751311607"</f>
        <v>5751311607</v>
      </c>
      <c r="F167" t="str">
        <f>"ACCT#831-000-7919-623"</f>
        <v>ACCT#831-000-7919-623</v>
      </c>
      <c r="G167" s="1">
        <v>2000.38</v>
      </c>
      <c r="H167" t="str">
        <f>"ACCT#831-000-7919-623"</f>
        <v>ACCT#831-000-7919-623</v>
      </c>
    </row>
    <row r="168" spans="1:8" x14ac:dyDescent="0.25">
      <c r="E168" t="str">
        <f>"7426270605"</f>
        <v>7426270605</v>
      </c>
      <c r="F168" t="str">
        <f>"ACCT#831-000-6084-095"</f>
        <v>ACCT#831-000-6084-095</v>
      </c>
      <c r="G168" s="1">
        <v>1684.69</v>
      </c>
      <c r="H168" t="str">
        <f>"ACCT#831-000-6084-095"</f>
        <v>ACCT#831-000-6084-095</v>
      </c>
    </row>
    <row r="169" spans="1:8" x14ac:dyDescent="0.25">
      <c r="A169" t="s">
        <v>33</v>
      </c>
      <c r="B169">
        <v>135112</v>
      </c>
      <c r="C169" s="1">
        <v>6205.41</v>
      </c>
      <c r="D169" s="6">
        <v>44298</v>
      </c>
      <c r="E169" t="str">
        <f>"202103312390"</f>
        <v>202103312390</v>
      </c>
      <c r="F169" t="str">
        <f>"ACCT#287263291654"</f>
        <v>ACCT#287263291654</v>
      </c>
      <c r="G169" s="1">
        <v>1485.21</v>
      </c>
      <c r="H169" t="str">
        <f t="shared" ref="H169:H185" si="6">"ACCT#287263291654"</f>
        <v>ACCT#287263291654</v>
      </c>
    </row>
    <row r="170" spans="1:8" x14ac:dyDescent="0.25">
      <c r="E170" t="str">
        <f>""</f>
        <v/>
      </c>
      <c r="F170" t="str">
        <f>""</f>
        <v/>
      </c>
      <c r="H170" t="str">
        <f t="shared" si="6"/>
        <v>ACCT#287263291654</v>
      </c>
    </row>
    <row r="171" spans="1:8" x14ac:dyDescent="0.25">
      <c r="E171" t="str">
        <f>""</f>
        <v/>
      </c>
      <c r="F171" t="str">
        <f>""</f>
        <v/>
      </c>
      <c r="H171" t="str">
        <f t="shared" si="6"/>
        <v>ACCT#287263291654</v>
      </c>
    </row>
    <row r="172" spans="1:8" x14ac:dyDescent="0.25">
      <c r="E172" t="str">
        <f>""</f>
        <v/>
      </c>
      <c r="F172" t="str">
        <f>""</f>
        <v/>
      </c>
      <c r="H172" t="str">
        <f t="shared" si="6"/>
        <v>ACCT#287263291654</v>
      </c>
    </row>
    <row r="173" spans="1:8" x14ac:dyDescent="0.25">
      <c r="E173" t="str">
        <f>""</f>
        <v/>
      </c>
      <c r="F173" t="str">
        <f>""</f>
        <v/>
      </c>
      <c r="H173" t="str">
        <f t="shared" si="6"/>
        <v>ACCT#287263291654</v>
      </c>
    </row>
    <row r="174" spans="1:8" x14ac:dyDescent="0.25">
      <c r="E174" t="str">
        <f>""</f>
        <v/>
      </c>
      <c r="F174" t="str">
        <f>""</f>
        <v/>
      </c>
      <c r="H174" t="str">
        <f t="shared" si="6"/>
        <v>ACCT#287263291654</v>
      </c>
    </row>
    <row r="175" spans="1:8" x14ac:dyDescent="0.25">
      <c r="E175" t="str">
        <f>""</f>
        <v/>
      </c>
      <c r="F175" t="str">
        <f>""</f>
        <v/>
      </c>
      <c r="H175" t="str">
        <f t="shared" si="6"/>
        <v>ACCT#287263291654</v>
      </c>
    </row>
    <row r="176" spans="1:8" x14ac:dyDescent="0.25">
      <c r="E176" t="str">
        <f>""</f>
        <v/>
      </c>
      <c r="F176" t="str">
        <f>""</f>
        <v/>
      </c>
      <c r="H176" t="str">
        <f t="shared" si="6"/>
        <v>ACCT#287263291654</v>
      </c>
    </row>
    <row r="177" spans="5:8" x14ac:dyDescent="0.25">
      <c r="E177" t="str">
        <f>""</f>
        <v/>
      </c>
      <c r="F177" t="str">
        <f>""</f>
        <v/>
      </c>
      <c r="H177" t="str">
        <f t="shared" si="6"/>
        <v>ACCT#287263291654</v>
      </c>
    </row>
    <row r="178" spans="5:8" x14ac:dyDescent="0.25">
      <c r="E178" t="str">
        <f>""</f>
        <v/>
      </c>
      <c r="F178" t="str">
        <f>""</f>
        <v/>
      </c>
      <c r="H178" t="str">
        <f t="shared" si="6"/>
        <v>ACCT#287263291654</v>
      </c>
    </row>
    <row r="179" spans="5:8" x14ac:dyDescent="0.25">
      <c r="E179" t="str">
        <f>""</f>
        <v/>
      </c>
      <c r="F179" t="str">
        <f>""</f>
        <v/>
      </c>
      <c r="H179" t="str">
        <f t="shared" si="6"/>
        <v>ACCT#287263291654</v>
      </c>
    </row>
    <row r="180" spans="5:8" x14ac:dyDescent="0.25">
      <c r="E180" t="str">
        <f>""</f>
        <v/>
      </c>
      <c r="F180" t="str">
        <f>""</f>
        <v/>
      </c>
      <c r="H180" t="str">
        <f t="shared" si="6"/>
        <v>ACCT#287263291654</v>
      </c>
    </row>
    <row r="181" spans="5:8" x14ac:dyDescent="0.25">
      <c r="E181" t="str">
        <f>""</f>
        <v/>
      </c>
      <c r="F181" t="str">
        <f>""</f>
        <v/>
      </c>
      <c r="H181" t="str">
        <f t="shared" si="6"/>
        <v>ACCT#287263291654</v>
      </c>
    </row>
    <row r="182" spans="5:8" x14ac:dyDescent="0.25">
      <c r="E182" t="str">
        <f>""</f>
        <v/>
      </c>
      <c r="F182" t="str">
        <f>""</f>
        <v/>
      </c>
      <c r="H182" t="str">
        <f t="shared" si="6"/>
        <v>ACCT#287263291654</v>
      </c>
    </row>
    <row r="183" spans="5:8" x14ac:dyDescent="0.25">
      <c r="E183" t="str">
        <f>""</f>
        <v/>
      </c>
      <c r="F183" t="str">
        <f>""</f>
        <v/>
      </c>
      <c r="H183" t="str">
        <f t="shared" si="6"/>
        <v>ACCT#287263291654</v>
      </c>
    </row>
    <row r="184" spans="5:8" x14ac:dyDescent="0.25">
      <c r="E184" t="str">
        <f>""</f>
        <v/>
      </c>
      <c r="F184" t="str">
        <f>""</f>
        <v/>
      </c>
      <c r="H184" t="str">
        <f t="shared" si="6"/>
        <v>ACCT#287263291654</v>
      </c>
    </row>
    <row r="185" spans="5:8" x14ac:dyDescent="0.25">
      <c r="E185" t="str">
        <f>""</f>
        <v/>
      </c>
      <c r="F185" t="str">
        <f>""</f>
        <v/>
      </c>
      <c r="H185" t="str">
        <f t="shared" si="6"/>
        <v>ACCT#287263291654</v>
      </c>
    </row>
    <row r="186" spans="5:8" x14ac:dyDescent="0.25">
      <c r="E186" t="str">
        <f>"202104062475"</f>
        <v>202104062475</v>
      </c>
      <c r="F186" t="str">
        <f>"ACCT#287290524359"</f>
        <v>ACCT#287290524359</v>
      </c>
      <c r="G186" s="1">
        <v>4455.84</v>
      </c>
      <c r="H186" t="str">
        <f t="shared" ref="H186:H197" si="7">"ACCT#287290524359"</f>
        <v>ACCT#287290524359</v>
      </c>
    </row>
    <row r="187" spans="5:8" x14ac:dyDescent="0.25">
      <c r="E187" t="str">
        <f>""</f>
        <v/>
      </c>
      <c r="F187" t="str">
        <f>""</f>
        <v/>
      </c>
      <c r="H187" t="str">
        <f t="shared" si="7"/>
        <v>ACCT#287290524359</v>
      </c>
    </row>
    <row r="188" spans="5:8" x14ac:dyDescent="0.25">
      <c r="E188" t="str">
        <f>""</f>
        <v/>
      </c>
      <c r="F188" t="str">
        <f>""</f>
        <v/>
      </c>
      <c r="H188" t="str">
        <f t="shared" si="7"/>
        <v>ACCT#287290524359</v>
      </c>
    </row>
    <row r="189" spans="5:8" x14ac:dyDescent="0.25">
      <c r="E189" t="str">
        <f>""</f>
        <v/>
      </c>
      <c r="F189" t="str">
        <f>""</f>
        <v/>
      </c>
      <c r="H189" t="str">
        <f t="shared" si="7"/>
        <v>ACCT#287290524359</v>
      </c>
    </row>
    <row r="190" spans="5:8" x14ac:dyDescent="0.25">
      <c r="E190" t="str">
        <f>""</f>
        <v/>
      </c>
      <c r="F190" t="str">
        <f>""</f>
        <v/>
      </c>
      <c r="H190" t="str">
        <f t="shared" si="7"/>
        <v>ACCT#287290524359</v>
      </c>
    </row>
    <row r="191" spans="5:8" x14ac:dyDescent="0.25">
      <c r="E191" t="str">
        <f>""</f>
        <v/>
      </c>
      <c r="F191" t="str">
        <f>""</f>
        <v/>
      </c>
      <c r="H191" t="str">
        <f t="shared" si="7"/>
        <v>ACCT#287290524359</v>
      </c>
    </row>
    <row r="192" spans="5:8" x14ac:dyDescent="0.25">
      <c r="E192" t="str">
        <f>""</f>
        <v/>
      </c>
      <c r="F192" t="str">
        <f>""</f>
        <v/>
      </c>
      <c r="H192" t="str">
        <f t="shared" si="7"/>
        <v>ACCT#287290524359</v>
      </c>
    </row>
    <row r="193" spans="1:8" x14ac:dyDescent="0.25">
      <c r="E193" t="str">
        <f>""</f>
        <v/>
      </c>
      <c r="F193" t="str">
        <f>""</f>
        <v/>
      </c>
      <c r="H193" t="str">
        <f t="shared" si="7"/>
        <v>ACCT#287290524359</v>
      </c>
    </row>
    <row r="194" spans="1:8" x14ac:dyDescent="0.25">
      <c r="E194" t="str">
        <f>""</f>
        <v/>
      </c>
      <c r="F194" t="str">
        <f>""</f>
        <v/>
      </c>
      <c r="H194" t="str">
        <f t="shared" si="7"/>
        <v>ACCT#287290524359</v>
      </c>
    </row>
    <row r="195" spans="1:8" x14ac:dyDescent="0.25">
      <c r="E195" t="str">
        <f>""</f>
        <v/>
      </c>
      <c r="F195" t="str">
        <f>""</f>
        <v/>
      </c>
      <c r="H195" t="str">
        <f t="shared" si="7"/>
        <v>ACCT#287290524359</v>
      </c>
    </row>
    <row r="196" spans="1:8" x14ac:dyDescent="0.25">
      <c r="E196" t="str">
        <f>""</f>
        <v/>
      </c>
      <c r="F196" t="str">
        <f>""</f>
        <v/>
      </c>
      <c r="H196" t="str">
        <f t="shared" si="7"/>
        <v>ACCT#287290524359</v>
      </c>
    </row>
    <row r="197" spans="1:8" x14ac:dyDescent="0.25">
      <c r="E197" t="str">
        <f>""</f>
        <v/>
      </c>
      <c r="F197" t="str">
        <f>""</f>
        <v/>
      </c>
      <c r="H197" t="str">
        <f t="shared" si="7"/>
        <v>ACCT#287290524359</v>
      </c>
    </row>
    <row r="198" spans="1:8" x14ac:dyDescent="0.25">
      <c r="E198" t="str">
        <f>"202104062478"</f>
        <v>202104062478</v>
      </c>
      <c r="F198" t="str">
        <f>"INV 287280903541X03202021"</f>
        <v>INV 287280903541X03202021</v>
      </c>
      <c r="G198" s="1">
        <v>264.36</v>
      </c>
      <c r="H198" t="str">
        <f>"INV 287280903541X03202021"</f>
        <v>INV 287280903541X03202021</v>
      </c>
    </row>
    <row r="199" spans="1:8" x14ac:dyDescent="0.25">
      <c r="A199" t="s">
        <v>33</v>
      </c>
      <c r="B199">
        <v>135283</v>
      </c>
      <c r="C199" s="1">
        <v>1763.18</v>
      </c>
      <c r="D199" s="6">
        <v>44312</v>
      </c>
      <c r="E199" t="str">
        <f>"202104202760"</f>
        <v>202104202760</v>
      </c>
      <c r="F199" t="str">
        <f>"ACCT#287263291654"</f>
        <v>ACCT#287263291654</v>
      </c>
      <c r="G199" s="1">
        <v>1497.62</v>
      </c>
      <c r="H199" t="str">
        <f t="shared" ref="H199:H214" si="8">"ACCT#287263291654"</f>
        <v>ACCT#287263291654</v>
      </c>
    </row>
    <row r="200" spans="1:8" x14ac:dyDescent="0.25">
      <c r="E200" t="str">
        <f>""</f>
        <v/>
      </c>
      <c r="F200" t="str">
        <f>""</f>
        <v/>
      </c>
      <c r="H200" t="str">
        <f t="shared" si="8"/>
        <v>ACCT#287263291654</v>
      </c>
    </row>
    <row r="201" spans="1:8" x14ac:dyDescent="0.25">
      <c r="E201" t="str">
        <f>""</f>
        <v/>
      </c>
      <c r="F201" t="str">
        <f>""</f>
        <v/>
      </c>
      <c r="H201" t="str">
        <f t="shared" si="8"/>
        <v>ACCT#287263291654</v>
      </c>
    </row>
    <row r="202" spans="1:8" x14ac:dyDescent="0.25">
      <c r="E202" t="str">
        <f>""</f>
        <v/>
      </c>
      <c r="F202" t="str">
        <f>""</f>
        <v/>
      </c>
      <c r="H202" t="str">
        <f t="shared" si="8"/>
        <v>ACCT#287263291654</v>
      </c>
    </row>
    <row r="203" spans="1:8" x14ac:dyDescent="0.25">
      <c r="E203" t="str">
        <f>""</f>
        <v/>
      </c>
      <c r="F203" t="str">
        <f>""</f>
        <v/>
      </c>
      <c r="H203" t="str">
        <f t="shared" si="8"/>
        <v>ACCT#287263291654</v>
      </c>
    </row>
    <row r="204" spans="1:8" x14ac:dyDescent="0.25">
      <c r="E204" t="str">
        <f>""</f>
        <v/>
      </c>
      <c r="F204" t="str">
        <f>""</f>
        <v/>
      </c>
      <c r="H204" t="str">
        <f t="shared" si="8"/>
        <v>ACCT#287263291654</v>
      </c>
    </row>
    <row r="205" spans="1:8" x14ac:dyDescent="0.25">
      <c r="E205" t="str">
        <f>""</f>
        <v/>
      </c>
      <c r="F205" t="str">
        <f>""</f>
        <v/>
      </c>
      <c r="H205" t="str">
        <f t="shared" si="8"/>
        <v>ACCT#287263291654</v>
      </c>
    </row>
    <row r="206" spans="1:8" x14ac:dyDescent="0.25">
      <c r="E206" t="str">
        <f>""</f>
        <v/>
      </c>
      <c r="F206" t="str">
        <f>""</f>
        <v/>
      </c>
      <c r="H206" t="str">
        <f t="shared" si="8"/>
        <v>ACCT#287263291654</v>
      </c>
    </row>
    <row r="207" spans="1:8" x14ac:dyDescent="0.25">
      <c r="E207" t="str">
        <f>""</f>
        <v/>
      </c>
      <c r="F207" t="str">
        <f>""</f>
        <v/>
      </c>
      <c r="H207" t="str">
        <f t="shared" si="8"/>
        <v>ACCT#287263291654</v>
      </c>
    </row>
    <row r="208" spans="1:8" x14ac:dyDescent="0.25">
      <c r="E208" t="str">
        <f>""</f>
        <v/>
      </c>
      <c r="F208" t="str">
        <f>""</f>
        <v/>
      </c>
      <c r="H208" t="str">
        <f t="shared" si="8"/>
        <v>ACCT#287263291654</v>
      </c>
    </row>
    <row r="209" spans="1:8" x14ac:dyDescent="0.25">
      <c r="E209" t="str">
        <f>""</f>
        <v/>
      </c>
      <c r="F209" t="str">
        <f>""</f>
        <v/>
      </c>
      <c r="H209" t="str">
        <f t="shared" si="8"/>
        <v>ACCT#287263291654</v>
      </c>
    </row>
    <row r="210" spans="1:8" x14ac:dyDescent="0.25">
      <c r="E210" t="str">
        <f>""</f>
        <v/>
      </c>
      <c r="F210" t="str">
        <f>""</f>
        <v/>
      </c>
      <c r="H210" t="str">
        <f t="shared" si="8"/>
        <v>ACCT#287263291654</v>
      </c>
    </row>
    <row r="211" spans="1:8" x14ac:dyDescent="0.25">
      <c r="E211" t="str">
        <f>""</f>
        <v/>
      </c>
      <c r="F211" t="str">
        <f>""</f>
        <v/>
      </c>
      <c r="H211" t="str">
        <f t="shared" si="8"/>
        <v>ACCT#287263291654</v>
      </c>
    </row>
    <row r="212" spans="1:8" x14ac:dyDescent="0.25">
      <c r="E212" t="str">
        <f>""</f>
        <v/>
      </c>
      <c r="F212" t="str">
        <f>""</f>
        <v/>
      </c>
      <c r="H212" t="str">
        <f t="shared" si="8"/>
        <v>ACCT#287263291654</v>
      </c>
    </row>
    <row r="213" spans="1:8" x14ac:dyDescent="0.25">
      <c r="E213" t="str">
        <f>""</f>
        <v/>
      </c>
      <c r="F213" t="str">
        <f>""</f>
        <v/>
      </c>
      <c r="H213" t="str">
        <f t="shared" si="8"/>
        <v>ACCT#287263291654</v>
      </c>
    </row>
    <row r="214" spans="1:8" x14ac:dyDescent="0.25">
      <c r="E214" t="str">
        <f>""</f>
        <v/>
      </c>
      <c r="F214" t="str">
        <f>""</f>
        <v/>
      </c>
      <c r="H214" t="str">
        <f t="shared" si="8"/>
        <v>ACCT#287263291654</v>
      </c>
    </row>
    <row r="215" spans="1:8" x14ac:dyDescent="0.25">
      <c r="E215" t="str">
        <f>"202104202776"</f>
        <v>202104202776</v>
      </c>
      <c r="F215" t="str">
        <f>"INV 287280903541X04202021"</f>
        <v>INV 287280903541X04202021</v>
      </c>
      <c r="G215" s="1">
        <v>265.56</v>
      </c>
      <c r="H215" t="str">
        <f>"INV 287280903541X04202021"</f>
        <v>INV 287280903541X04202021</v>
      </c>
    </row>
    <row r="216" spans="1:8" x14ac:dyDescent="0.25">
      <c r="A216" t="s">
        <v>34</v>
      </c>
      <c r="B216">
        <v>135284</v>
      </c>
      <c r="C216" s="1">
        <v>18</v>
      </c>
      <c r="D216" s="6">
        <v>44312</v>
      </c>
      <c r="E216" t="str">
        <f>"0068760"</f>
        <v>0068760</v>
      </c>
      <c r="F216" t="str">
        <f>"7/8 NUT/PCT#4"</f>
        <v>7/8 NUT/PCT#4</v>
      </c>
      <c r="G216" s="1">
        <v>18</v>
      </c>
      <c r="H216" t="str">
        <f>"7/8 NUT/PCT#4"</f>
        <v>7/8 NUT/PCT#4</v>
      </c>
    </row>
    <row r="217" spans="1:8" x14ac:dyDescent="0.25">
      <c r="A217" t="s">
        <v>35</v>
      </c>
      <c r="B217">
        <v>135285</v>
      </c>
      <c r="C217" s="1">
        <v>3400</v>
      </c>
      <c r="D217" s="6">
        <v>44312</v>
      </c>
      <c r="E217" t="str">
        <f>"202104212780"</f>
        <v>202104212780</v>
      </c>
      <c r="F217" t="str">
        <f>"Real Property Appraisal"</f>
        <v>Real Property Appraisal</v>
      </c>
      <c r="G217" s="1">
        <v>3400</v>
      </c>
      <c r="H217" t="str">
        <f>"Real Property Appraisal"</f>
        <v>Real Property Appraisal</v>
      </c>
    </row>
    <row r="218" spans="1:8" x14ac:dyDescent="0.25">
      <c r="A218" t="s">
        <v>36</v>
      </c>
      <c r="B218">
        <v>135286</v>
      </c>
      <c r="C218" s="1">
        <v>69.77</v>
      </c>
      <c r="D218" s="6">
        <v>44312</v>
      </c>
      <c r="E218" t="str">
        <f>"202104212805"</f>
        <v>202104212805</v>
      </c>
      <c r="F218" t="str">
        <f>"INDIGENT HEALTH"</f>
        <v>INDIGENT HEALTH</v>
      </c>
      <c r="G218" s="1">
        <v>69.77</v>
      </c>
      <c r="H218" t="str">
        <f>"INDIGENT HEALTH"</f>
        <v>INDIGENT HEALTH</v>
      </c>
    </row>
    <row r="219" spans="1:8" x14ac:dyDescent="0.25">
      <c r="A219" t="s">
        <v>37</v>
      </c>
      <c r="B219">
        <v>4343</v>
      </c>
      <c r="C219" s="1">
        <v>450</v>
      </c>
      <c r="D219" s="6">
        <v>44313</v>
      </c>
      <c r="E219" t="str">
        <f>"202104152652"</f>
        <v>202104152652</v>
      </c>
      <c r="F219" t="str">
        <f>"HUNTERS CROSSING HEARING"</f>
        <v>HUNTERS CROSSING HEARING</v>
      </c>
      <c r="G219" s="1">
        <v>450</v>
      </c>
      <c r="H219" t="str">
        <f>"HUNTERS CROSSING HEARING"</f>
        <v>HUNTERS CROSSING HEARING</v>
      </c>
    </row>
    <row r="220" spans="1:8" x14ac:dyDescent="0.25">
      <c r="A220" t="s">
        <v>38</v>
      </c>
      <c r="B220">
        <v>135113</v>
      </c>
      <c r="C220" s="1">
        <v>153.53</v>
      </c>
      <c r="D220" s="6">
        <v>44298</v>
      </c>
      <c r="E220" t="str">
        <f>"152696"</f>
        <v>152696</v>
      </c>
      <c r="F220" t="str">
        <f>"INV 152696"</f>
        <v>INV 152696</v>
      </c>
      <c r="G220" s="1">
        <v>153.53</v>
      </c>
      <c r="H220" t="str">
        <f>"INV 152696"</f>
        <v>INV 152696</v>
      </c>
    </row>
    <row r="221" spans="1:8" x14ac:dyDescent="0.25">
      <c r="E221" t="str">
        <f>""</f>
        <v/>
      </c>
      <c r="F221" t="str">
        <f>""</f>
        <v/>
      </c>
      <c r="H221" t="str">
        <f>"INV 153070 (CREDIT)"</f>
        <v>INV 153070 (CREDIT)</v>
      </c>
    </row>
    <row r="222" spans="1:8" x14ac:dyDescent="0.25">
      <c r="A222" t="s">
        <v>39</v>
      </c>
      <c r="B222">
        <v>4294</v>
      </c>
      <c r="C222" s="1">
        <v>1603.46</v>
      </c>
      <c r="D222" s="6">
        <v>44299</v>
      </c>
      <c r="E222" t="str">
        <f>"380661"</f>
        <v>380661</v>
      </c>
      <c r="F222" t="str">
        <f>"CUST#0009/PCT#1"</f>
        <v>CUST#0009/PCT#1</v>
      </c>
      <c r="G222" s="1">
        <v>1380.96</v>
      </c>
      <c r="H222" t="str">
        <f>"CUST#0009/PCT#1"</f>
        <v>CUST#0009/PCT#1</v>
      </c>
    </row>
    <row r="223" spans="1:8" x14ac:dyDescent="0.25">
      <c r="E223" t="str">
        <f>"380669"</f>
        <v>380669</v>
      </c>
      <c r="F223" t="str">
        <f>"CUST#0010/PCT#2"</f>
        <v>CUST#0010/PCT#2</v>
      </c>
      <c r="G223" s="1">
        <v>109</v>
      </c>
      <c r="H223" t="str">
        <f>"CUST#0010/PCT#2"</f>
        <v>CUST#0010/PCT#2</v>
      </c>
    </row>
    <row r="224" spans="1:8" x14ac:dyDescent="0.25">
      <c r="E224" t="str">
        <f>"380952"</f>
        <v>380952</v>
      </c>
      <c r="F224" t="str">
        <f>"ACCT#0011/PCT#1"</f>
        <v>ACCT#0011/PCT#1</v>
      </c>
      <c r="G224" s="1">
        <v>113.5</v>
      </c>
      <c r="H224" t="str">
        <f>"ACCT#0011/PCT#1"</f>
        <v>ACCT#0011/PCT#1</v>
      </c>
    </row>
    <row r="225" spans="1:8" x14ac:dyDescent="0.25">
      <c r="A225" t="s">
        <v>40</v>
      </c>
      <c r="B225">
        <v>4259</v>
      </c>
      <c r="C225" s="1">
        <v>11900</v>
      </c>
      <c r="D225" s="6">
        <v>44299</v>
      </c>
      <c r="E225" t="str">
        <f>"1628"</f>
        <v>1628</v>
      </c>
      <c r="F225" t="str">
        <f>"FLOWABLE FILL/COPPERAS CREEK"</f>
        <v>FLOWABLE FILL/COPPERAS CREEK</v>
      </c>
      <c r="G225" s="1">
        <v>1650</v>
      </c>
      <c r="H225" t="str">
        <f>"FLOWABLE FILL/COPPERAS CREEK"</f>
        <v>FLOWABLE FILL/COPPERAS CREEK</v>
      </c>
    </row>
    <row r="226" spans="1:8" x14ac:dyDescent="0.25">
      <c r="E226" t="str">
        <f>"1629"</f>
        <v>1629</v>
      </c>
      <c r="F226" t="str">
        <f>"TREE REMOVAL ALUM CREEK/PCT#2"</f>
        <v>TREE REMOVAL ALUM CREEK/PCT#2</v>
      </c>
      <c r="G226" s="1">
        <v>4950</v>
      </c>
      <c r="H226" t="str">
        <f>"TREE REMOVAL ALUM CREEK/PCT#2"</f>
        <v>TREE REMOVAL ALUM CREEK/PCT#2</v>
      </c>
    </row>
    <row r="227" spans="1:8" x14ac:dyDescent="0.25">
      <c r="E227" t="str">
        <f>"1630"</f>
        <v>1630</v>
      </c>
      <c r="F227" t="str">
        <f>"FLUME/UPAULA/PCT#1"</f>
        <v>FLUME/UPAULA/PCT#1</v>
      </c>
      <c r="G227" s="1">
        <v>3900</v>
      </c>
      <c r="H227" t="str">
        <f>"FLUME/UPAULA/PCT#1"</f>
        <v>FLUME/UPAULA/PCT#1</v>
      </c>
    </row>
    <row r="228" spans="1:8" x14ac:dyDescent="0.25">
      <c r="E228" t="str">
        <f>"1631"</f>
        <v>1631</v>
      </c>
      <c r="F228" t="str">
        <f>"BASEBALL LANE HEADWALL/PCT#1"</f>
        <v>BASEBALL LANE HEADWALL/PCT#1</v>
      </c>
      <c r="G228" s="1">
        <v>1400</v>
      </c>
      <c r="H228" t="str">
        <f>"BASEBALL LANE HEADWALL/PCT#1"</f>
        <v>BASEBALL LANE HEADWALL/PCT#1</v>
      </c>
    </row>
    <row r="229" spans="1:8" x14ac:dyDescent="0.25">
      <c r="A229" t="s">
        <v>40</v>
      </c>
      <c r="B229">
        <v>4336</v>
      </c>
      <c r="C229" s="1">
        <v>5800</v>
      </c>
      <c r="D229" s="6">
        <v>44313</v>
      </c>
      <c r="E229" t="str">
        <f>"1633"</f>
        <v>1633</v>
      </c>
      <c r="F229" t="str">
        <f>"REMOVED LARGE ELM TREE"</f>
        <v>REMOVED LARGE ELM TREE</v>
      </c>
      <c r="G229" s="1">
        <v>1650</v>
      </c>
      <c r="H229" t="str">
        <f>"REMOVED LARGE ELM TREE"</f>
        <v>REMOVED LARGE ELM TREE</v>
      </c>
    </row>
    <row r="230" spans="1:8" x14ac:dyDescent="0.25">
      <c r="E230" t="str">
        <f>"1634"</f>
        <v>1634</v>
      </c>
      <c r="F230" t="str">
        <f>"REMOVED LARGE ELM KLBJ/PCT#2"</f>
        <v>REMOVED LARGE ELM KLBJ/PCT#2</v>
      </c>
      <c r="G230" s="1">
        <v>2950</v>
      </c>
      <c r="H230" t="str">
        <f>"REMOVED LARGE ELM KLBJ/PCT#2"</f>
        <v>REMOVED LARGE ELM KLBJ/PCT#2</v>
      </c>
    </row>
    <row r="231" spans="1:8" x14ac:dyDescent="0.25">
      <c r="E231" t="str">
        <f>"1636"</f>
        <v>1636</v>
      </c>
      <c r="F231" t="str">
        <f>"REMOVED PINE TREE/PEACE HEAVEN"</f>
        <v>REMOVED PINE TREE/PEACE HEAVEN</v>
      </c>
      <c r="G231" s="1">
        <v>1200</v>
      </c>
      <c r="H231" t="str">
        <f>"REMOVED PINE TREE/PEACE HEAVEN"</f>
        <v>REMOVED PINE TREE/PEACE HEAVEN</v>
      </c>
    </row>
    <row r="232" spans="1:8" x14ac:dyDescent="0.25">
      <c r="A232" t="s">
        <v>41</v>
      </c>
      <c r="B232">
        <v>135114</v>
      </c>
      <c r="C232" s="1">
        <v>30</v>
      </c>
      <c r="D232" s="6">
        <v>44298</v>
      </c>
      <c r="E232" t="str">
        <f>"202103242271"</f>
        <v>202103242271</v>
      </c>
      <c r="F232" t="str">
        <f>"REIMBURSEMENT COUPONS #23519"</f>
        <v>REIMBURSEMENT COUPONS #23519</v>
      </c>
      <c r="G232" s="1">
        <v>30</v>
      </c>
      <c r="H232" t="str">
        <f>"REIMBURSEMENT COUPONS #23519"</f>
        <v>REIMBURSEMENT COUPONS #23519</v>
      </c>
    </row>
    <row r="233" spans="1:8" x14ac:dyDescent="0.25">
      <c r="A233" t="s">
        <v>42</v>
      </c>
      <c r="B233">
        <v>135115</v>
      </c>
      <c r="C233" s="1">
        <v>6968</v>
      </c>
      <c r="D233" s="6">
        <v>44298</v>
      </c>
      <c r="E233" t="str">
        <f>"12245"</f>
        <v>12245</v>
      </c>
      <c r="F233" t="str">
        <f t="shared" ref="F233:F266" si="9">"SERVICE"</f>
        <v>SERVICE</v>
      </c>
      <c r="G233" s="1">
        <v>275</v>
      </c>
      <c r="H233" t="str">
        <f t="shared" ref="H233:H266" si="10">"SERVICE"</f>
        <v>SERVICE</v>
      </c>
    </row>
    <row r="234" spans="1:8" x14ac:dyDescent="0.25">
      <c r="E234" t="str">
        <f>"12374"</f>
        <v>12374</v>
      </c>
      <c r="F234" t="str">
        <f t="shared" si="9"/>
        <v>SERVICE</v>
      </c>
      <c r="G234" s="1">
        <v>325</v>
      </c>
      <c r="H234" t="str">
        <f t="shared" si="10"/>
        <v>SERVICE</v>
      </c>
    </row>
    <row r="235" spans="1:8" x14ac:dyDescent="0.25">
      <c r="E235" t="str">
        <f>"12494"</f>
        <v>12494</v>
      </c>
      <c r="F235" t="str">
        <f t="shared" si="9"/>
        <v>SERVICE</v>
      </c>
      <c r="G235" s="1">
        <v>570</v>
      </c>
      <c r="H235" t="str">
        <f t="shared" si="10"/>
        <v>SERVICE</v>
      </c>
    </row>
    <row r="236" spans="1:8" x14ac:dyDescent="0.25">
      <c r="E236" t="str">
        <f>"12553"</f>
        <v>12553</v>
      </c>
      <c r="F236" t="str">
        <f t="shared" si="9"/>
        <v>SERVICE</v>
      </c>
      <c r="G236" s="1">
        <v>400</v>
      </c>
      <c r="H236" t="str">
        <f t="shared" si="10"/>
        <v>SERVICE</v>
      </c>
    </row>
    <row r="237" spans="1:8" x14ac:dyDescent="0.25">
      <c r="E237" t="str">
        <f>"12759"</f>
        <v>12759</v>
      </c>
      <c r="F237" t="str">
        <f t="shared" si="9"/>
        <v>SERVICE</v>
      </c>
      <c r="G237" s="1">
        <v>400</v>
      </c>
      <c r="H237" t="str">
        <f t="shared" si="10"/>
        <v>SERVICE</v>
      </c>
    </row>
    <row r="238" spans="1:8" x14ac:dyDescent="0.25">
      <c r="E238" t="str">
        <f>"12768"</f>
        <v>12768</v>
      </c>
      <c r="F238" t="str">
        <f t="shared" si="9"/>
        <v>SERVICE</v>
      </c>
      <c r="G238" s="1">
        <v>900</v>
      </c>
      <c r="H238" t="str">
        <f t="shared" si="10"/>
        <v>SERVICE</v>
      </c>
    </row>
    <row r="239" spans="1:8" x14ac:dyDescent="0.25">
      <c r="E239" t="str">
        <f>"12826-3-2-21"</f>
        <v>12826-3-2-21</v>
      </c>
      <c r="F239" t="str">
        <f t="shared" si="9"/>
        <v>SERVICE</v>
      </c>
      <c r="G239" s="1">
        <v>250</v>
      </c>
      <c r="H239" t="str">
        <f t="shared" si="10"/>
        <v>SERVICE</v>
      </c>
    </row>
    <row r="240" spans="1:8" x14ac:dyDescent="0.25">
      <c r="E240" t="str">
        <f>"12921"</f>
        <v>12921</v>
      </c>
      <c r="F240" t="str">
        <f t="shared" si="9"/>
        <v>SERVICE</v>
      </c>
      <c r="G240" s="1">
        <v>400</v>
      </c>
      <c r="H240" t="str">
        <f t="shared" si="10"/>
        <v>SERVICE</v>
      </c>
    </row>
    <row r="241" spans="5:8" x14ac:dyDescent="0.25">
      <c r="E241" t="str">
        <f>"12980"</f>
        <v>12980</v>
      </c>
      <c r="F241" t="str">
        <f t="shared" si="9"/>
        <v>SERVICE</v>
      </c>
      <c r="G241" s="1">
        <v>325</v>
      </c>
      <c r="H241" t="str">
        <f t="shared" si="10"/>
        <v>SERVICE</v>
      </c>
    </row>
    <row r="242" spans="5:8" x14ac:dyDescent="0.25">
      <c r="E242" t="str">
        <f>"13026-3-2-21"</f>
        <v>13026-3-2-21</v>
      </c>
      <c r="F242" t="str">
        <f t="shared" si="9"/>
        <v>SERVICE</v>
      </c>
      <c r="G242" s="1">
        <v>250</v>
      </c>
      <c r="H242" t="str">
        <f t="shared" si="10"/>
        <v>SERVICE</v>
      </c>
    </row>
    <row r="243" spans="5:8" x14ac:dyDescent="0.25">
      <c r="E243" t="str">
        <f>"13029"</f>
        <v>13029</v>
      </c>
      <c r="F243" t="str">
        <f t="shared" si="9"/>
        <v>SERVICE</v>
      </c>
      <c r="G243" s="1">
        <v>325</v>
      </c>
      <c r="H243" t="str">
        <f t="shared" si="10"/>
        <v>SERVICE</v>
      </c>
    </row>
    <row r="244" spans="5:8" x14ac:dyDescent="0.25">
      <c r="E244" t="str">
        <f>"13048"</f>
        <v>13048</v>
      </c>
      <c r="F244" t="str">
        <f t="shared" si="9"/>
        <v>SERVICE</v>
      </c>
      <c r="G244" s="1">
        <v>325</v>
      </c>
      <c r="H244" t="str">
        <f t="shared" si="10"/>
        <v>SERVICE</v>
      </c>
    </row>
    <row r="245" spans="5:8" x14ac:dyDescent="0.25">
      <c r="E245" t="str">
        <f>"13088"</f>
        <v>13088</v>
      </c>
      <c r="F245" t="str">
        <f t="shared" si="9"/>
        <v>SERVICE</v>
      </c>
      <c r="G245" s="1">
        <v>400</v>
      </c>
      <c r="H245" t="str">
        <f t="shared" si="10"/>
        <v>SERVICE</v>
      </c>
    </row>
    <row r="246" spans="5:8" x14ac:dyDescent="0.25">
      <c r="E246" t="str">
        <f>"13163"</f>
        <v>13163</v>
      </c>
      <c r="F246" t="str">
        <f t="shared" si="9"/>
        <v>SERVICE</v>
      </c>
      <c r="G246" s="1">
        <v>225</v>
      </c>
      <c r="H246" t="str">
        <f t="shared" si="10"/>
        <v>SERVICE</v>
      </c>
    </row>
    <row r="247" spans="5:8" x14ac:dyDescent="0.25">
      <c r="E247" t="str">
        <f>"13169"</f>
        <v>13169</v>
      </c>
      <c r="F247" t="str">
        <f t="shared" si="9"/>
        <v>SERVICE</v>
      </c>
      <c r="G247" s="1">
        <v>29</v>
      </c>
      <c r="H247" t="str">
        <f t="shared" si="10"/>
        <v>SERVICE</v>
      </c>
    </row>
    <row r="248" spans="5:8" x14ac:dyDescent="0.25">
      <c r="E248" t="str">
        <f>"13196-3-4-21"</f>
        <v>13196-3-4-21</v>
      </c>
      <c r="F248" t="str">
        <f t="shared" si="9"/>
        <v>SERVICE</v>
      </c>
      <c r="G248" s="1">
        <v>75</v>
      </c>
      <c r="H248" t="str">
        <f t="shared" si="10"/>
        <v>SERVICE</v>
      </c>
    </row>
    <row r="249" spans="5:8" x14ac:dyDescent="0.25">
      <c r="E249" t="str">
        <f>"13299"</f>
        <v>13299</v>
      </c>
      <c r="F249" t="str">
        <f t="shared" si="9"/>
        <v>SERVICE</v>
      </c>
      <c r="G249" s="1">
        <v>525</v>
      </c>
      <c r="H249" t="str">
        <f t="shared" si="10"/>
        <v>SERVICE</v>
      </c>
    </row>
    <row r="250" spans="5:8" x14ac:dyDescent="0.25">
      <c r="E250" t="str">
        <f>"133011/25/21"</f>
        <v>133011/25/21</v>
      </c>
      <c r="F250" t="str">
        <f t="shared" si="9"/>
        <v>SERVICE</v>
      </c>
      <c r="G250" s="1">
        <v>20</v>
      </c>
      <c r="H250" t="str">
        <f t="shared" si="10"/>
        <v>SERVICE</v>
      </c>
    </row>
    <row r="251" spans="5:8" x14ac:dyDescent="0.25">
      <c r="E251" t="str">
        <f>"13335"</f>
        <v>13335</v>
      </c>
      <c r="F251" t="str">
        <f t="shared" si="9"/>
        <v>SERVICE</v>
      </c>
      <c r="G251" s="1">
        <v>63</v>
      </c>
      <c r="H251" t="str">
        <f t="shared" si="10"/>
        <v>SERVICE</v>
      </c>
    </row>
    <row r="252" spans="5:8" x14ac:dyDescent="0.25">
      <c r="E252" t="str">
        <f>"13335-02-22-21"</f>
        <v>13335-02-22-21</v>
      </c>
      <c r="F252" t="str">
        <f t="shared" si="9"/>
        <v>SERVICE</v>
      </c>
      <c r="G252" s="1">
        <v>5</v>
      </c>
      <c r="H252" t="str">
        <f t="shared" si="10"/>
        <v>SERVICE</v>
      </c>
    </row>
    <row r="253" spans="5:8" x14ac:dyDescent="0.25">
      <c r="E253" t="str">
        <f>"13395"</f>
        <v>13395</v>
      </c>
      <c r="F253" t="str">
        <f t="shared" si="9"/>
        <v>SERVICE</v>
      </c>
      <c r="G253" s="1">
        <v>325</v>
      </c>
      <c r="H253" t="str">
        <f t="shared" si="10"/>
        <v>SERVICE</v>
      </c>
    </row>
    <row r="254" spans="5:8" x14ac:dyDescent="0.25">
      <c r="E254" t="str">
        <f>"13470/1/11/2021"</f>
        <v>13470/1/11/2021</v>
      </c>
      <c r="F254" t="str">
        <f t="shared" si="9"/>
        <v>SERVICE</v>
      </c>
      <c r="G254" s="1">
        <v>144</v>
      </c>
      <c r="H254" t="str">
        <f t="shared" si="10"/>
        <v>SERVICE</v>
      </c>
    </row>
    <row r="255" spans="5:8" x14ac:dyDescent="0.25">
      <c r="E255" t="str">
        <f>"13489"</f>
        <v>13489</v>
      </c>
      <c r="F255" t="str">
        <f t="shared" si="9"/>
        <v>SERVICE</v>
      </c>
      <c r="G255" s="1">
        <v>14</v>
      </c>
      <c r="H255" t="str">
        <f t="shared" si="10"/>
        <v>SERVICE</v>
      </c>
    </row>
    <row r="256" spans="5:8" x14ac:dyDescent="0.25">
      <c r="E256" t="str">
        <f>"13534"</f>
        <v>13534</v>
      </c>
      <c r="F256" t="str">
        <f t="shared" si="9"/>
        <v>SERVICE</v>
      </c>
      <c r="G256" s="1">
        <v>7</v>
      </c>
      <c r="H256" t="str">
        <f t="shared" si="10"/>
        <v>SERVICE</v>
      </c>
    </row>
    <row r="257" spans="1:8" x14ac:dyDescent="0.25">
      <c r="E257" t="str">
        <f>"13556"</f>
        <v>13556</v>
      </c>
      <c r="F257" t="str">
        <f t="shared" si="9"/>
        <v>SERVICE</v>
      </c>
      <c r="G257" s="1">
        <v>225</v>
      </c>
      <c r="H257" t="str">
        <f t="shared" si="10"/>
        <v>SERVICE</v>
      </c>
    </row>
    <row r="258" spans="1:8" x14ac:dyDescent="0.25">
      <c r="E258" t="str">
        <f>"13567/1/11/2021"</f>
        <v>13567/1/11/2021</v>
      </c>
      <c r="F258" t="str">
        <f t="shared" si="9"/>
        <v>SERVICE</v>
      </c>
      <c r="G258" s="1">
        <v>16</v>
      </c>
      <c r="H258" t="str">
        <f t="shared" si="10"/>
        <v>SERVICE</v>
      </c>
    </row>
    <row r="259" spans="1:8" x14ac:dyDescent="0.25">
      <c r="E259" t="str">
        <f>"13573"</f>
        <v>13573</v>
      </c>
      <c r="F259" t="str">
        <f t="shared" si="9"/>
        <v>SERVICE</v>
      </c>
      <c r="G259" s="1">
        <v>75</v>
      </c>
      <c r="H259" t="str">
        <f t="shared" si="10"/>
        <v>SERVICE</v>
      </c>
    </row>
    <row r="260" spans="1:8" x14ac:dyDescent="0.25">
      <c r="E260" t="str">
        <f>"13581"</f>
        <v>13581</v>
      </c>
      <c r="F260" t="str">
        <f t="shared" si="9"/>
        <v>SERVICE</v>
      </c>
      <c r="G260" s="1">
        <v>75</v>
      </c>
      <c r="H260" t="str">
        <f t="shared" si="10"/>
        <v>SERVICE</v>
      </c>
    </row>
    <row r="261" spans="1:8" x14ac:dyDescent="0.25">
      <c r="A261" t="s">
        <v>42</v>
      </c>
      <c r="B261">
        <v>135287</v>
      </c>
      <c r="C261" s="1">
        <v>558</v>
      </c>
      <c r="D261" s="6">
        <v>44312</v>
      </c>
      <c r="E261" t="str">
        <f>"12354"</f>
        <v>12354</v>
      </c>
      <c r="F261" t="str">
        <f t="shared" si="9"/>
        <v>SERVICE</v>
      </c>
      <c r="G261" s="1">
        <v>250</v>
      </c>
      <c r="H261" t="str">
        <f t="shared" si="10"/>
        <v>SERVICE</v>
      </c>
    </row>
    <row r="262" spans="1:8" x14ac:dyDescent="0.25">
      <c r="E262" t="str">
        <f>"12617-3-9-2021"</f>
        <v>12617-3-9-2021</v>
      </c>
      <c r="F262" t="str">
        <f t="shared" si="9"/>
        <v>SERVICE</v>
      </c>
      <c r="G262" s="1">
        <v>75</v>
      </c>
      <c r="H262" t="str">
        <f t="shared" si="10"/>
        <v>SERVICE</v>
      </c>
    </row>
    <row r="263" spans="1:8" x14ac:dyDescent="0.25">
      <c r="E263" t="str">
        <f>"13222"</f>
        <v>13222</v>
      </c>
      <c r="F263" t="str">
        <f t="shared" si="9"/>
        <v>SERVICE</v>
      </c>
      <c r="G263" s="1">
        <v>75</v>
      </c>
      <c r="H263" t="str">
        <f t="shared" si="10"/>
        <v>SERVICE</v>
      </c>
    </row>
    <row r="264" spans="1:8" x14ac:dyDescent="0.25">
      <c r="E264" t="str">
        <f>"13276-3-15-21"</f>
        <v>13276-3-15-21</v>
      </c>
      <c r="F264" t="str">
        <f t="shared" si="9"/>
        <v>SERVICE</v>
      </c>
      <c r="G264" s="1">
        <v>33</v>
      </c>
      <c r="H264" t="str">
        <f t="shared" si="10"/>
        <v>SERVICE</v>
      </c>
    </row>
    <row r="265" spans="1:8" x14ac:dyDescent="0.25">
      <c r="E265" t="str">
        <f>"13489-3-9-21"</f>
        <v>13489-3-9-21</v>
      </c>
      <c r="F265" t="str">
        <f t="shared" si="9"/>
        <v>SERVICE</v>
      </c>
      <c r="G265" s="1">
        <v>50</v>
      </c>
      <c r="H265" t="str">
        <f t="shared" si="10"/>
        <v>SERVICE</v>
      </c>
    </row>
    <row r="266" spans="1:8" x14ac:dyDescent="0.25">
      <c r="E266" t="str">
        <f>"13595"</f>
        <v>13595</v>
      </c>
      <c r="F266" t="str">
        <f t="shared" si="9"/>
        <v>SERVICE</v>
      </c>
      <c r="G266" s="1">
        <v>75</v>
      </c>
      <c r="H266" t="str">
        <f t="shared" si="10"/>
        <v>SERVICE</v>
      </c>
    </row>
    <row r="267" spans="1:8" x14ac:dyDescent="0.25">
      <c r="A267" t="s">
        <v>43</v>
      </c>
      <c r="B267">
        <v>4285</v>
      </c>
      <c r="C267" s="1">
        <v>10022.52</v>
      </c>
      <c r="D267" s="6">
        <v>44299</v>
      </c>
      <c r="E267" t="str">
        <f>"202103242265"</f>
        <v>202103242265</v>
      </c>
      <c r="F267" t="str">
        <f>"HOME VISIT GRANT/REIMBURSEMENT"</f>
        <v>HOME VISIT GRANT/REIMBURSEMENT</v>
      </c>
      <c r="G267" s="1">
        <v>5042.51</v>
      </c>
      <c r="H267" t="str">
        <f>"HOME VISIT GRANT/REIMBURSEMENT"</f>
        <v>HOME VISIT GRANT/REIMBURSEMENT</v>
      </c>
    </row>
    <row r="268" spans="1:8" x14ac:dyDescent="0.25">
      <c r="E268" t="str">
        <f>"202103302363"</f>
        <v>202103302363</v>
      </c>
      <c r="F268" t="str">
        <f>"HOME VISIT GRANT REIMBURSEMENT"</f>
        <v>HOME VISIT GRANT REIMBURSEMENT</v>
      </c>
      <c r="G268" s="1">
        <v>4980.01</v>
      </c>
      <c r="H268" t="str">
        <f>"HOME VISIT GRANT REIMBURSEMENT"</f>
        <v>HOME VISIT GRANT REIMBURSEMENT</v>
      </c>
    </row>
    <row r="269" spans="1:8" x14ac:dyDescent="0.25">
      <c r="A269" t="s">
        <v>44</v>
      </c>
      <c r="B269">
        <v>4310</v>
      </c>
      <c r="C269" s="1">
        <v>284.27999999999997</v>
      </c>
      <c r="D269" s="6">
        <v>44299</v>
      </c>
      <c r="E269" t="str">
        <f>"202103242307"</f>
        <v>202103242307</v>
      </c>
      <c r="F269" t="str">
        <f>"FNB CHARGE FOR CHECKS"</f>
        <v>FNB CHARGE FOR CHECKS</v>
      </c>
      <c r="G269" s="1">
        <v>284.27999999999997</v>
      </c>
      <c r="H269" t="str">
        <f>"FNB CHARGE FOR CHECKS"</f>
        <v>FNB CHARGE FOR CHECKS</v>
      </c>
    </row>
    <row r="270" spans="1:8" x14ac:dyDescent="0.25">
      <c r="A270" t="s">
        <v>43</v>
      </c>
      <c r="B270">
        <v>4358</v>
      </c>
      <c r="C270" s="1">
        <v>57955.86</v>
      </c>
      <c r="D270" s="6">
        <v>44313</v>
      </c>
      <c r="E270" t="str">
        <f>"202104192723"</f>
        <v>202104192723</v>
      </c>
      <c r="F270" t="str">
        <f>"ST.DAVIDS GRANT"</f>
        <v>ST.DAVIDS GRANT</v>
      </c>
      <c r="G270" s="1">
        <v>41100</v>
      </c>
      <c r="H270" t="str">
        <f>"ST.DAVIDS GRANT"</f>
        <v>ST.DAVIDS GRANT</v>
      </c>
    </row>
    <row r="271" spans="1:8" x14ac:dyDescent="0.25">
      <c r="E271" t="str">
        <f>"202104192725"</f>
        <v>202104192725</v>
      </c>
      <c r="F271" t="str">
        <f>"ST. DAVIDS GRANT"</f>
        <v>ST. DAVIDS GRANT</v>
      </c>
      <c r="G271" s="1">
        <v>3000</v>
      </c>
      <c r="H271" t="str">
        <f>"ST. DAVIDS GRANT"</f>
        <v>ST. DAVIDS GRANT</v>
      </c>
    </row>
    <row r="272" spans="1:8" x14ac:dyDescent="0.25">
      <c r="E272" t="str">
        <f>"202104192726"</f>
        <v>202104192726</v>
      </c>
      <c r="F272" t="str">
        <f>"HOGG FOUNDATION GRANT"</f>
        <v>HOGG FOUNDATION GRANT</v>
      </c>
      <c r="G272" s="1">
        <v>13855.86</v>
      </c>
      <c r="H272" t="str">
        <f>"HOGG FOUNDATION GRANT"</f>
        <v>HOGG FOUNDATION GRANT</v>
      </c>
    </row>
    <row r="273" spans="1:8" x14ac:dyDescent="0.25">
      <c r="A273" t="s">
        <v>45</v>
      </c>
      <c r="B273">
        <v>135116</v>
      </c>
      <c r="C273" s="1">
        <v>12500</v>
      </c>
      <c r="D273" s="6">
        <v>44298</v>
      </c>
      <c r="E273" t="str">
        <f>"202103242266"</f>
        <v>202103242266</v>
      </c>
      <c r="F273" t="str">
        <f>"FY 2021 EMERGENCY FOOD PANRTY"</f>
        <v>FY 2021 EMERGENCY FOOD PANRTY</v>
      </c>
      <c r="G273" s="1">
        <v>12500</v>
      </c>
      <c r="H273" t="str">
        <f>"FY 2021 EMERGENCY FOOD PANRTY"</f>
        <v>FY 2021 EMERGENCY FOOD PANRTY</v>
      </c>
    </row>
    <row r="274" spans="1:8" x14ac:dyDescent="0.25">
      <c r="A274" t="s">
        <v>46</v>
      </c>
      <c r="B274">
        <v>135117</v>
      </c>
      <c r="C274" s="1">
        <v>82017</v>
      </c>
      <c r="D274" s="6">
        <v>44298</v>
      </c>
      <c r="E274" t="str">
        <f>"1ST QURT FY21"</f>
        <v>1ST QURT FY21</v>
      </c>
      <c r="F274" t="str">
        <f>"1ST QURT FY '21"</f>
        <v>1ST QURT FY '21</v>
      </c>
      <c r="G274" s="1">
        <v>82017</v>
      </c>
      <c r="H274" t="str">
        <f>"1ST QURT FY '21"</f>
        <v>1ST QURT FY '21</v>
      </c>
    </row>
    <row r="275" spans="1:8" x14ac:dyDescent="0.25">
      <c r="A275" t="s">
        <v>47</v>
      </c>
      <c r="B275">
        <v>135288</v>
      </c>
      <c r="C275" s="1">
        <v>299.77999999999997</v>
      </c>
      <c r="D275" s="6">
        <v>44312</v>
      </c>
      <c r="E275" t="str">
        <f>"202104192717"</f>
        <v>202104192717</v>
      </c>
      <c r="F275" t="str">
        <f>"CHECKS ACCT#188664"</f>
        <v>CHECKS ACCT#188664</v>
      </c>
      <c r="G275" s="1">
        <v>299.77999999999997</v>
      </c>
      <c r="H275" t="str">
        <f>"CHECKS ACCT#188664"</f>
        <v>CHECKS ACCT#188664</v>
      </c>
    </row>
    <row r="276" spans="1:8" x14ac:dyDescent="0.25">
      <c r="A276" t="s">
        <v>48</v>
      </c>
      <c r="B276">
        <v>135118</v>
      </c>
      <c r="C276" s="1">
        <v>72.61</v>
      </c>
      <c r="D276" s="6">
        <v>44298</v>
      </c>
      <c r="E276" t="str">
        <f>"224"</f>
        <v>224</v>
      </c>
      <c r="F276" t="str">
        <f>"INV 224"</f>
        <v>INV 224</v>
      </c>
      <c r="G276" s="1">
        <v>72.61</v>
      </c>
      <c r="H276" t="str">
        <f>"INV 224"</f>
        <v>INV 224</v>
      </c>
    </row>
    <row r="277" spans="1:8" x14ac:dyDescent="0.25">
      <c r="A277" t="s">
        <v>49</v>
      </c>
      <c r="B277">
        <v>4386</v>
      </c>
      <c r="C277" s="1">
        <v>188.11</v>
      </c>
      <c r="D277" s="6">
        <v>44313</v>
      </c>
      <c r="E277" t="str">
        <f>"202104212806"</f>
        <v>202104212806</v>
      </c>
      <c r="F277" t="str">
        <f>"INDIGENT HEALTH"</f>
        <v>INDIGENT HEALTH</v>
      </c>
      <c r="G277" s="1">
        <v>188.11</v>
      </c>
      <c r="H277" t="str">
        <f>"INDIGENT HEALTH"</f>
        <v>INDIGENT HEALTH</v>
      </c>
    </row>
    <row r="278" spans="1:8" x14ac:dyDescent="0.25">
      <c r="A278" t="s">
        <v>50</v>
      </c>
      <c r="B278">
        <v>4257</v>
      </c>
      <c r="C278" s="1">
        <v>8945</v>
      </c>
      <c r="D278" s="6">
        <v>44299</v>
      </c>
      <c r="E278" t="str">
        <f>"2021023"</f>
        <v>2021023</v>
      </c>
      <c r="F278" t="str">
        <f>"TRANSPORT/O. LOPEZ-SANCHESZ"</f>
        <v>TRANSPORT/O. LOPEZ-SANCHESZ</v>
      </c>
      <c r="G278" s="1">
        <v>390</v>
      </c>
      <c r="H278" t="str">
        <f>"TRANSPORT/O. LOPEZ-SANCHESZ"</f>
        <v>TRANSPORT/O. LOPEZ-SANCHESZ</v>
      </c>
    </row>
    <row r="279" spans="1:8" x14ac:dyDescent="0.25">
      <c r="E279" t="str">
        <f>"2021025"</f>
        <v>2021025</v>
      </c>
      <c r="F279" t="str">
        <f>"TRANSPORT/ T. MARTIN"</f>
        <v>TRANSPORT/ T. MARTIN</v>
      </c>
      <c r="G279" s="1">
        <v>390</v>
      </c>
      <c r="H279" t="str">
        <f>"TRANSPORT/ T. MARTIN"</f>
        <v>TRANSPORT/ T. MARTIN</v>
      </c>
    </row>
    <row r="280" spans="1:8" x14ac:dyDescent="0.25">
      <c r="E280" t="str">
        <f>"2021027"</f>
        <v>2021027</v>
      </c>
      <c r="F280" t="str">
        <f>"TRANSPORT/S. MCQUEENEY"</f>
        <v>TRANSPORT/S. MCQUEENEY</v>
      </c>
      <c r="G280" s="1">
        <v>95</v>
      </c>
      <c r="H280" t="str">
        <f>"TRANSPORT/S. MCQUEENEY"</f>
        <v>TRANSPORT/S. MCQUEENEY</v>
      </c>
    </row>
    <row r="281" spans="1:8" x14ac:dyDescent="0.25">
      <c r="E281" t="str">
        <f>"2021032"</f>
        <v>2021032</v>
      </c>
      <c r="F281" t="str">
        <f>"TRANSPORT/M. JONES"</f>
        <v>TRANSPORT/M. JONES</v>
      </c>
      <c r="G281" s="1">
        <v>390</v>
      </c>
      <c r="H281" t="str">
        <f>"TRANSPORT/M. JONES"</f>
        <v>TRANSPORT/M. JONES</v>
      </c>
    </row>
    <row r="282" spans="1:8" x14ac:dyDescent="0.25">
      <c r="E282" t="str">
        <f>"2021033"</f>
        <v>2021033</v>
      </c>
      <c r="F282" t="str">
        <f>"TRANSPORT/M. JONES"</f>
        <v>TRANSPORT/M. JONES</v>
      </c>
      <c r="G282" s="1">
        <v>695</v>
      </c>
      <c r="H282" t="str">
        <f>"TRANSPORT/M. JONES"</f>
        <v>TRANSPORT/M. JONES</v>
      </c>
    </row>
    <row r="283" spans="1:8" x14ac:dyDescent="0.25">
      <c r="E283" t="str">
        <f>"2021040"</f>
        <v>2021040</v>
      </c>
      <c r="F283" t="str">
        <f>"TRANSPORT/UNKNOWN RISENHOOVER"</f>
        <v>TRANSPORT/UNKNOWN RISENHOOVER</v>
      </c>
      <c r="G283" s="1">
        <v>495</v>
      </c>
      <c r="H283" t="str">
        <f>"TRANSPORT/UNKNOWN RISENHOOVER"</f>
        <v>TRANSPORT/UNKNOWN RISENHOOVER</v>
      </c>
    </row>
    <row r="284" spans="1:8" x14ac:dyDescent="0.25">
      <c r="E284" t="str">
        <f>"2021041"</f>
        <v>2021041</v>
      </c>
      <c r="F284" t="str">
        <f>"TRANSPORT/UNKNOWN BUKOWSKI"</f>
        <v>TRANSPORT/UNKNOWN BUKOWSKI</v>
      </c>
      <c r="G284" s="1">
        <v>390</v>
      </c>
      <c r="H284" t="str">
        <f>"TRANSPORT/UNKNOWN BUKOWSKI"</f>
        <v>TRANSPORT/UNKNOWN BUKOWSKI</v>
      </c>
    </row>
    <row r="285" spans="1:8" x14ac:dyDescent="0.25">
      <c r="E285" t="str">
        <f>"2021047"</f>
        <v>2021047</v>
      </c>
      <c r="F285" t="str">
        <f>"TRANSPORT/NOE NEJERA"</f>
        <v>TRANSPORT/NOE NEJERA</v>
      </c>
      <c r="G285" s="1">
        <v>495</v>
      </c>
      <c r="H285" t="str">
        <f>"TRANSPORT/NOE NEJERA"</f>
        <v>TRANSPORT/NOE NEJERA</v>
      </c>
    </row>
    <row r="286" spans="1:8" x14ac:dyDescent="0.25">
      <c r="E286" t="str">
        <f>"2021048"</f>
        <v>2021048</v>
      </c>
      <c r="F286" t="str">
        <f>"TRANSPORT/E. WEILERT"</f>
        <v>TRANSPORT/E. WEILERT</v>
      </c>
      <c r="G286" s="1">
        <v>495</v>
      </c>
      <c r="H286" t="str">
        <f>"TRANSPORT/E. WEILERT"</f>
        <v>TRANSPORT/E. WEILERT</v>
      </c>
    </row>
    <row r="287" spans="1:8" x14ac:dyDescent="0.25">
      <c r="E287" t="str">
        <f>"2021052"</f>
        <v>2021052</v>
      </c>
      <c r="F287" t="str">
        <f>"TRANSPORT/T.COX"</f>
        <v>TRANSPORT/T.COX</v>
      </c>
      <c r="G287" s="1">
        <v>695</v>
      </c>
      <c r="H287" t="str">
        <f>"TRANSPORT/T.COX"</f>
        <v>TRANSPORT/T.COX</v>
      </c>
    </row>
    <row r="288" spans="1:8" x14ac:dyDescent="0.25">
      <c r="E288" t="str">
        <f>"2021059"</f>
        <v>2021059</v>
      </c>
      <c r="F288" t="str">
        <f>"TRANSPORT/A. MENDOZA"</f>
        <v>TRANSPORT/A. MENDOZA</v>
      </c>
      <c r="G288" s="1">
        <v>390</v>
      </c>
      <c r="H288" t="str">
        <f>"TRANSPORT/A. MENDOZA"</f>
        <v>TRANSPORT/A. MENDOZA</v>
      </c>
    </row>
    <row r="289" spans="1:8" x14ac:dyDescent="0.25">
      <c r="E289" t="str">
        <f>"2021060"</f>
        <v>2021060</v>
      </c>
      <c r="F289" t="str">
        <f>"TRANSPORT/M. HERNANDEZ"</f>
        <v>TRANSPORT/M. HERNANDEZ</v>
      </c>
      <c r="G289" s="1">
        <v>390</v>
      </c>
      <c r="H289" t="str">
        <f>"TRANSPORT/M. HERNANDEZ"</f>
        <v>TRANSPORT/M. HERNANDEZ</v>
      </c>
    </row>
    <row r="290" spans="1:8" x14ac:dyDescent="0.25">
      <c r="E290" t="str">
        <f>"2021061"</f>
        <v>2021061</v>
      </c>
      <c r="F290" t="str">
        <f>"TRANSPORT/L. PADRON"</f>
        <v>TRANSPORT/L. PADRON</v>
      </c>
      <c r="G290" s="1">
        <v>640</v>
      </c>
      <c r="H290" t="str">
        <f>"TRANSPORT/L. PADRON"</f>
        <v>TRANSPORT/L. PADRON</v>
      </c>
    </row>
    <row r="291" spans="1:8" x14ac:dyDescent="0.25">
      <c r="E291" t="str">
        <f>"2021062"</f>
        <v>2021062</v>
      </c>
      <c r="F291" t="str">
        <f>"TRANSPORT/ GREGORY WAGNER"</f>
        <v>TRANSPORT/ GREGORY WAGNER</v>
      </c>
      <c r="G291" s="1">
        <v>390</v>
      </c>
      <c r="H291" t="str">
        <f>"TRANSPORT/ GREGORY WAGNER"</f>
        <v>TRANSPORT/ GREGORY WAGNER</v>
      </c>
    </row>
    <row r="292" spans="1:8" x14ac:dyDescent="0.25">
      <c r="E292" t="str">
        <f>"2021063"</f>
        <v>2021063</v>
      </c>
      <c r="F292" t="str">
        <f>"TRANSPORT/SANDRA CARAWAY"</f>
        <v>TRANSPORT/SANDRA CARAWAY</v>
      </c>
      <c r="G292" s="1">
        <v>640</v>
      </c>
      <c r="H292" t="str">
        <f>"TRANSPORT/SANDRA CARAWAY"</f>
        <v>TRANSPORT/SANDRA CARAWAY</v>
      </c>
    </row>
    <row r="293" spans="1:8" x14ac:dyDescent="0.25">
      <c r="E293" t="str">
        <f>"2021064"</f>
        <v>2021064</v>
      </c>
      <c r="F293" t="str">
        <f>"TRANSPORT/STEWERT DUVAL"</f>
        <v>TRANSPORT/STEWERT DUVAL</v>
      </c>
      <c r="G293" s="1">
        <v>295</v>
      </c>
      <c r="H293" t="str">
        <f>"TRANSPORT/STEWERT DUVAL"</f>
        <v>TRANSPORT/STEWERT DUVAL</v>
      </c>
    </row>
    <row r="294" spans="1:8" x14ac:dyDescent="0.25">
      <c r="E294" t="str">
        <f>"2021068"</f>
        <v>2021068</v>
      </c>
      <c r="F294" t="str">
        <f>"TRANSPORT/ LARRY BERRY"</f>
        <v>TRANSPORT/ LARRY BERRY</v>
      </c>
      <c r="G294" s="1">
        <v>640</v>
      </c>
      <c r="H294" t="str">
        <f>"TRANSPORT/ LARRY BERRY"</f>
        <v>TRANSPORT/ LARRY BERRY</v>
      </c>
    </row>
    <row r="295" spans="1:8" x14ac:dyDescent="0.25">
      <c r="E295" t="str">
        <f>"2021072"</f>
        <v>2021072</v>
      </c>
      <c r="F295" t="str">
        <f>"TRANSPORT/ALEX GARCIA-REYES"</f>
        <v>TRANSPORT/ALEX GARCIA-REYES</v>
      </c>
      <c r="G295" s="1">
        <v>640</v>
      </c>
      <c r="H295" t="str">
        <f>"TRANSPORT/ALEX GARCIA-REYES"</f>
        <v>TRANSPORT/ALEX GARCIA-REYES</v>
      </c>
    </row>
    <row r="296" spans="1:8" x14ac:dyDescent="0.25">
      <c r="E296" t="str">
        <f>"2021073"</f>
        <v>2021073</v>
      </c>
      <c r="F296" t="str">
        <f>"TRANSPORT/EDWARD BROWN"</f>
        <v>TRANSPORT/EDWARD BROWN</v>
      </c>
      <c r="G296" s="1">
        <v>390</v>
      </c>
      <c r="H296" t="str">
        <f>"TRANSPORT/EDWARD BROWN"</f>
        <v>TRANSPORT/EDWARD BROWN</v>
      </c>
    </row>
    <row r="297" spans="1:8" x14ac:dyDescent="0.25">
      <c r="A297" t="s">
        <v>51</v>
      </c>
      <c r="B297">
        <v>4252</v>
      </c>
      <c r="C297" s="1">
        <v>4165.9799999999996</v>
      </c>
      <c r="D297" s="6">
        <v>44299</v>
      </c>
      <c r="E297" t="str">
        <f>"202104052403"</f>
        <v>202104052403</v>
      </c>
      <c r="F297" t="str">
        <f>"FEB-MARCH SERVICES"</f>
        <v>FEB-MARCH SERVICES</v>
      </c>
      <c r="G297" s="1">
        <v>472.5</v>
      </c>
      <c r="H297" t="str">
        <f>"FEB-MARCH SERVICES"</f>
        <v>FEB-MARCH SERVICES</v>
      </c>
    </row>
    <row r="298" spans="1:8" x14ac:dyDescent="0.25">
      <c r="E298" t="str">
        <f>"202104062476"</f>
        <v>202104062476</v>
      </c>
      <c r="F298" t="str">
        <f>"FEB - MARCH SERVICES"</f>
        <v>FEB - MARCH SERVICES</v>
      </c>
      <c r="G298" s="1">
        <v>3693.48</v>
      </c>
      <c r="H298" t="str">
        <f>"FEB-MARCH (JAIL)"</f>
        <v>FEB-MARCH (JAIL)</v>
      </c>
    </row>
    <row r="299" spans="1:8" x14ac:dyDescent="0.25">
      <c r="E299" t="str">
        <f>""</f>
        <v/>
      </c>
      <c r="F299" t="str">
        <f>""</f>
        <v/>
      </c>
      <c r="H299" t="str">
        <f>"FEB - MARCH (LE)"</f>
        <v>FEB - MARCH (LE)</v>
      </c>
    </row>
    <row r="300" spans="1:8" x14ac:dyDescent="0.25">
      <c r="A300" t="s">
        <v>52</v>
      </c>
      <c r="B300">
        <v>135119</v>
      </c>
      <c r="C300" s="1">
        <v>2658</v>
      </c>
      <c r="D300" s="6">
        <v>44298</v>
      </c>
      <c r="E300" t="str">
        <f>"202103242268"</f>
        <v>202103242268</v>
      </c>
      <c r="F300" t="str">
        <f>"CASE MI-14956"</f>
        <v>CASE MI-14956</v>
      </c>
      <c r="G300" s="1">
        <v>986</v>
      </c>
      <c r="H300" t="str">
        <f>"CASE MI-14956"</f>
        <v>CASE MI-14956</v>
      </c>
    </row>
    <row r="301" spans="1:8" x14ac:dyDescent="0.25">
      <c r="E301" t="str">
        <f>"202103312388"</f>
        <v>202103312388</v>
      </c>
      <c r="F301" t="str">
        <f>"MI-14993"</f>
        <v>MI-14993</v>
      </c>
      <c r="G301" s="1">
        <v>686</v>
      </c>
      <c r="H301" t="str">
        <f>"MI-14993"</f>
        <v>MI-14993</v>
      </c>
    </row>
    <row r="302" spans="1:8" x14ac:dyDescent="0.25">
      <c r="E302" t="str">
        <f>"202104072488"</f>
        <v>202104072488</v>
      </c>
      <c r="F302" t="str">
        <f>"MH CASE 14977 G. HERNANDEZ"</f>
        <v>MH CASE 14977 G. HERNANDEZ</v>
      </c>
      <c r="G302" s="1">
        <v>986</v>
      </c>
      <c r="H302" t="str">
        <f>"MH CASE 14977 G. HERNANDEZ"</f>
        <v>MH CASE 14977 G. HERNANDEZ</v>
      </c>
    </row>
    <row r="303" spans="1:8" x14ac:dyDescent="0.25">
      <c r="A303" t="s">
        <v>53</v>
      </c>
      <c r="B303">
        <v>135120</v>
      </c>
      <c r="C303" s="1">
        <v>1634.68</v>
      </c>
      <c r="D303" s="6">
        <v>44298</v>
      </c>
      <c r="E303" t="str">
        <f>"75864282"</f>
        <v>75864282</v>
      </c>
      <c r="F303" t="str">
        <f>"INV 75864282"</f>
        <v>INV 75864282</v>
      </c>
      <c r="G303" s="1">
        <v>1634.68</v>
      </c>
      <c r="H303" t="str">
        <f>"INV 75864282"</f>
        <v>INV 75864282</v>
      </c>
    </row>
    <row r="304" spans="1:8" x14ac:dyDescent="0.25">
      <c r="E304" t="str">
        <f>""</f>
        <v/>
      </c>
      <c r="F304" t="str">
        <f>""</f>
        <v/>
      </c>
      <c r="H304" t="str">
        <f>"INV 75870427"</f>
        <v>INV 75870427</v>
      </c>
    </row>
    <row r="305" spans="1:8" x14ac:dyDescent="0.25">
      <c r="E305" t="str">
        <f>""</f>
        <v/>
      </c>
      <c r="F305" t="str">
        <f>""</f>
        <v/>
      </c>
      <c r="H305" t="str">
        <f>"INV 75872754"</f>
        <v>INV 75872754</v>
      </c>
    </row>
    <row r="306" spans="1:8" x14ac:dyDescent="0.25">
      <c r="E306" t="str">
        <f>""</f>
        <v/>
      </c>
      <c r="F306" t="str">
        <f>""</f>
        <v/>
      </c>
      <c r="H306" t="str">
        <f>"INV 75881970"</f>
        <v>INV 75881970</v>
      </c>
    </row>
    <row r="307" spans="1:8" x14ac:dyDescent="0.25">
      <c r="E307" t="str">
        <f>""</f>
        <v/>
      </c>
      <c r="F307" t="str">
        <f>""</f>
        <v/>
      </c>
      <c r="H307" t="str">
        <f>"INV 75883430"</f>
        <v>INV 75883430</v>
      </c>
    </row>
    <row r="308" spans="1:8" x14ac:dyDescent="0.25">
      <c r="A308" t="s">
        <v>53</v>
      </c>
      <c r="B308">
        <v>135289</v>
      </c>
      <c r="C308" s="1">
        <v>1750.74</v>
      </c>
      <c r="D308" s="6">
        <v>44312</v>
      </c>
      <c r="E308" t="str">
        <f>"75889545"</f>
        <v>75889545</v>
      </c>
      <c r="F308" t="str">
        <f>"INV 75889545  75898981  7"</f>
        <v>INV 75889545  75898981  7</v>
      </c>
      <c r="G308" s="1">
        <v>1750.74</v>
      </c>
      <c r="H308" t="str">
        <f>"INV 75889545"</f>
        <v>INV 75889545</v>
      </c>
    </row>
    <row r="309" spans="1:8" x14ac:dyDescent="0.25">
      <c r="E309" t="str">
        <f>""</f>
        <v/>
      </c>
      <c r="F309" t="str">
        <f>""</f>
        <v/>
      </c>
      <c r="H309" t="str">
        <f>"INV 75898981"</f>
        <v>INV 75898981</v>
      </c>
    </row>
    <row r="310" spans="1:8" x14ac:dyDescent="0.25">
      <c r="E310" t="str">
        <f>""</f>
        <v/>
      </c>
      <c r="F310" t="str">
        <f>""</f>
        <v/>
      </c>
      <c r="H310" t="str">
        <f>"INV 75908186"</f>
        <v>INV 75908186</v>
      </c>
    </row>
    <row r="311" spans="1:8" x14ac:dyDescent="0.25">
      <c r="A311" t="s">
        <v>54</v>
      </c>
      <c r="B311">
        <v>4311</v>
      </c>
      <c r="C311" s="1">
        <v>1603.79</v>
      </c>
      <c r="D311" s="6">
        <v>44299</v>
      </c>
      <c r="E311" t="str">
        <f>"25121"</f>
        <v>25121</v>
      </c>
      <c r="F311" t="str">
        <f>"INV 25121"</f>
        <v>INV 25121</v>
      </c>
      <c r="G311" s="1">
        <v>1603.79</v>
      </c>
      <c r="H311" t="str">
        <f>"INV 25121"</f>
        <v>INV 25121</v>
      </c>
    </row>
    <row r="312" spans="1:8" x14ac:dyDescent="0.25">
      <c r="A312" t="s">
        <v>54</v>
      </c>
      <c r="B312">
        <v>4383</v>
      </c>
      <c r="C312" s="1">
        <v>2504.0300000000002</v>
      </c>
      <c r="D312" s="6">
        <v>44313</v>
      </c>
      <c r="E312" t="str">
        <f>"25074"</f>
        <v>25074</v>
      </c>
      <c r="F312" t="str">
        <f>"INV 25074"</f>
        <v>INV 25074</v>
      </c>
      <c r="G312" s="1">
        <v>2504.0300000000002</v>
      </c>
      <c r="H312" t="str">
        <f>"INV 25074"</f>
        <v>INV 25074</v>
      </c>
    </row>
    <row r="313" spans="1:8" x14ac:dyDescent="0.25">
      <c r="A313" t="s">
        <v>55</v>
      </c>
      <c r="B313">
        <v>135121</v>
      </c>
      <c r="C313" s="1">
        <v>13986.54</v>
      </c>
      <c r="D313" s="6">
        <v>44298</v>
      </c>
      <c r="E313" t="str">
        <f>"51257081"</f>
        <v>51257081</v>
      </c>
      <c r="F313" t="str">
        <f>"CUST#C27745/PCT#1"</f>
        <v>CUST#C27745/PCT#1</v>
      </c>
      <c r="G313" s="1">
        <v>7596.54</v>
      </c>
      <c r="H313" t="str">
        <f>"CUST#C27745/PCT#1"</f>
        <v>CUST#C27745/PCT#1</v>
      </c>
    </row>
    <row r="314" spans="1:8" x14ac:dyDescent="0.25">
      <c r="E314" t="str">
        <f>"S1257835"</f>
        <v>S1257835</v>
      </c>
      <c r="F314" t="str">
        <f>"CUST#C27762/PCT#2"</f>
        <v>CUST#C27762/PCT#2</v>
      </c>
      <c r="G314" s="1">
        <v>6390</v>
      </c>
      <c r="H314" t="str">
        <f>"CUST#C27762/PCT#2"</f>
        <v>CUST#C27762/PCT#2</v>
      </c>
    </row>
    <row r="315" spans="1:8" x14ac:dyDescent="0.25">
      <c r="A315" t="s">
        <v>55</v>
      </c>
      <c r="B315">
        <v>135290</v>
      </c>
      <c r="C315" s="1">
        <v>14204.88</v>
      </c>
      <c r="D315" s="6">
        <v>44312</v>
      </c>
      <c r="E315" t="str">
        <f>"51258387"</f>
        <v>51258387</v>
      </c>
      <c r="F315" t="str">
        <f>"FLEX BASE/PCT#1"</f>
        <v>FLEX BASE/PCT#1</v>
      </c>
      <c r="G315" s="1">
        <v>5485.86</v>
      </c>
      <c r="H315" t="str">
        <f>"FLEX BASE/PCT#1"</f>
        <v>FLEX BASE/PCT#1</v>
      </c>
    </row>
    <row r="316" spans="1:8" x14ac:dyDescent="0.25">
      <c r="E316" t="str">
        <f>"S1259628"</f>
        <v>S1259628</v>
      </c>
      <c r="F316" t="str">
        <f>"CUST#C27745/PCT#1"</f>
        <v>CUST#C27745/PCT#1</v>
      </c>
      <c r="G316" s="1">
        <v>363.87</v>
      </c>
      <c r="H316" t="str">
        <f>"CUST#C27745/PCT#1"</f>
        <v>CUST#C27745/PCT#1</v>
      </c>
    </row>
    <row r="317" spans="1:8" x14ac:dyDescent="0.25">
      <c r="E317" t="str">
        <f>"S1259631"</f>
        <v>S1259631</v>
      </c>
      <c r="F317" t="str">
        <f>"CUST#C27762/PCT#2"</f>
        <v>CUST#C27762/PCT#2</v>
      </c>
      <c r="G317" s="1">
        <v>8355.15</v>
      </c>
      <c r="H317" t="str">
        <f>"CUST#C27762/PCT#2"</f>
        <v>CUST#C27762/PCT#2</v>
      </c>
    </row>
    <row r="318" spans="1:8" x14ac:dyDescent="0.25">
      <c r="A318" t="s">
        <v>56</v>
      </c>
      <c r="B318">
        <v>4276</v>
      </c>
      <c r="C318" s="1">
        <v>1271.18</v>
      </c>
      <c r="D318" s="6">
        <v>44299</v>
      </c>
      <c r="E318" t="str">
        <f>"5846"</f>
        <v>5846</v>
      </c>
      <c r="F318" t="str">
        <f>"2002 INERNATIONAL/PCT#1"</f>
        <v>2002 INERNATIONAL/PCT#1</v>
      </c>
      <c r="G318" s="1">
        <v>311.8</v>
      </c>
      <c r="H318" t="str">
        <f>"2002 INERNATIONAL/PCT#1"</f>
        <v>2002 INERNATIONAL/PCT#1</v>
      </c>
    </row>
    <row r="319" spans="1:8" x14ac:dyDescent="0.25">
      <c r="E319" t="str">
        <f>"5881"</f>
        <v>5881</v>
      </c>
      <c r="F319" t="str">
        <f>"BRUSH MOWER/PCT#4"</f>
        <v>BRUSH MOWER/PCT#4</v>
      </c>
      <c r="G319" s="1">
        <v>105</v>
      </c>
      <c r="H319" t="str">
        <f>"BRUSH MOWER/PCT#4"</f>
        <v>BRUSH MOWER/PCT#4</v>
      </c>
    </row>
    <row r="320" spans="1:8" x14ac:dyDescent="0.25">
      <c r="E320" t="str">
        <f>"5886"</f>
        <v>5886</v>
      </c>
      <c r="F320" t="str">
        <f>"2017 INTERNATIONAL/PCT#1"</f>
        <v>2017 INTERNATIONAL/PCT#1</v>
      </c>
      <c r="G320" s="1">
        <v>539.38</v>
      </c>
      <c r="H320" t="str">
        <f>"2017 INTERNATIONAL/PCT#1"</f>
        <v>2017 INTERNATIONAL/PCT#1</v>
      </c>
    </row>
    <row r="321" spans="1:8" x14ac:dyDescent="0.25">
      <c r="E321" t="str">
        <f>"5915"</f>
        <v>5915</v>
      </c>
      <c r="F321" t="str">
        <f>"ADJUST CLUTCH/PCT#4"</f>
        <v>ADJUST CLUTCH/PCT#4</v>
      </c>
      <c r="G321" s="1">
        <v>105</v>
      </c>
      <c r="H321" t="str">
        <f>"ADJUST CLUTCH/PCT#4"</f>
        <v>ADJUST CLUTCH/PCT#4</v>
      </c>
    </row>
    <row r="322" spans="1:8" x14ac:dyDescent="0.25">
      <c r="E322" t="str">
        <f>"5916"</f>
        <v>5916</v>
      </c>
      <c r="F322" t="str">
        <f>"INSTALL BET/HUB BEARING"</f>
        <v>INSTALL BET/HUB BEARING</v>
      </c>
      <c r="G322" s="1">
        <v>210</v>
      </c>
      <c r="H322" t="str">
        <f>"INSTALL BET/HUB BEARING"</f>
        <v>INSTALL BET/HUB BEARING</v>
      </c>
    </row>
    <row r="323" spans="1:8" x14ac:dyDescent="0.25">
      <c r="A323" t="s">
        <v>56</v>
      </c>
      <c r="B323">
        <v>4351</v>
      </c>
      <c r="C323" s="1">
        <v>1120</v>
      </c>
      <c r="D323" s="6">
        <v>44313</v>
      </c>
      <c r="E323" t="str">
        <f>"5848"</f>
        <v>5848</v>
      </c>
      <c r="F323" t="str">
        <f>"LABOR#2004 GMC/PCT#4"</f>
        <v>LABOR#2004 GMC/PCT#4</v>
      </c>
      <c r="G323" s="1">
        <v>860</v>
      </c>
      <c r="H323" t="str">
        <f>"LABOR#2004 GMC/PCT#4"</f>
        <v>LABOR#2004 GMC/PCT#4</v>
      </c>
    </row>
    <row r="324" spans="1:8" x14ac:dyDescent="0.25">
      <c r="E324" t="str">
        <f>"5925"</f>
        <v>5925</v>
      </c>
      <c r="F324" t="str">
        <f>"LABOR/2004 FORD/PCT#4"</f>
        <v>LABOR/2004 FORD/PCT#4</v>
      </c>
      <c r="G324" s="1">
        <v>155</v>
      </c>
      <c r="H324" t="str">
        <f>"LABOR/2004 FORD/PCT#4"</f>
        <v>LABOR/2004 FORD/PCT#4</v>
      </c>
    </row>
    <row r="325" spans="1:8" x14ac:dyDescent="0.25">
      <c r="E325" t="str">
        <f>"5940"</f>
        <v>5940</v>
      </c>
      <c r="F325" t="str">
        <f>"LABOR/2002 FORD 4985/PCT#4"</f>
        <v>LABOR/2002 FORD 4985/PCT#4</v>
      </c>
      <c r="G325" s="1">
        <v>105</v>
      </c>
      <c r="H325" t="str">
        <f>"LABOR/2002 FORD 4985/PCT#4"</f>
        <v>LABOR/2002 FORD 4985/PCT#4</v>
      </c>
    </row>
    <row r="326" spans="1:8" x14ac:dyDescent="0.25">
      <c r="A326" t="s">
        <v>57</v>
      </c>
      <c r="B326">
        <v>135122</v>
      </c>
      <c r="C326" s="1">
        <v>654.94000000000005</v>
      </c>
      <c r="D326" s="6">
        <v>44298</v>
      </c>
      <c r="E326" t="str">
        <f>"84078908322"</f>
        <v>84078908322</v>
      </c>
      <c r="F326" t="str">
        <f>"INV 84078908322"</f>
        <v>INV 84078908322</v>
      </c>
      <c r="G326" s="1">
        <v>654.94000000000005</v>
      </c>
      <c r="H326" t="str">
        <f>"INV 84078908322"</f>
        <v>INV 84078908322</v>
      </c>
    </row>
    <row r="327" spans="1:8" x14ac:dyDescent="0.25">
      <c r="E327" t="str">
        <f>""</f>
        <v/>
      </c>
      <c r="F327" t="str">
        <f>""</f>
        <v/>
      </c>
      <c r="H327" t="str">
        <f>"INV 84078908393"</f>
        <v>INV 84078908393</v>
      </c>
    </row>
    <row r="328" spans="1:8" x14ac:dyDescent="0.25">
      <c r="E328" t="str">
        <f>""</f>
        <v/>
      </c>
      <c r="F328" t="str">
        <f>""</f>
        <v/>
      </c>
      <c r="H328" t="str">
        <f>"INV 84078908434"</f>
        <v>INV 84078908434</v>
      </c>
    </row>
    <row r="329" spans="1:8" x14ac:dyDescent="0.25">
      <c r="A329" t="s">
        <v>57</v>
      </c>
      <c r="B329">
        <v>135291</v>
      </c>
      <c r="C329" s="1">
        <v>443.58</v>
      </c>
      <c r="D329" s="6">
        <v>44312</v>
      </c>
      <c r="E329" t="str">
        <f>"84078908492"</f>
        <v>84078908492</v>
      </c>
      <c r="F329" t="str">
        <f>"INV 84078908492  84078908"</f>
        <v>INV 84078908492  84078908</v>
      </c>
      <c r="G329" s="1">
        <v>443.58</v>
      </c>
      <c r="H329" t="str">
        <f>"INV 84078908492"</f>
        <v>INV 84078908492</v>
      </c>
    </row>
    <row r="330" spans="1:8" x14ac:dyDescent="0.25">
      <c r="E330" t="str">
        <f>""</f>
        <v/>
      </c>
      <c r="F330" t="str">
        <f>""</f>
        <v/>
      </c>
      <c r="H330" t="str">
        <f>"INV 84078908550"</f>
        <v>INV 84078908550</v>
      </c>
    </row>
    <row r="331" spans="1:8" x14ac:dyDescent="0.25">
      <c r="A331" t="s">
        <v>58</v>
      </c>
      <c r="B331">
        <v>4272</v>
      </c>
      <c r="C331" s="1">
        <v>756.25</v>
      </c>
      <c r="D331" s="6">
        <v>44299</v>
      </c>
      <c r="E331" t="str">
        <f>"202104062458"</f>
        <v>202104062458</v>
      </c>
      <c r="F331" t="str">
        <f>"57-206"</f>
        <v>57-206</v>
      </c>
      <c r="G331" s="1">
        <v>506.25</v>
      </c>
      <c r="H331" t="str">
        <f>"57-206"</f>
        <v>57-206</v>
      </c>
    </row>
    <row r="332" spans="1:8" x14ac:dyDescent="0.25">
      <c r="E332" t="str">
        <f>"202104062459"</f>
        <v>202104062459</v>
      </c>
      <c r="F332" t="str">
        <f>"02-0825-3"</f>
        <v>02-0825-3</v>
      </c>
      <c r="G332" s="1">
        <v>250</v>
      </c>
      <c r="H332" t="str">
        <f>"02-0825-3"</f>
        <v>02-0825-3</v>
      </c>
    </row>
    <row r="333" spans="1:8" x14ac:dyDescent="0.25">
      <c r="A333" t="s">
        <v>59</v>
      </c>
      <c r="B333">
        <v>135292</v>
      </c>
      <c r="C333" s="1">
        <v>138.81</v>
      </c>
      <c r="D333" s="6">
        <v>44312</v>
      </c>
      <c r="E333" t="str">
        <f>"202104212794"</f>
        <v>202104212794</v>
      </c>
      <c r="F333" t="str">
        <f>"CRIMSTOPPER FEES MARCH 2021"</f>
        <v>CRIMSTOPPER FEES MARCH 2021</v>
      </c>
      <c r="G333" s="1">
        <v>138.81</v>
      </c>
      <c r="H333" t="str">
        <f>"CRIMSTOPPER FEES MARCH 2021"</f>
        <v>CRIMSTOPPER FEES MARCH 2021</v>
      </c>
    </row>
    <row r="334" spans="1:8" x14ac:dyDescent="0.25">
      <c r="A334" t="s">
        <v>60</v>
      </c>
      <c r="B334">
        <v>135123</v>
      </c>
      <c r="C334" s="1">
        <v>2539.6</v>
      </c>
      <c r="D334" s="6">
        <v>44298</v>
      </c>
      <c r="E334" t="str">
        <f>"80668110"</f>
        <v>80668110</v>
      </c>
      <c r="F334" t="str">
        <f>"CUST#4000038192"</f>
        <v>CUST#4000038192</v>
      </c>
      <c r="G334" s="1">
        <v>2539.6</v>
      </c>
      <c r="H334" t="str">
        <f>"CUST#4000038192"</f>
        <v>CUST#4000038192</v>
      </c>
    </row>
    <row r="335" spans="1:8" x14ac:dyDescent="0.25">
      <c r="A335" t="s">
        <v>60</v>
      </c>
      <c r="B335">
        <v>135268</v>
      </c>
      <c r="C335" s="1">
        <v>3334.57</v>
      </c>
      <c r="D335" s="6">
        <v>44299</v>
      </c>
      <c r="E335" t="str">
        <f>"202104082592"</f>
        <v>202104082592</v>
      </c>
      <c r="F335" t="str">
        <f>"ACCT#55000090397/04012021"</f>
        <v>ACCT#55000090397/04012021</v>
      </c>
      <c r="G335" s="1">
        <v>145.66999999999999</v>
      </c>
      <c r="H335" t="str">
        <f>"BLUEBONNET ELECTRIC COOPERATIV"</f>
        <v>BLUEBONNET ELECTRIC COOPERATIV</v>
      </c>
    </row>
    <row r="336" spans="1:8" x14ac:dyDescent="0.25">
      <c r="E336" t="str">
        <f>"202104132601"</f>
        <v>202104132601</v>
      </c>
      <c r="F336" t="str">
        <f>"ACCT#5000057374 / 04042021"</f>
        <v>ACCT#5000057374 / 04042021</v>
      </c>
      <c r="G336" s="1">
        <v>3188.9</v>
      </c>
      <c r="H336" t="str">
        <f>"ACCT#5000057374 / 04042021"</f>
        <v>ACCT#5000057374 / 04042021</v>
      </c>
    </row>
    <row r="337" spans="1:8" x14ac:dyDescent="0.25">
      <c r="E337" t="str">
        <f>""</f>
        <v/>
      </c>
      <c r="F337" t="str">
        <f>""</f>
        <v/>
      </c>
      <c r="H337" t="str">
        <f>"ACCT#5000057374 / 04042021"</f>
        <v>ACCT#5000057374 / 04042021</v>
      </c>
    </row>
    <row r="338" spans="1:8" x14ac:dyDescent="0.25">
      <c r="E338" t="str">
        <f>""</f>
        <v/>
      </c>
      <c r="F338" t="str">
        <f>""</f>
        <v/>
      </c>
      <c r="H338" t="str">
        <f>"ACCT#5000057374 / 04042021"</f>
        <v>ACCT#5000057374 / 04042021</v>
      </c>
    </row>
    <row r="339" spans="1:8" x14ac:dyDescent="0.25">
      <c r="E339" t="str">
        <f>""</f>
        <v/>
      </c>
      <c r="F339" t="str">
        <f>""</f>
        <v/>
      </c>
      <c r="H339" t="str">
        <f>"ACCT#5000057374 / 04042021"</f>
        <v>ACCT#5000057374 / 04042021</v>
      </c>
    </row>
    <row r="340" spans="1:8" x14ac:dyDescent="0.25">
      <c r="A340" t="s">
        <v>61</v>
      </c>
      <c r="B340">
        <v>4317</v>
      </c>
      <c r="C340" s="1">
        <v>34794.519999999997</v>
      </c>
      <c r="D340" s="6">
        <v>44299</v>
      </c>
      <c r="E340" t="str">
        <f>"202103242264"</f>
        <v>202103242264</v>
      </c>
      <c r="F340" t="str">
        <f>"HOME VISIT GTRANT/REIMBURSEMEN"</f>
        <v>HOME VISIT GTRANT/REIMBURSEMEN</v>
      </c>
      <c r="G340" s="1">
        <v>17895.13</v>
      </c>
      <c r="H340" t="str">
        <f>"HOME VISIT GTRANT/REIMBURSEMEN"</f>
        <v>HOME VISIT GTRANT/REIMBURSEMEN</v>
      </c>
    </row>
    <row r="341" spans="1:8" x14ac:dyDescent="0.25">
      <c r="E341" t="str">
        <f>"202103302362"</f>
        <v>202103302362</v>
      </c>
      <c r="F341" t="str">
        <f>"HOME VISIT GRANT REIMBURSEMENT"</f>
        <v>HOME VISIT GRANT REIMBURSEMENT</v>
      </c>
      <c r="G341" s="1">
        <v>16899.39</v>
      </c>
      <c r="H341" t="str">
        <f>"HOME VISIT GRANT REIMBURSEMENT"</f>
        <v>HOME VISIT GRANT REIMBURSEMENT</v>
      </c>
    </row>
    <row r="342" spans="1:8" x14ac:dyDescent="0.25">
      <c r="A342" t="s">
        <v>61</v>
      </c>
      <c r="B342">
        <v>4390</v>
      </c>
      <c r="C342" s="1">
        <v>1150</v>
      </c>
      <c r="D342" s="6">
        <v>44313</v>
      </c>
      <c r="E342" t="str">
        <f>"25032021"</f>
        <v>25032021</v>
      </c>
      <c r="F342" t="str">
        <f>"INV 25032021"</f>
        <v>INV 25032021</v>
      </c>
      <c r="G342" s="1">
        <v>1150</v>
      </c>
      <c r="H342" t="str">
        <f>"INV 25032021"</f>
        <v>INV 25032021</v>
      </c>
    </row>
    <row r="343" spans="1:8" x14ac:dyDescent="0.25">
      <c r="A343" t="s">
        <v>62</v>
      </c>
      <c r="B343">
        <v>135124</v>
      </c>
      <c r="C343" s="1">
        <v>130</v>
      </c>
      <c r="D343" s="6">
        <v>44298</v>
      </c>
      <c r="E343" t="str">
        <f>"202104072495"</f>
        <v>202104072495</v>
      </c>
      <c r="F343" t="str">
        <f>"REFUND/ANIMAL  BOBBIE JAROCKI"</f>
        <v>REFUND/ANIMAL  BOBBIE JAROCKI</v>
      </c>
      <c r="G343" s="1">
        <v>130</v>
      </c>
      <c r="H343" t="str">
        <f>"REFUND/ANIMAL  BOBBIE JAROCKI"</f>
        <v>REFUND/ANIMAL  BOBBIE JAROCKI</v>
      </c>
    </row>
    <row r="344" spans="1:8" x14ac:dyDescent="0.25">
      <c r="A344" t="s">
        <v>63</v>
      </c>
      <c r="B344">
        <v>135125</v>
      </c>
      <c r="C344" s="1">
        <v>18309.04</v>
      </c>
      <c r="D344" s="6">
        <v>44298</v>
      </c>
      <c r="E344" t="str">
        <f>"119851"</f>
        <v>119851</v>
      </c>
      <c r="F344" t="str">
        <f>"ACCT#1267/PCT#2"</f>
        <v>ACCT#1267/PCT#2</v>
      </c>
      <c r="G344" s="1">
        <v>11868</v>
      </c>
      <c r="H344" t="str">
        <f>"ACCT#1267/PCT#2"</f>
        <v>ACCT#1267/PCT#2</v>
      </c>
    </row>
    <row r="345" spans="1:8" x14ac:dyDescent="0.25">
      <c r="E345" t="str">
        <f>"119852"</f>
        <v>119852</v>
      </c>
      <c r="F345" t="str">
        <f>"ACCT#1268/PCT#3"</f>
        <v>ACCT#1268/PCT#3</v>
      </c>
      <c r="G345" s="1">
        <v>717.2</v>
      </c>
      <c r="H345" t="str">
        <f>"ACCT#1268/PCT#3"</f>
        <v>ACCT#1268/PCT#3</v>
      </c>
    </row>
    <row r="346" spans="1:8" x14ac:dyDescent="0.25">
      <c r="E346" t="str">
        <f>"120195"</f>
        <v>120195</v>
      </c>
      <c r="F346" t="str">
        <f>"ACCT#1267/PCT#2"</f>
        <v>ACCT#1267/PCT#2</v>
      </c>
      <c r="G346" s="1">
        <v>1920</v>
      </c>
      <c r="H346" t="str">
        <f>"ACCT#1267/PCT#2"</f>
        <v>ACCT#1267/PCT#2</v>
      </c>
    </row>
    <row r="347" spans="1:8" x14ac:dyDescent="0.25">
      <c r="E347" t="str">
        <f>"120196"</f>
        <v>120196</v>
      </c>
      <c r="F347" t="str">
        <f>"ACC#1268/PCT#3"</f>
        <v>ACC#1268/PCT#3</v>
      </c>
      <c r="G347" s="1">
        <v>93.2</v>
      </c>
      <c r="H347" t="str">
        <f>"ACC#1268/PCT#3"</f>
        <v>ACC#1268/PCT#3</v>
      </c>
    </row>
    <row r="348" spans="1:8" x14ac:dyDescent="0.25">
      <c r="E348" t="str">
        <f>"120399"</f>
        <v>120399</v>
      </c>
      <c r="F348" t="str">
        <f>"ACCT#1268/PCT#3"</f>
        <v>ACCT#1268/PCT#3</v>
      </c>
      <c r="G348" s="1">
        <v>2966.08</v>
      </c>
      <c r="H348" t="str">
        <f>"ACCT#1268/PCT#3"</f>
        <v>ACCT#1268/PCT#3</v>
      </c>
    </row>
    <row r="349" spans="1:8" x14ac:dyDescent="0.25">
      <c r="E349" t="str">
        <f>"120542"</f>
        <v>120542</v>
      </c>
      <c r="F349" t="str">
        <f>"ACCT#1268/PCT#3"</f>
        <v>ACCT#1268/PCT#3</v>
      </c>
      <c r="G349" s="1">
        <v>744.56</v>
      </c>
      <c r="H349" t="str">
        <f>"ACCT#1268/PCT#3"</f>
        <v>ACCT#1268/PCT#3</v>
      </c>
    </row>
    <row r="350" spans="1:8" x14ac:dyDescent="0.25">
      <c r="A350" t="s">
        <v>63</v>
      </c>
      <c r="B350">
        <v>135293</v>
      </c>
      <c r="C350" s="1">
        <v>2131</v>
      </c>
      <c r="D350" s="6">
        <v>44312</v>
      </c>
      <c r="E350" t="str">
        <f>"120765"</f>
        <v>120765</v>
      </c>
      <c r="F350" t="str">
        <f>"ACCT#1268/PCT#3"</f>
        <v>ACCT#1268/PCT#3</v>
      </c>
      <c r="G350" s="1">
        <v>1020.48</v>
      </c>
      <c r="H350" t="str">
        <f>"ACCT#1268/PCT#3"</f>
        <v>ACCT#1268/PCT#3</v>
      </c>
    </row>
    <row r="351" spans="1:8" x14ac:dyDescent="0.25">
      <c r="E351" t="str">
        <f>"121042"</f>
        <v>121042</v>
      </c>
      <c r="F351" t="str">
        <f>"ACCT#1268/PCT#3"</f>
        <v>ACCT#1268/PCT#3</v>
      </c>
      <c r="G351" s="1">
        <v>1110.52</v>
      </c>
      <c r="H351" t="str">
        <f>"ACCT#1268/PCT#3"</f>
        <v>ACCT#1268/PCT#3</v>
      </c>
    </row>
    <row r="352" spans="1:8" x14ac:dyDescent="0.25">
      <c r="A352" t="s">
        <v>64</v>
      </c>
      <c r="B352">
        <v>4323</v>
      </c>
      <c r="C352" s="1">
        <v>1000</v>
      </c>
      <c r="D352" s="6">
        <v>44299</v>
      </c>
      <c r="E352" t="str">
        <f>"202103242304"</f>
        <v>202103242304</v>
      </c>
      <c r="F352" t="str">
        <f>"BC20201217 / 925-358-9442"</f>
        <v>BC20201217 / 925-358-9442</v>
      </c>
      <c r="G352" s="1">
        <v>250</v>
      </c>
      <c r="H352" t="str">
        <f>"BC20201217 / 925-358-9442"</f>
        <v>BC20201217 / 925-358-9442</v>
      </c>
    </row>
    <row r="353" spans="1:8" x14ac:dyDescent="0.25">
      <c r="E353" t="str">
        <f>"202103242305"</f>
        <v>202103242305</v>
      </c>
      <c r="F353" t="str">
        <f>"1012120129B"</f>
        <v>1012120129B</v>
      </c>
      <c r="G353" s="1">
        <v>250</v>
      </c>
      <c r="H353" t="str">
        <f>"1012120129B"</f>
        <v>1012120129B</v>
      </c>
    </row>
    <row r="354" spans="1:8" x14ac:dyDescent="0.25">
      <c r="E354" t="str">
        <f>"202103242306"</f>
        <v>202103242306</v>
      </c>
      <c r="F354" t="str">
        <f>"57-430"</f>
        <v>57-430</v>
      </c>
      <c r="G354" s="1">
        <v>250</v>
      </c>
      <c r="H354" t="str">
        <f>"57-430"</f>
        <v>57-430</v>
      </c>
    </row>
    <row r="355" spans="1:8" x14ac:dyDescent="0.25">
      <c r="E355" t="str">
        <f>"202103312378"</f>
        <v>202103312378</v>
      </c>
      <c r="F355" t="str">
        <f>"JP110132020 D"</f>
        <v>JP110132020 D</v>
      </c>
      <c r="G355" s="1">
        <v>250</v>
      </c>
      <c r="H355" t="str">
        <f>"JP110132020 D"</f>
        <v>JP110132020 D</v>
      </c>
    </row>
    <row r="356" spans="1:8" x14ac:dyDescent="0.25">
      <c r="A356" t="s">
        <v>64</v>
      </c>
      <c r="B356">
        <v>4394</v>
      </c>
      <c r="C356" s="1">
        <v>1500</v>
      </c>
      <c r="D356" s="6">
        <v>44313</v>
      </c>
      <c r="E356" t="str">
        <f>"202104152637"</f>
        <v>202104152637</v>
      </c>
      <c r="F356" t="str">
        <f>"57-548"</f>
        <v>57-548</v>
      </c>
      <c r="G356" s="1">
        <v>250</v>
      </c>
      <c r="H356" t="str">
        <f>"57-548"</f>
        <v>57-548</v>
      </c>
    </row>
    <row r="357" spans="1:8" x14ac:dyDescent="0.25">
      <c r="E357" t="str">
        <f>"202104152666"</f>
        <v>202104152666</v>
      </c>
      <c r="F357" t="str">
        <f>"57-540"</f>
        <v>57-540</v>
      </c>
      <c r="G357" s="1">
        <v>250</v>
      </c>
      <c r="H357" t="str">
        <f>"57-540"</f>
        <v>57-540</v>
      </c>
    </row>
    <row r="358" spans="1:8" x14ac:dyDescent="0.25">
      <c r="E358" t="str">
        <f>"202104152667"</f>
        <v>202104152667</v>
      </c>
      <c r="F358" t="str">
        <f>"57-430"</f>
        <v>57-430</v>
      </c>
      <c r="G358" s="1">
        <v>250</v>
      </c>
      <c r="H358" t="str">
        <f>"57-430"</f>
        <v>57-430</v>
      </c>
    </row>
    <row r="359" spans="1:8" x14ac:dyDescent="0.25">
      <c r="E359" t="str">
        <f>"202104192738"</f>
        <v>202104192738</v>
      </c>
      <c r="F359" t="str">
        <f>"BC2021217A/925-358-9442"</f>
        <v>BC2021217A/925-358-9442</v>
      </c>
      <c r="G359" s="1">
        <v>250</v>
      </c>
      <c r="H359" t="str">
        <f>"BC2021217A/925-358-9442"</f>
        <v>BC2021217A/925-358-9442</v>
      </c>
    </row>
    <row r="360" spans="1:8" x14ac:dyDescent="0.25">
      <c r="E360" t="str">
        <f>"202104192739"</f>
        <v>202104192739</v>
      </c>
      <c r="F360" t="str">
        <f>"101202019B"</f>
        <v>101202019B</v>
      </c>
      <c r="G360" s="1">
        <v>250</v>
      </c>
      <c r="H360" t="str">
        <f>"101202019B"</f>
        <v>101202019B</v>
      </c>
    </row>
    <row r="361" spans="1:8" x14ac:dyDescent="0.25">
      <c r="E361" t="str">
        <f>"202104202749"</f>
        <v>202104202749</v>
      </c>
      <c r="F361" t="str">
        <f>"JP110132020 D"</f>
        <v>JP110132020 D</v>
      </c>
      <c r="G361" s="1">
        <v>250</v>
      </c>
      <c r="H361" t="str">
        <f>"JP110132020 D"</f>
        <v>JP110132020 D</v>
      </c>
    </row>
    <row r="362" spans="1:8" x14ac:dyDescent="0.25">
      <c r="A362" t="s">
        <v>65</v>
      </c>
      <c r="B362">
        <v>135126</v>
      </c>
      <c r="C362" s="1">
        <v>45</v>
      </c>
      <c r="D362" s="6">
        <v>44298</v>
      </c>
      <c r="E362" t="str">
        <f>"21-20636"</f>
        <v>21-20636</v>
      </c>
      <c r="F362" t="str">
        <f>"CENTRAL ADOPTION REGISTRY FUND"</f>
        <v>CENTRAL ADOPTION REGISTRY FUND</v>
      </c>
      <c r="G362" s="1">
        <v>15</v>
      </c>
      <c r="H362" t="str">
        <f>"CENTRAL ADOPTION REGISTRY FUND"</f>
        <v>CENTRAL ADOPTION REGISTRY FUND</v>
      </c>
    </row>
    <row r="363" spans="1:8" x14ac:dyDescent="0.25">
      <c r="E363" t="str">
        <f>"21-20640"</f>
        <v>21-20640</v>
      </c>
      <c r="F363" t="str">
        <f>"CENTRAL ADOPTION REGISTRY FUND"</f>
        <v>CENTRAL ADOPTION REGISTRY FUND</v>
      </c>
      <c r="G363" s="1">
        <v>15</v>
      </c>
      <c r="H363" t="str">
        <f>"CENTRAL ADOPTION REGISTRY FUND"</f>
        <v>CENTRAL ADOPTION REGISTRY FUND</v>
      </c>
    </row>
    <row r="364" spans="1:8" x14ac:dyDescent="0.25">
      <c r="E364" t="str">
        <f>"423-7774"</f>
        <v>423-7774</v>
      </c>
      <c r="F364" t="str">
        <f>"CAR FUND"</f>
        <v>CAR FUND</v>
      </c>
      <c r="G364" s="1">
        <v>15</v>
      </c>
      <c r="H364" t="str">
        <f>"CAR FUND"</f>
        <v>CAR FUND</v>
      </c>
    </row>
    <row r="365" spans="1:8" x14ac:dyDescent="0.25">
      <c r="A365" t="s">
        <v>65</v>
      </c>
      <c r="B365">
        <v>135294</v>
      </c>
      <c r="C365" s="1">
        <v>15</v>
      </c>
      <c r="D365" s="6">
        <v>44312</v>
      </c>
      <c r="E365" t="str">
        <f>"423-7778"</f>
        <v>423-7778</v>
      </c>
      <c r="F365" t="str">
        <f>"CAR FUND"</f>
        <v>CAR FUND</v>
      </c>
      <c r="G365" s="1">
        <v>15</v>
      </c>
      <c r="H365" t="str">
        <f>"CAR FUND"</f>
        <v>CAR FUND</v>
      </c>
    </row>
    <row r="366" spans="1:8" x14ac:dyDescent="0.25">
      <c r="A366" t="s">
        <v>66</v>
      </c>
      <c r="B366">
        <v>4370</v>
      </c>
      <c r="C366" s="1">
        <v>11210</v>
      </c>
      <c r="D366" s="6">
        <v>44313</v>
      </c>
      <c r="E366" t="str">
        <f>"119"</f>
        <v>119</v>
      </c>
      <c r="F366" t="str">
        <f>"CALBRI ROAD &amp; BRIDGE LLC"</f>
        <v>CALBRI ROAD &amp; BRIDGE LLC</v>
      </c>
      <c r="G366" s="1">
        <v>580</v>
      </c>
      <c r="H366" t="str">
        <f>"Buffer Head"</f>
        <v>Buffer Head</v>
      </c>
    </row>
    <row r="367" spans="1:8" x14ac:dyDescent="0.25">
      <c r="E367" t="str">
        <f>"120"</f>
        <v>120</v>
      </c>
      <c r="F367" t="str">
        <f>"CALBRI ROAD &amp; BRIDGE LLC"</f>
        <v>CALBRI ROAD &amp; BRIDGE LLC</v>
      </c>
      <c r="G367" s="1">
        <v>8530</v>
      </c>
      <c r="H367" t="str">
        <f>"Guard Rail Repair"</f>
        <v>Guard Rail Repair</v>
      </c>
    </row>
    <row r="368" spans="1:8" x14ac:dyDescent="0.25">
      <c r="E368" t="str">
        <f>"121"</f>
        <v>121</v>
      </c>
      <c r="F368" t="str">
        <f>"CALBRI ROAD &amp; BRIDGE LLC"</f>
        <v>CALBRI ROAD &amp; BRIDGE LLC</v>
      </c>
      <c r="G368" s="1">
        <v>2100</v>
      </c>
      <c r="H368" t="str">
        <f>"Safety End"</f>
        <v>Safety End</v>
      </c>
    </row>
    <row r="369" spans="1:8" x14ac:dyDescent="0.25">
      <c r="A369" t="s">
        <v>67</v>
      </c>
      <c r="B369">
        <v>135127</v>
      </c>
      <c r="C369" s="1">
        <v>1500</v>
      </c>
      <c r="D369" s="6">
        <v>44298</v>
      </c>
      <c r="E369" t="str">
        <f>"23230"</f>
        <v>23230</v>
      </c>
      <c r="F369" t="str">
        <f>"Tower Camera Installation"</f>
        <v>Tower Camera Installation</v>
      </c>
      <c r="G369" s="1">
        <v>1500</v>
      </c>
      <c r="H369" t="str">
        <f>"Tower Camera Installation"</f>
        <v>Tower Camera Installation</v>
      </c>
    </row>
    <row r="370" spans="1:8" x14ac:dyDescent="0.25">
      <c r="A370" t="s">
        <v>68</v>
      </c>
      <c r="B370">
        <v>135128</v>
      </c>
      <c r="C370" s="1">
        <v>946.79</v>
      </c>
      <c r="D370" s="6">
        <v>44298</v>
      </c>
      <c r="E370" t="str">
        <f>"518884"</f>
        <v>518884</v>
      </c>
      <c r="F370" t="str">
        <f>"THREE LOTS ROAD/PCT#1"</f>
        <v>THREE LOTS ROAD/PCT#1</v>
      </c>
      <c r="G370" s="1">
        <v>946.79</v>
      </c>
      <c r="H370" t="str">
        <f>"THREE LOTS ROAD/PCT#1"</f>
        <v>THREE LOTS ROAD/PCT#1</v>
      </c>
    </row>
    <row r="371" spans="1:8" x14ac:dyDescent="0.25">
      <c r="A371" t="s">
        <v>69</v>
      </c>
      <c r="B371">
        <v>4295</v>
      </c>
      <c r="C371" s="1">
        <v>209.11</v>
      </c>
      <c r="D371" s="6">
        <v>44299</v>
      </c>
      <c r="E371" t="str">
        <f>"01817509"</f>
        <v>01817509</v>
      </c>
      <c r="F371" t="str">
        <f>"ACCT#000690/PCT#4"</f>
        <v>ACCT#000690/PCT#4</v>
      </c>
      <c r="G371" s="1">
        <v>209.11</v>
      </c>
      <c r="H371" t="str">
        <f>"ACCT#000690/PCT#4"</f>
        <v>ACCT#000690/PCT#4</v>
      </c>
    </row>
    <row r="372" spans="1:8" x14ac:dyDescent="0.25">
      <c r="A372" t="s">
        <v>70</v>
      </c>
      <c r="B372">
        <v>995</v>
      </c>
      <c r="C372" s="1">
        <v>6804.74</v>
      </c>
      <c r="D372" s="6">
        <v>44298</v>
      </c>
      <c r="E372" t="str">
        <f>"202104072485"</f>
        <v>202104072485</v>
      </c>
      <c r="F372" t="str">
        <f>"Statement"</f>
        <v>Statement</v>
      </c>
      <c r="G372" s="1">
        <v>6804.74</v>
      </c>
      <c r="H372" t="str">
        <f>"active911"</f>
        <v>active911</v>
      </c>
    </row>
    <row r="373" spans="1:8" x14ac:dyDescent="0.25">
      <c r="E373" t="str">
        <f>""</f>
        <v/>
      </c>
      <c r="F373" t="str">
        <f>""</f>
        <v/>
      </c>
      <c r="H373" t="str">
        <f>"hobby lobby"</f>
        <v>hobby lobby</v>
      </c>
    </row>
    <row r="374" spans="1:8" x14ac:dyDescent="0.25">
      <c r="E374" t="str">
        <f>""</f>
        <v/>
      </c>
      <c r="F374" t="str">
        <f>""</f>
        <v/>
      </c>
      <c r="H374" t="str">
        <f>"usp"</f>
        <v>usp</v>
      </c>
    </row>
    <row r="375" spans="1:8" x14ac:dyDescent="0.25">
      <c r="E375" t="str">
        <f>""</f>
        <v/>
      </c>
      <c r="F375" t="str">
        <f>""</f>
        <v/>
      </c>
      <c r="H375" t="str">
        <f>"go daddy"</f>
        <v>go daddy</v>
      </c>
    </row>
    <row r="376" spans="1:8" x14ac:dyDescent="0.25">
      <c r="E376" t="str">
        <f>""</f>
        <v/>
      </c>
      <c r="F376" t="str">
        <f>""</f>
        <v/>
      </c>
      <c r="H376" t="str">
        <f>"dropbox"</f>
        <v>dropbox</v>
      </c>
    </row>
    <row r="377" spans="1:8" x14ac:dyDescent="0.25">
      <c r="E377" t="str">
        <f>""</f>
        <v/>
      </c>
      <c r="F377" t="str">
        <f>""</f>
        <v/>
      </c>
      <c r="H377" t="str">
        <f>"cisco webex"</f>
        <v>cisco webex</v>
      </c>
    </row>
    <row r="378" spans="1:8" x14ac:dyDescent="0.25">
      <c r="E378" t="str">
        <f>""</f>
        <v/>
      </c>
      <c r="F378" t="str">
        <f>""</f>
        <v/>
      </c>
      <c r="H378" t="str">
        <f>"google"</f>
        <v>google</v>
      </c>
    </row>
    <row r="379" spans="1:8" x14ac:dyDescent="0.25">
      <c r="E379" t="str">
        <f>""</f>
        <v/>
      </c>
      <c r="F379" t="str">
        <f>""</f>
        <v/>
      </c>
      <c r="H379" t="str">
        <f>"quicken"</f>
        <v>quicken</v>
      </c>
    </row>
    <row r="380" spans="1:8" x14ac:dyDescent="0.25">
      <c r="E380" t="str">
        <f>""</f>
        <v/>
      </c>
      <c r="F380" t="str">
        <f>""</f>
        <v/>
      </c>
      <c r="H380" t="str">
        <f>"go daddy"</f>
        <v>go daddy</v>
      </c>
    </row>
    <row r="381" spans="1:8" x14ac:dyDescent="0.25">
      <c r="E381" t="str">
        <f>""</f>
        <v/>
      </c>
      <c r="F381" t="str">
        <f>""</f>
        <v/>
      </c>
      <c r="H381" t="str">
        <f>"walmart.com"</f>
        <v>walmart.com</v>
      </c>
    </row>
    <row r="382" spans="1:8" x14ac:dyDescent="0.25">
      <c r="E382" t="str">
        <f>""</f>
        <v/>
      </c>
      <c r="F382" t="str">
        <f>""</f>
        <v/>
      </c>
      <c r="H382" t="str">
        <f>"juan in a million"</f>
        <v>juan in a million</v>
      </c>
    </row>
    <row r="383" spans="1:8" x14ac:dyDescent="0.25">
      <c r="E383" t="str">
        <f>""</f>
        <v/>
      </c>
      <c r="F383" t="str">
        <f>""</f>
        <v/>
      </c>
      <c r="H383" t="str">
        <f>"lum's"</f>
        <v>lum's</v>
      </c>
    </row>
    <row r="384" spans="1:8" x14ac:dyDescent="0.25">
      <c r="E384" t="str">
        <f>""</f>
        <v/>
      </c>
      <c r="F384" t="str">
        <f>""</f>
        <v/>
      </c>
      <c r="H384" t="str">
        <f>"clinic hq"</f>
        <v>clinic hq</v>
      </c>
    </row>
    <row r="385" spans="5:8" x14ac:dyDescent="0.25">
      <c r="E385" t="str">
        <f>""</f>
        <v/>
      </c>
      <c r="F385" t="str">
        <f>""</f>
        <v/>
      </c>
      <c r="H385" t="str">
        <f>"walmart"</f>
        <v>walmart</v>
      </c>
    </row>
    <row r="386" spans="5:8" x14ac:dyDescent="0.25">
      <c r="E386" t="str">
        <f>""</f>
        <v/>
      </c>
      <c r="F386" t="str">
        <f>""</f>
        <v/>
      </c>
      <c r="H386" t="str">
        <f>"walmart"</f>
        <v>walmart</v>
      </c>
    </row>
    <row r="387" spans="5:8" x14ac:dyDescent="0.25">
      <c r="E387" t="str">
        <f>""</f>
        <v/>
      </c>
      <c r="F387" t="str">
        <f>""</f>
        <v/>
      </c>
      <c r="H387" t="str">
        <f>"hometowne"</f>
        <v>hometowne</v>
      </c>
    </row>
    <row r="388" spans="5:8" x14ac:dyDescent="0.25">
      <c r="E388" t="str">
        <f>""</f>
        <v/>
      </c>
      <c r="F388" t="str">
        <f>""</f>
        <v/>
      </c>
      <c r="H388" t="str">
        <f>"hometowne"</f>
        <v>hometowne</v>
      </c>
    </row>
    <row r="389" spans="5:8" x14ac:dyDescent="0.25">
      <c r="E389" t="str">
        <f>""</f>
        <v/>
      </c>
      <c r="F389" t="str">
        <f>""</f>
        <v/>
      </c>
      <c r="H389" t="str">
        <f>"usps.com"</f>
        <v>usps.com</v>
      </c>
    </row>
    <row r="390" spans="5:8" x14ac:dyDescent="0.25">
      <c r="E390" t="str">
        <f>""</f>
        <v/>
      </c>
      <c r="F390" t="str">
        <f>""</f>
        <v/>
      </c>
      <c r="H390" t="str">
        <f>"sling"</f>
        <v>sling</v>
      </c>
    </row>
    <row r="391" spans="5:8" x14ac:dyDescent="0.25">
      <c r="E391" t="str">
        <f>""</f>
        <v/>
      </c>
      <c r="F391" t="str">
        <f>""</f>
        <v/>
      </c>
      <c r="H391" t="str">
        <f>"micta"</f>
        <v>micta</v>
      </c>
    </row>
    <row r="392" spans="5:8" x14ac:dyDescent="0.25">
      <c r="E392" t="str">
        <f>""</f>
        <v/>
      </c>
      <c r="F392" t="str">
        <f>""</f>
        <v/>
      </c>
      <c r="H392" t="str">
        <f>"post oak"</f>
        <v>post oak</v>
      </c>
    </row>
    <row r="393" spans="5:8" x14ac:dyDescent="0.25">
      <c r="E393" t="str">
        <f>""</f>
        <v/>
      </c>
      <c r="F393" t="str">
        <f>""</f>
        <v/>
      </c>
      <c r="H393" t="str">
        <f>"walmart"</f>
        <v>walmart</v>
      </c>
    </row>
    <row r="394" spans="5:8" x14ac:dyDescent="0.25">
      <c r="E394" t="str">
        <f>""</f>
        <v/>
      </c>
      <c r="F394" t="str">
        <f>""</f>
        <v/>
      </c>
      <c r="H394" t="str">
        <f>"walmart"</f>
        <v>walmart</v>
      </c>
    </row>
    <row r="395" spans="5:8" x14ac:dyDescent="0.25">
      <c r="E395" t="str">
        <f>""</f>
        <v/>
      </c>
      <c r="F395" t="str">
        <f>""</f>
        <v/>
      </c>
      <c r="H395" t="str">
        <f>"rapid car wash"</f>
        <v>rapid car wash</v>
      </c>
    </row>
    <row r="396" spans="5:8" x14ac:dyDescent="0.25">
      <c r="E396" t="str">
        <f>""</f>
        <v/>
      </c>
      <c r="F396" t="str">
        <f>""</f>
        <v/>
      </c>
      <c r="H396" t="str">
        <f>"bernard tire"</f>
        <v>bernard tire</v>
      </c>
    </row>
    <row r="397" spans="5:8" x14ac:dyDescent="0.25">
      <c r="E397" t="str">
        <f>""</f>
        <v/>
      </c>
      <c r="F397" t="str">
        <f>""</f>
        <v/>
      </c>
      <c r="H397" t="str">
        <f>"he government"</f>
        <v>he government</v>
      </c>
    </row>
    <row r="398" spans="5:8" x14ac:dyDescent="0.25">
      <c r="E398" t="str">
        <f>""</f>
        <v/>
      </c>
      <c r="F398" t="str">
        <f>""</f>
        <v/>
      </c>
      <c r="H398" t="str">
        <f>"he government"</f>
        <v>he government</v>
      </c>
    </row>
    <row r="399" spans="5:8" x14ac:dyDescent="0.25">
      <c r="E399" t="str">
        <f>""</f>
        <v/>
      </c>
      <c r="F399" t="str">
        <f>""</f>
        <v/>
      </c>
      <c r="H399" t="str">
        <f>"bobby's automotive"</f>
        <v>bobby's automotive</v>
      </c>
    </row>
    <row r="400" spans="5:8" x14ac:dyDescent="0.25">
      <c r="E400" t="str">
        <f>""</f>
        <v/>
      </c>
      <c r="F400" t="str">
        <f>""</f>
        <v/>
      </c>
      <c r="H400" t="str">
        <f>"he goverment"</f>
        <v>he goverment</v>
      </c>
    </row>
    <row r="401" spans="1:8" x14ac:dyDescent="0.25">
      <c r="E401" t="str">
        <f>""</f>
        <v/>
      </c>
      <c r="F401" t="str">
        <f>""</f>
        <v/>
      </c>
      <c r="H401" t="str">
        <f>"walmart"</f>
        <v>walmart</v>
      </c>
    </row>
    <row r="402" spans="1:8" x14ac:dyDescent="0.25">
      <c r="E402" t="str">
        <f>""</f>
        <v/>
      </c>
      <c r="F402" t="str">
        <f>""</f>
        <v/>
      </c>
      <c r="H402" t="str">
        <f>"tractor supply"</f>
        <v>tractor supply</v>
      </c>
    </row>
    <row r="403" spans="1:8" x14ac:dyDescent="0.25">
      <c r="E403" t="str">
        <f>""</f>
        <v/>
      </c>
      <c r="F403" t="str">
        <f>""</f>
        <v/>
      </c>
      <c r="H403" t="str">
        <f>"harbor freight"</f>
        <v>harbor freight</v>
      </c>
    </row>
    <row r="404" spans="1:8" x14ac:dyDescent="0.25">
      <c r="E404" t="str">
        <f>""</f>
        <v/>
      </c>
      <c r="F404" t="str">
        <f>""</f>
        <v/>
      </c>
      <c r="H404" t="str">
        <f>"isi commercial"</f>
        <v>isi commercial</v>
      </c>
    </row>
    <row r="405" spans="1:8" x14ac:dyDescent="0.25">
      <c r="A405" t="s">
        <v>70</v>
      </c>
      <c r="B405">
        <v>996</v>
      </c>
      <c r="C405" s="1">
        <v>564.52</v>
      </c>
      <c r="D405" s="6">
        <v>44298</v>
      </c>
      <c r="E405" t="str">
        <f>"202104072486"</f>
        <v>202104072486</v>
      </c>
      <c r="F405" t="str">
        <f>"STATEMENT CARD 0574"</f>
        <v>STATEMENT CARD 0574</v>
      </c>
      <c r="G405" s="1">
        <v>564.52</v>
      </c>
      <c r="H405" t="str">
        <f>"HAMPTON INN - LOSOYA"</f>
        <v>HAMPTON INN - LOSOYA</v>
      </c>
    </row>
    <row r="406" spans="1:8" x14ac:dyDescent="0.25">
      <c r="E406" t="str">
        <f>""</f>
        <v/>
      </c>
      <c r="F406" t="str">
        <f>""</f>
        <v/>
      </c>
      <c r="H406" t="str">
        <f>"HAMPTON INN - SANCHE"</f>
        <v>HAMPTON INN - SANCHE</v>
      </c>
    </row>
    <row r="407" spans="1:8" x14ac:dyDescent="0.25">
      <c r="E407" t="str">
        <f>""</f>
        <v/>
      </c>
      <c r="F407" t="str">
        <f>""</f>
        <v/>
      </c>
      <c r="H407" t="str">
        <f>"SMITH SUPPLY"</f>
        <v>SMITH SUPPLY</v>
      </c>
    </row>
    <row r="408" spans="1:8" x14ac:dyDescent="0.25">
      <c r="E408" t="str">
        <f>""</f>
        <v/>
      </c>
      <c r="F408" t="str">
        <f>""</f>
        <v/>
      </c>
      <c r="H408" t="str">
        <f>"HOME DEPOT"</f>
        <v>HOME DEPOT</v>
      </c>
    </row>
    <row r="409" spans="1:8" x14ac:dyDescent="0.25">
      <c r="A409" t="s">
        <v>71</v>
      </c>
      <c r="B409">
        <v>135295</v>
      </c>
      <c r="C409" s="1">
        <v>314</v>
      </c>
      <c r="D409" s="6">
        <v>44312</v>
      </c>
      <c r="E409" t="str">
        <f>"90112096"</f>
        <v>90112096</v>
      </c>
      <c r="F409" t="str">
        <f>"INV 90112096"</f>
        <v>INV 90112096</v>
      </c>
      <c r="G409" s="1">
        <v>314</v>
      </c>
      <c r="H409" t="str">
        <f>"INV 90112096"</f>
        <v>INV 90112096</v>
      </c>
    </row>
    <row r="410" spans="1:8" x14ac:dyDescent="0.25">
      <c r="A410" t="s">
        <v>72</v>
      </c>
      <c r="B410">
        <v>4316</v>
      </c>
      <c r="C410" s="1">
        <v>648.78</v>
      </c>
      <c r="D410" s="6">
        <v>44299</v>
      </c>
      <c r="E410" t="str">
        <f>"23353"</f>
        <v>23353</v>
      </c>
      <c r="F410" t="str">
        <f>"Logitech HD ProWebcam"</f>
        <v>Logitech HD ProWebcam</v>
      </c>
      <c r="G410" s="1">
        <v>509.94</v>
      </c>
      <c r="H410" t="str">
        <f>"Logitech HD ProWebcam"</f>
        <v>Logitech HD ProWebcam</v>
      </c>
    </row>
    <row r="411" spans="1:8" x14ac:dyDescent="0.25">
      <c r="E411" t="str">
        <f>"23431"</f>
        <v>23431</v>
      </c>
      <c r="F411" t="str">
        <f>"Tripp Lite 6U Wall Mount"</f>
        <v>Tripp Lite 6U Wall Mount</v>
      </c>
      <c r="G411" s="1">
        <v>138.84</v>
      </c>
      <c r="H411" t="str">
        <f>"Tripp Lite 6U Wall Mount"</f>
        <v>Tripp Lite 6U Wall Mount</v>
      </c>
    </row>
    <row r="412" spans="1:8" x14ac:dyDescent="0.25">
      <c r="A412" t="s">
        <v>73</v>
      </c>
      <c r="B412">
        <v>4374</v>
      </c>
      <c r="C412" s="1">
        <v>159</v>
      </c>
      <c r="D412" s="6">
        <v>44313</v>
      </c>
      <c r="E412" t="str">
        <f>"25158"</f>
        <v>25158</v>
      </c>
      <c r="F412" t="str">
        <f>"PL A36X3/PCT#2"</f>
        <v>PL A36X3/PCT#2</v>
      </c>
      <c r="G412" s="1">
        <v>15</v>
      </c>
      <c r="H412" t="str">
        <f>"PL A36X3/PCT#2"</f>
        <v>PL A36X3/PCT#2</v>
      </c>
    </row>
    <row r="413" spans="1:8" x14ac:dyDescent="0.25">
      <c r="E413" t="str">
        <f>"25165"</f>
        <v>25165</v>
      </c>
      <c r="F413" t="str">
        <f>"ANGLE/PCT#2"</f>
        <v>ANGLE/PCT#2</v>
      </c>
      <c r="G413" s="1">
        <v>69</v>
      </c>
      <c r="H413" t="str">
        <f>"ANGLE/PCT#2"</f>
        <v>ANGLE/PCT#2</v>
      </c>
    </row>
    <row r="414" spans="1:8" x14ac:dyDescent="0.25">
      <c r="E414" t="str">
        <f>"25166"</f>
        <v>25166</v>
      </c>
      <c r="F414" t="str">
        <f>"TS-2X2X.120/PCT#2"</f>
        <v>TS-2X2X.120/PCT#2</v>
      </c>
      <c r="G414" s="1">
        <v>75</v>
      </c>
      <c r="H414" t="str">
        <f>"TS-2X2X.120/PCT#2"</f>
        <v>TS-2X2X.120/PCT#2</v>
      </c>
    </row>
    <row r="415" spans="1:8" x14ac:dyDescent="0.25">
      <c r="A415" t="s">
        <v>74</v>
      </c>
      <c r="B415">
        <v>135129</v>
      </c>
      <c r="C415" s="1">
        <v>1484.28</v>
      </c>
      <c r="D415" s="6">
        <v>44298</v>
      </c>
      <c r="E415" t="str">
        <f>"CID2706946"</f>
        <v>CID2706946</v>
      </c>
      <c r="F415" t="str">
        <f>"ACCT#509314860"</f>
        <v>ACCT#509314860</v>
      </c>
      <c r="G415" s="1">
        <v>1484.28</v>
      </c>
      <c r="H415" t="str">
        <f>"ACCT#509314860"</f>
        <v>ACCT#509314860</v>
      </c>
    </row>
    <row r="416" spans="1:8" x14ac:dyDescent="0.25">
      <c r="A416" t="s">
        <v>75</v>
      </c>
      <c r="B416">
        <v>135130</v>
      </c>
      <c r="C416" s="1">
        <v>4297.8999999999996</v>
      </c>
      <c r="D416" s="6">
        <v>44298</v>
      </c>
      <c r="E416" t="str">
        <f>"30143419"</f>
        <v>30143419</v>
      </c>
      <c r="F416" t="str">
        <f>"CUST#BASPCT1/PCT#1"</f>
        <v>CUST#BASPCT1/PCT#1</v>
      </c>
      <c r="G416" s="1">
        <v>2136.5100000000002</v>
      </c>
      <c r="H416" t="str">
        <f>"CUST#BASPCT1/PCT#1"</f>
        <v>CUST#BASPCT1/PCT#1</v>
      </c>
    </row>
    <row r="417" spans="1:8" x14ac:dyDescent="0.25">
      <c r="E417" t="str">
        <f>"30143449"</f>
        <v>30143449</v>
      </c>
      <c r="F417" t="str">
        <f>"CUST#BASPCT1/PCT#1"</f>
        <v>CUST#BASPCT1/PCT#1</v>
      </c>
      <c r="G417" s="1">
        <v>2161.39</v>
      </c>
      <c r="H417" t="str">
        <f>"CUST#BASPCT1/PCT#1"</f>
        <v>CUST#BASPCT1/PCT#1</v>
      </c>
    </row>
    <row r="418" spans="1:8" x14ac:dyDescent="0.25">
      <c r="A418" t="s">
        <v>76</v>
      </c>
      <c r="B418">
        <v>135296</v>
      </c>
      <c r="C418" s="1">
        <v>740.25</v>
      </c>
      <c r="D418" s="6">
        <v>44312</v>
      </c>
      <c r="E418" t="str">
        <f>"66365041221"</f>
        <v>66365041221</v>
      </c>
      <c r="F418" t="str">
        <f>"TIMOTHY LYLE HENNING"</f>
        <v>TIMOTHY LYLE HENNING</v>
      </c>
      <c r="G418" s="1">
        <v>297.5</v>
      </c>
      <c r="H418" t="str">
        <f>"95 Gallon Bin"</f>
        <v>95 Gallon Bin</v>
      </c>
    </row>
    <row r="419" spans="1:8" x14ac:dyDescent="0.25">
      <c r="E419" t="str">
        <f>""</f>
        <v/>
      </c>
      <c r="F419" t="str">
        <f>""</f>
        <v/>
      </c>
      <c r="H419" t="str">
        <f>"65 Gallon Bin"</f>
        <v>65 Gallon Bin</v>
      </c>
    </row>
    <row r="420" spans="1:8" x14ac:dyDescent="0.25">
      <c r="E420" t="str">
        <f>"97376040621"</f>
        <v>97376040621</v>
      </c>
      <c r="F420" t="str">
        <f>"TIMOTHY LYLE HENNING"</f>
        <v>TIMOTHY LYLE HENNING</v>
      </c>
      <c r="G420" s="1">
        <v>442.75</v>
      </c>
      <c r="H420" t="str">
        <f>"Shedding"</f>
        <v>Shedding</v>
      </c>
    </row>
    <row r="421" spans="1:8" x14ac:dyDescent="0.25">
      <c r="A421" t="s">
        <v>77</v>
      </c>
      <c r="B421">
        <v>135297</v>
      </c>
      <c r="C421" s="1">
        <v>715.45</v>
      </c>
      <c r="D421" s="6">
        <v>44312</v>
      </c>
      <c r="E421" t="str">
        <f>"202104152679"</f>
        <v>202104152679</v>
      </c>
      <c r="F421" t="str">
        <f>"20-20321"</f>
        <v>20-20321</v>
      </c>
      <c r="G421" s="1">
        <v>150</v>
      </c>
      <c r="H421" t="str">
        <f>"20-20321"</f>
        <v>20-20321</v>
      </c>
    </row>
    <row r="422" spans="1:8" x14ac:dyDescent="0.25">
      <c r="E422" t="str">
        <f>"202104152680"</f>
        <v>202104152680</v>
      </c>
      <c r="F422" t="str">
        <f>"20-20531"</f>
        <v>20-20531</v>
      </c>
      <c r="G422" s="1">
        <v>84</v>
      </c>
      <c r="H422" t="str">
        <f>"20-20531"</f>
        <v>20-20531</v>
      </c>
    </row>
    <row r="423" spans="1:8" x14ac:dyDescent="0.25">
      <c r="E423" t="str">
        <f>"202104152681"</f>
        <v>202104152681</v>
      </c>
      <c r="F423" t="str">
        <f>"423-7238"</f>
        <v>423-7238</v>
      </c>
      <c r="G423" s="1">
        <v>281.45</v>
      </c>
      <c r="H423" t="str">
        <f>"423-7238"</f>
        <v>423-7238</v>
      </c>
    </row>
    <row r="424" spans="1:8" x14ac:dyDescent="0.25">
      <c r="E424" t="str">
        <f>"202104152682"</f>
        <v>202104152682</v>
      </c>
      <c r="F424" t="str">
        <f>"21-20627"</f>
        <v>21-20627</v>
      </c>
      <c r="G424" s="1">
        <v>100</v>
      </c>
      <c r="H424" t="str">
        <f>"21-20627"</f>
        <v>21-20627</v>
      </c>
    </row>
    <row r="425" spans="1:8" x14ac:dyDescent="0.25">
      <c r="E425" t="str">
        <f>"202104152683"</f>
        <v>202104152683</v>
      </c>
      <c r="F425" t="str">
        <f>"20-20593"</f>
        <v>20-20593</v>
      </c>
      <c r="G425" s="1">
        <v>100</v>
      </c>
      <c r="H425" t="str">
        <f>"20-20593"</f>
        <v>20-20593</v>
      </c>
    </row>
    <row r="426" spans="1:8" x14ac:dyDescent="0.25">
      <c r="A426" t="s">
        <v>78</v>
      </c>
      <c r="B426">
        <v>135131</v>
      </c>
      <c r="C426" s="1">
        <v>427</v>
      </c>
      <c r="D426" s="6">
        <v>44298</v>
      </c>
      <c r="E426" t="str">
        <f>"202104072494"</f>
        <v>202104072494</v>
      </c>
      <c r="F426" t="str">
        <f>"MI CASE-43026"</f>
        <v>MI CASE-43026</v>
      </c>
      <c r="G426" s="1">
        <v>427</v>
      </c>
      <c r="H426" t="str">
        <f>"MI CASE-43026"</f>
        <v>MI CASE-43026</v>
      </c>
    </row>
    <row r="427" spans="1:8" x14ac:dyDescent="0.25">
      <c r="A427" t="s">
        <v>79</v>
      </c>
      <c r="B427">
        <v>135132</v>
      </c>
      <c r="C427" s="1">
        <v>525</v>
      </c>
      <c r="D427" s="6">
        <v>44298</v>
      </c>
      <c r="E427" t="str">
        <f>"202103242273"</f>
        <v>202103242273</v>
      </c>
      <c r="F427" t="str">
        <f>"REIMBURSEMENT COUPONS #24213"</f>
        <v>REIMBURSEMENT COUPONS #24213</v>
      </c>
      <c r="G427" s="1">
        <v>525</v>
      </c>
      <c r="H427" t="str">
        <f>"REIMBURSEMENT COUPONS #24213"</f>
        <v>REIMBURSEMENT COUPONS #24213</v>
      </c>
    </row>
    <row r="428" spans="1:8" x14ac:dyDescent="0.25">
      <c r="A428" t="s">
        <v>80</v>
      </c>
      <c r="B428">
        <v>4322</v>
      </c>
      <c r="C428" s="1">
        <v>5425</v>
      </c>
      <c r="D428" s="6">
        <v>44299</v>
      </c>
      <c r="E428" t="str">
        <f>"202104052407"</f>
        <v>202104052407</v>
      </c>
      <c r="F428" t="str">
        <f>"J-3245"</f>
        <v>J-3245</v>
      </c>
      <c r="G428" s="1">
        <v>400</v>
      </c>
      <c r="H428" t="str">
        <f>"J-3245"</f>
        <v>J-3245</v>
      </c>
    </row>
    <row r="429" spans="1:8" x14ac:dyDescent="0.25">
      <c r="E429" t="str">
        <f>"202104052408"</f>
        <v>202104052408</v>
      </c>
      <c r="F429" t="str">
        <f>"J-3246"</f>
        <v>J-3246</v>
      </c>
      <c r="G429" s="1">
        <v>400</v>
      </c>
      <c r="H429" t="str">
        <f>"J-3246"</f>
        <v>J-3246</v>
      </c>
    </row>
    <row r="430" spans="1:8" x14ac:dyDescent="0.25">
      <c r="E430" t="str">
        <f>"202104052409"</f>
        <v>202104052409</v>
      </c>
      <c r="F430" t="str">
        <f>"02-1201-2"</f>
        <v>02-1201-2</v>
      </c>
      <c r="G430" s="1">
        <v>250</v>
      </c>
      <c r="H430" t="str">
        <f>"02-1201-2"</f>
        <v>02-1201-2</v>
      </c>
    </row>
    <row r="431" spans="1:8" x14ac:dyDescent="0.25">
      <c r="E431" t="str">
        <f>"202104052410"</f>
        <v>202104052410</v>
      </c>
      <c r="F431" t="str">
        <f>"21-20627"</f>
        <v>21-20627</v>
      </c>
      <c r="G431" s="1">
        <v>325</v>
      </c>
      <c r="H431" t="str">
        <f>"21-20627"</f>
        <v>21-20627</v>
      </c>
    </row>
    <row r="432" spans="1:8" x14ac:dyDescent="0.25">
      <c r="E432" t="str">
        <f>"202104052411"</f>
        <v>202104052411</v>
      </c>
      <c r="F432" t="str">
        <f>"JP-111132020B"</f>
        <v>JP-111132020B</v>
      </c>
      <c r="G432" s="1">
        <v>250</v>
      </c>
      <c r="H432" t="str">
        <f>"JP-111132020B"</f>
        <v>JP-111132020B</v>
      </c>
    </row>
    <row r="433" spans="1:8" x14ac:dyDescent="0.25">
      <c r="E433" t="str">
        <f>"202104062467"</f>
        <v>202104062467</v>
      </c>
      <c r="F433" t="str">
        <f>"14-572"</f>
        <v>14-572</v>
      </c>
      <c r="G433" s="1">
        <v>400</v>
      </c>
      <c r="H433" t="str">
        <f>"14-572"</f>
        <v>14-572</v>
      </c>
    </row>
    <row r="434" spans="1:8" x14ac:dyDescent="0.25">
      <c r="E434" t="str">
        <f>"202104062468"</f>
        <v>202104062468</v>
      </c>
      <c r="F434" t="str">
        <f>"CM20191020"</f>
        <v>CM20191020</v>
      </c>
      <c r="G434" s="1">
        <v>400</v>
      </c>
      <c r="H434" t="str">
        <f>"CM20191020"</f>
        <v>CM20191020</v>
      </c>
    </row>
    <row r="435" spans="1:8" x14ac:dyDescent="0.25">
      <c r="E435" t="str">
        <f>"202104062469"</f>
        <v>202104062469</v>
      </c>
      <c r="F435" t="str">
        <f>"16-492"</f>
        <v>16-492</v>
      </c>
      <c r="G435" s="1">
        <v>3000</v>
      </c>
      <c r="H435" t="str">
        <f>"16-492"</f>
        <v>16-492</v>
      </c>
    </row>
    <row r="436" spans="1:8" x14ac:dyDescent="0.25">
      <c r="A436" t="s">
        <v>81</v>
      </c>
      <c r="B436">
        <v>135133</v>
      </c>
      <c r="C436" s="1">
        <v>321.75</v>
      </c>
      <c r="D436" s="6">
        <v>44298</v>
      </c>
      <c r="E436" t="str">
        <f>"5055687690"</f>
        <v>5055687690</v>
      </c>
      <c r="F436" t="str">
        <f>"CUST#11167190/PCT#1"</f>
        <v>CUST#11167190/PCT#1</v>
      </c>
      <c r="G436" s="1">
        <v>171.75</v>
      </c>
      <c r="H436" t="str">
        <f>"CUST#11167190/PCT#1"</f>
        <v>CUST#11167190/PCT#1</v>
      </c>
    </row>
    <row r="437" spans="1:8" x14ac:dyDescent="0.25">
      <c r="E437" t="str">
        <f>"9126407198"</f>
        <v>9126407198</v>
      </c>
      <c r="F437" t="str">
        <f>"INV 9126407198"</f>
        <v>INV 9126407198</v>
      </c>
      <c r="G437" s="1">
        <v>100</v>
      </c>
      <c r="H437" t="str">
        <f>"INV 9126407198"</f>
        <v>INV 9126407198</v>
      </c>
    </row>
    <row r="438" spans="1:8" x14ac:dyDescent="0.25">
      <c r="E438" t="str">
        <f>"9126407199"</f>
        <v>9126407199</v>
      </c>
      <c r="F438" t="str">
        <f>"INV 9126407199"</f>
        <v>INV 9126407199</v>
      </c>
      <c r="G438" s="1">
        <v>50</v>
      </c>
      <c r="H438" t="str">
        <f>"INV 9126407199"</f>
        <v>INV 9126407199</v>
      </c>
    </row>
    <row r="439" spans="1:8" x14ac:dyDescent="0.25">
      <c r="A439" t="s">
        <v>81</v>
      </c>
      <c r="B439">
        <v>135298</v>
      </c>
      <c r="C439" s="1">
        <v>84.78</v>
      </c>
      <c r="D439" s="6">
        <v>44312</v>
      </c>
      <c r="E439" t="str">
        <f>"5058749658"</f>
        <v>5058749658</v>
      </c>
      <c r="F439" t="str">
        <f>"PAYER#11167190/PCT#1"</f>
        <v>PAYER#11167190/PCT#1</v>
      </c>
      <c r="G439" s="1">
        <v>84.78</v>
      </c>
      <c r="H439" t="str">
        <f>"PAYER#11167190/PCT#1"</f>
        <v>PAYER#11167190/PCT#1</v>
      </c>
    </row>
    <row r="440" spans="1:8" x14ac:dyDescent="0.25">
      <c r="A440" t="s">
        <v>82</v>
      </c>
      <c r="B440">
        <v>135134</v>
      </c>
      <c r="C440" s="1">
        <v>950.58</v>
      </c>
      <c r="D440" s="6">
        <v>44298</v>
      </c>
      <c r="E440" t="str">
        <f>"202104072496"</f>
        <v>202104072496</v>
      </c>
      <c r="F440" t="str">
        <f>"PAYER#14108463/ANIMAL SHELTER"</f>
        <v>PAYER#14108463/ANIMAL SHELTER</v>
      </c>
      <c r="G440" s="1">
        <v>279.62</v>
      </c>
      <c r="H440" t="str">
        <f>"PAYER#14108463/ANIMAL SHELTER"</f>
        <v>PAYER#14108463/ANIMAL SHELTER</v>
      </c>
    </row>
    <row r="441" spans="1:8" x14ac:dyDescent="0.25">
      <c r="E441" t="str">
        <f>""</f>
        <v/>
      </c>
      <c r="F441" t="str">
        <f>""</f>
        <v/>
      </c>
      <c r="H441" t="str">
        <f>"PAYER#14108463/ANIMAL SHELTER"</f>
        <v>PAYER#14108463/ANIMAL SHELTER</v>
      </c>
    </row>
    <row r="442" spans="1:8" x14ac:dyDescent="0.25">
      <c r="E442" t="str">
        <f>"4077638232"</f>
        <v>4077638232</v>
      </c>
      <c r="F442" t="str">
        <f>"PAYER#14108367/PCT#2"</f>
        <v>PAYER#14108367/PCT#2</v>
      </c>
      <c r="G442" s="1">
        <v>670.96</v>
      </c>
      <c r="H442" t="str">
        <f>"PAYER#14108367/PCT#2"</f>
        <v>PAYER#14108367/PCT#2</v>
      </c>
    </row>
    <row r="443" spans="1:8" x14ac:dyDescent="0.25">
      <c r="A443" t="s">
        <v>82</v>
      </c>
      <c r="B443">
        <v>135135</v>
      </c>
      <c r="C443" s="1">
        <v>192.49</v>
      </c>
      <c r="D443" s="6">
        <v>44298</v>
      </c>
      <c r="E443" t="str">
        <f>"8405057991"</f>
        <v>8405057991</v>
      </c>
      <c r="F443" t="str">
        <f>"CUST#10377368/PCT#2"</f>
        <v>CUST#10377368/PCT#2</v>
      </c>
      <c r="G443" s="1">
        <v>59.07</v>
      </c>
      <c r="H443" t="str">
        <f>"CUST#10377368/PCT#2"</f>
        <v>CUST#10377368/PCT#2</v>
      </c>
    </row>
    <row r="444" spans="1:8" x14ac:dyDescent="0.25">
      <c r="E444" t="str">
        <f>"8405064215"</f>
        <v>8405064215</v>
      </c>
      <c r="F444" t="str">
        <f>"ACCT#10377368/PCT#3"</f>
        <v>ACCT#10377368/PCT#3</v>
      </c>
      <c r="G444" s="1">
        <v>133.41999999999999</v>
      </c>
      <c r="H444" t="str">
        <f>"ACCT#10377368/PCT#3"</f>
        <v>ACCT#10377368/PCT#3</v>
      </c>
    </row>
    <row r="445" spans="1:8" x14ac:dyDescent="0.25">
      <c r="A445" t="s">
        <v>82</v>
      </c>
      <c r="B445">
        <v>135299</v>
      </c>
      <c r="C445" s="1">
        <v>4854.93</v>
      </c>
      <c r="D445" s="6">
        <v>44312</v>
      </c>
      <c r="E445" t="str">
        <f>"202104152702"</f>
        <v>202104152702</v>
      </c>
      <c r="F445" t="str">
        <f>"PAYER#14108431/SIGN SHOP"</f>
        <v>PAYER#14108431/SIGN SHOP</v>
      </c>
      <c r="G445" s="1">
        <v>74.75</v>
      </c>
      <c r="H445" t="str">
        <f>"PAYER#14108431/SIGN SHOP"</f>
        <v>PAYER#14108431/SIGN SHOP</v>
      </c>
    </row>
    <row r="446" spans="1:8" x14ac:dyDescent="0.25">
      <c r="E446" t="str">
        <f>"202104152703"</f>
        <v>202104152703</v>
      </c>
      <c r="F446" t="str">
        <f>"PAYER#14108375"</f>
        <v>PAYER#14108375</v>
      </c>
      <c r="G446" s="1">
        <v>2121.58</v>
      </c>
      <c r="H446" t="str">
        <f>"PAYER#14108375"</f>
        <v>PAYER#14108375</v>
      </c>
    </row>
    <row r="447" spans="1:8" x14ac:dyDescent="0.25">
      <c r="E447" t="str">
        <f>"202104192721"</f>
        <v>202104192721</v>
      </c>
      <c r="F447" t="str">
        <f>"PAYER#14108430/PCT#4"</f>
        <v>PAYER#14108430/PCT#4</v>
      </c>
      <c r="G447" s="1">
        <v>1588.98</v>
      </c>
      <c r="H447" t="str">
        <f>"PAYER#14108430/PCT#4"</f>
        <v>PAYER#14108430/PCT#4</v>
      </c>
    </row>
    <row r="448" spans="1:8" x14ac:dyDescent="0.25">
      <c r="E448" t="str">
        <f>"202104192734"</f>
        <v>202104192734</v>
      </c>
      <c r="F448" t="str">
        <f>"PAYER#14108431/PCT#1"</f>
        <v>PAYER#14108431/PCT#1</v>
      </c>
      <c r="G448" s="1">
        <v>1069.6199999999999</v>
      </c>
      <c r="H448" t="str">
        <f>"PAYER#14108431/PCT#1"</f>
        <v>PAYER#14108431/PCT#1</v>
      </c>
    </row>
    <row r="449" spans="1:8" x14ac:dyDescent="0.25">
      <c r="E449" t="str">
        <f>""</f>
        <v/>
      </c>
      <c r="F449" t="str">
        <f>""</f>
        <v/>
      </c>
      <c r="H449" t="str">
        <f>"PAYER#14108431/PCT#1"</f>
        <v>PAYER#14108431/PCT#1</v>
      </c>
    </row>
    <row r="450" spans="1:8" x14ac:dyDescent="0.25">
      <c r="A450" t="s">
        <v>83</v>
      </c>
      <c r="B450">
        <v>1034</v>
      </c>
      <c r="C450" s="1">
        <v>13970.72</v>
      </c>
      <c r="D450" s="6">
        <v>44305</v>
      </c>
      <c r="E450" t="str">
        <f>"202104192718"</f>
        <v>202104192718</v>
      </c>
      <c r="F450" t="str">
        <f>"ACCT#72-5613 / 04032021"</f>
        <v>ACCT#72-5613 / 04032021</v>
      </c>
      <c r="G450" s="1">
        <v>13970.72</v>
      </c>
      <c r="H450" t="str">
        <f>"ACCT#72-5613 / 04032021"</f>
        <v>ACCT#72-5613 / 04032021</v>
      </c>
    </row>
    <row r="451" spans="1:8" x14ac:dyDescent="0.25">
      <c r="A451" t="s">
        <v>84</v>
      </c>
      <c r="B451">
        <v>135269</v>
      </c>
      <c r="C451" s="1">
        <v>38508.239999999998</v>
      </c>
      <c r="D451" s="6">
        <v>44299</v>
      </c>
      <c r="E451" t="str">
        <f>"202104082596"</f>
        <v>202104082596</v>
      </c>
      <c r="F451" t="str">
        <f>"ACCT#02-2083-04 / 03292021"</f>
        <v>ACCT#02-2083-04 / 03292021</v>
      </c>
      <c r="G451" s="1">
        <v>5411.93</v>
      </c>
      <c r="H451" t="str">
        <f>"CITY OF BASTROP"</f>
        <v>CITY OF BASTROP</v>
      </c>
    </row>
    <row r="452" spans="1:8" x14ac:dyDescent="0.25">
      <c r="E452" t="str">
        <f>"202104082597"</f>
        <v>202104082597</v>
      </c>
      <c r="F452" t="str">
        <f>"CIUNTY DEV CENTER / 03292021"</f>
        <v>CIUNTY DEV CENTER / 03292021</v>
      </c>
      <c r="G452" s="1">
        <v>1612.09</v>
      </c>
      <c r="H452" t="str">
        <f>"CITY OF BASTROP"</f>
        <v>CITY OF BASTROP</v>
      </c>
    </row>
    <row r="453" spans="1:8" x14ac:dyDescent="0.25">
      <c r="E453" t="str">
        <f>"202104082598"</f>
        <v>202104082598</v>
      </c>
      <c r="F453" t="str">
        <f>"COUNTY LAW CTR / 03292021"</f>
        <v>COUNTY LAW CTR / 03292021</v>
      </c>
      <c r="G453" s="1">
        <v>19787.87</v>
      </c>
      <c r="H453" t="str">
        <f>"CITY OF BASTROP"</f>
        <v>CITY OF BASTROP</v>
      </c>
    </row>
    <row r="454" spans="1:8" x14ac:dyDescent="0.25">
      <c r="E454" t="str">
        <f>"202104082599"</f>
        <v>202104082599</v>
      </c>
      <c r="F454" t="str">
        <f>"BASTROP COURT HOUSE / 03292021"</f>
        <v>BASTROP COURT HOUSE / 03292021</v>
      </c>
      <c r="G454" s="1">
        <v>11696.35</v>
      </c>
      <c r="H454" t="str">
        <f>"CITY OF BASTROP"</f>
        <v>CITY OF BASTROP</v>
      </c>
    </row>
    <row r="455" spans="1:8" x14ac:dyDescent="0.25">
      <c r="A455" t="s">
        <v>84</v>
      </c>
      <c r="B455">
        <v>135300</v>
      </c>
      <c r="C455" s="1">
        <v>750</v>
      </c>
      <c r="D455" s="6">
        <v>44312</v>
      </c>
      <c r="E455" t="str">
        <f>"202104152699"</f>
        <v>202104152699</v>
      </c>
      <c r="F455" t="str">
        <f>"RENTAL- PARKING LOT"</f>
        <v>RENTAL- PARKING LOT</v>
      </c>
      <c r="G455" s="1">
        <v>750</v>
      </c>
      <c r="H455" t="str">
        <f>"RENTAL- PARKING LOT"</f>
        <v>RENTAL- PARKING LOT</v>
      </c>
    </row>
    <row r="456" spans="1:8" x14ac:dyDescent="0.25">
      <c r="A456" t="s">
        <v>85</v>
      </c>
      <c r="B456">
        <v>135136</v>
      </c>
      <c r="C456" s="1">
        <v>40.96</v>
      </c>
      <c r="D456" s="6">
        <v>44298</v>
      </c>
      <c r="E456" t="str">
        <f>"113860"</f>
        <v>113860</v>
      </c>
      <c r="F456" t="str">
        <f>"INV GC 113860"</f>
        <v>INV GC 113860</v>
      </c>
      <c r="G456" s="1">
        <v>40.96</v>
      </c>
      <c r="H456" t="str">
        <f>"INV GC 113860"</f>
        <v>INV GC 113860</v>
      </c>
    </row>
    <row r="457" spans="1:8" x14ac:dyDescent="0.25">
      <c r="A457" t="s">
        <v>86</v>
      </c>
      <c r="B457">
        <v>4298</v>
      </c>
      <c r="C457" s="1">
        <v>27.5</v>
      </c>
      <c r="D457" s="6">
        <v>44299</v>
      </c>
      <c r="E457" t="str">
        <f>"1278-202102-0"</f>
        <v>1278-202102-0</v>
      </c>
      <c r="F457" t="str">
        <f>"INV 1278-202102-0"</f>
        <v>INV 1278-202102-0</v>
      </c>
      <c r="G457" s="1">
        <v>27.5</v>
      </c>
      <c r="H457" t="str">
        <f>"INV 1278-202102-0"</f>
        <v>INV 1278-202102-0</v>
      </c>
    </row>
    <row r="458" spans="1:8" x14ac:dyDescent="0.25">
      <c r="A458" t="s">
        <v>86</v>
      </c>
      <c r="B458">
        <v>4373</v>
      </c>
      <c r="C458" s="1">
        <v>694.54</v>
      </c>
      <c r="D458" s="6">
        <v>44313</v>
      </c>
      <c r="E458" t="str">
        <f>"1278-202103"</f>
        <v>1278-202103</v>
      </c>
      <c r="F458" t="str">
        <f>"INV 1278-202103-0"</f>
        <v>INV 1278-202103-0</v>
      </c>
      <c r="G458" s="1">
        <v>638.05999999999995</v>
      </c>
      <c r="H458" t="str">
        <f>"INV 1278-202103-0"</f>
        <v>INV 1278-202103-0</v>
      </c>
    </row>
    <row r="459" spans="1:8" x14ac:dyDescent="0.25">
      <c r="E459" t="str">
        <f>"202104212799"</f>
        <v>202104212799</v>
      </c>
      <c r="F459" t="str">
        <f>"JAIL MEDICAL"</f>
        <v>JAIL MEDICAL</v>
      </c>
      <c r="G459" s="1">
        <v>6.03</v>
      </c>
      <c r="H459" t="str">
        <f>"JAIL MEDICAL"</f>
        <v>JAIL MEDICAL</v>
      </c>
    </row>
    <row r="460" spans="1:8" x14ac:dyDescent="0.25">
      <c r="E460" t="str">
        <f>"202104212807"</f>
        <v>202104212807</v>
      </c>
      <c r="F460" t="str">
        <f>"INDIGENT HEALTH"</f>
        <v>INDIGENT HEALTH</v>
      </c>
      <c r="G460" s="1">
        <v>50.45</v>
      </c>
      <c r="H460" t="str">
        <f>"INDIGENT HEALTH"</f>
        <v>INDIGENT HEALTH</v>
      </c>
    </row>
    <row r="461" spans="1:8" x14ac:dyDescent="0.25">
      <c r="A461" t="s">
        <v>87</v>
      </c>
      <c r="B461">
        <v>135301</v>
      </c>
      <c r="C461" s="1">
        <v>318</v>
      </c>
      <c r="D461" s="6">
        <v>44312</v>
      </c>
      <c r="E461" t="str">
        <f>"221345-16-001"</f>
        <v>221345-16-001</v>
      </c>
      <c r="F461" t="str">
        <f>"INV 221345-16-001"</f>
        <v>INV 221345-16-001</v>
      </c>
      <c r="G461" s="1">
        <v>318</v>
      </c>
      <c r="H461" t="str">
        <f>"INV 221345-16-001"</f>
        <v>INV 221345-16-001</v>
      </c>
    </row>
    <row r="462" spans="1:8" x14ac:dyDescent="0.25">
      <c r="A462" t="s">
        <v>88</v>
      </c>
      <c r="B462">
        <v>135137</v>
      </c>
      <c r="C462" s="1">
        <v>55</v>
      </c>
      <c r="D462" s="6">
        <v>44298</v>
      </c>
      <c r="E462" t="str">
        <f>"11389"</f>
        <v>11389</v>
      </c>
      <c r="F462" t="str">
        <f>"SERVICE"</f>
        <v>SERVICE</v>
      </c>
      <c r="G462" s="1">
        <v>55</v>
      </c>
      <c r="H462" t="str">
        <f>"SERVICE"</f>
        <v>SERVICE</v>
      </c>
    </row>
    <row r="463" spans="1:8" x14ac:dyDescent="0.25">
      <c r="A463" t="s">
        <v>89</v>
      </c>
      <c r="B463">
        <v>4268</v>
      </c>
      <c r="C463" s="1">
        <v>174.8</v>
      </c>
      <c r="D463" s="6">
        <v>44299</v>
      </c>
      <c r="E463" t="str">
        <f>"12457108927"</f>
        <v>12457108927</v>
      </c>
      <c r="F463" t="str">
        <f>"INV 12457108927"</f>
        <v>INV 12457108927</v>
      </c>
      <c r="G463" s="1">
        <v>174.8</v>
      </c>
      <c r="H463" t="str">
        <f>"INV 12457108927"</f>
        <v>INV 12457108927</v>
      </c>
    </row>
    <row r="464" spans="1:8" x14ac:dyDescent="0.25">
      <c r="A464" t="s">
        <v>90</v>
      </c>
      <c r="B464">
        <v>135302</v>
      </c>
      <c r="C464" s="1">
        <v>60</v>
      </c>
      <c r="D464" s="6">
        <v>44312</v>
      </c>
      <c r="E464" t="str">
        <f>"13651"</f>
        <v>13651</v>
      </c>
      <c r="F464" t="str">
        <f>"RESTITUTION/KATHY PURCELL"</f>
        <v>RESTITUTION/KATHY PURCELL</v>
      </c>
      <c r="G464" s="1">
        <v>60</v>
      </c>
      <c r="H464" t="str">
        <f>"RESTITUTION/KATHY PURCELL"</f>
        <v>RESTITUTION/KATHY PURCELL</v>
      </c>
    </row>
    <row r="465" spans="1:8" x14ac:dyDescent="0.25">
      <c r="A465" t="s">
        <v>91</v>
      </c>
      <c r="B465">
        <v>135138</v>
      </c>
      <c r="C465" s="1">
        <v>8762.4</v>
      </c>
      <c r="D465" s="6">
        <v>44298</v>
      </c>
      <c r="E465" t="str">
        <f>"22386233"</f>
        <v>22386233</v>
      </c>
      <c r="F465" t="str">
        <f>"ACCT#2052700385107/PCT#4"</f>
        <v>ACCT#2052700385107/PCT#4</v>
      </c>
      <c r="G465" s="1">
        <v>4507.2</v>
      </c>
      <c r="H465" t="str">
        <f>"ACCT#2052700385107/PCT#4"</f>
        <v>ACCT#2052700385107/PCT#4</v>
      </c>
    </row>
    <row r="466" spans="1:8" x14ac:dyDescent="0.25">
      <c r="E466" t="str">
        <f>"22422164"</f>
        <v>22422164</v>
      </c>
      <c r="F466" t="str">
        <f>"ACCT#2052700385107/PCT#4"</f>
        <v>ACCT#2052700385107/PCT#4</v>
      </c>
      <c r="G466" s="1">
        <v>2462.4</v>
      </c>
      <c r="H466" t="str">
        <f>"ACCT#2052700385107/PCT#4"</f>
        <v>ACCT#2052700385107/PCT#4</v>
      </c>
    </row>
    <row r="467" spans="1:8" x14ac:dyDescent="0.25">
      <c r="E467" t="str">
        <f>"22476895"</f>
        <v>22476895</v>
      </c>
      <c r="F467" t="str">
        <f>"ACCT#2052700385107/PCT#4"</f>
        <v>ACCT#2052700385107/PCT#4</v>
      </c>
      <c r="G467" s="1">
        <v>1792.8</v>
      </c>
      <c r="H467" t="str">
        <f>"ACCT#2052700385107/PCT#4"</f>
        <v>ACCT#2052700385107/PCT#4</v>
      </c>
    </row>
    <row r="468" spans="1:8" x14ac:dyDescent="0.25">
      <c r="A468" t="s">
        <v>91</v>
      </c>
      <c r="B468">
        <v>135303</v>
      </c>
      <c r="C468" s="1">
        <v>2073.6</v>
      </c>
      <c r="D468" s="6">
        <v>44312</v>
      </c>
      <c r="E468" t="str">
        <f>"22551651"</f>
        <v>22551651</v>
      </c>
      <c r="F468" t="str">
        <f>"ACCT#434304/PCT#4"</f>
        <v>ACCT#434304/PCT#4</v>
      </c>
      <c r="G468" s="1">
        <v>2073.6</v>
      </c>
      <c r="H468" t="str">
        <f>"ACCT#434304/PCT#4"</f>
        <v>ACCT#434304/PCT#4</v>
      </c>
    </row>
    <row r="469" spans="1:8" x14ac:dyDescent="0.25">
      <c r="A469" t="s">
        <v>92</v>
      </c>
      <c r="B469">
        <v>4347</v>
      </c>
      <c r="C469" s="1">
        <v>663</v>
      </c>
      <c r="D469" s="6">
        <v>44313</v>
      </c>
      <c r="E469" t="str">
        <f>"20933"</f>
        <v>20933</v>
      </c>
      <c r="F469" t="str">
        <f>"LABOR/AMTERIALS/TAX OFFICE"</f>
        <v>LABOR/AMTERIALS/TAX OFFICE</v>
      </c>
      <c r="G469" s="1">
        <v>663</v>
      </c>
      <c r="H469" t="str">
        <f>"LABOR/AMTERIALS/TAX OFFICE"</f>
        <v>LABOR/AMTERIALS/TAX OFFICE</v>
      </c>
    </row>
    <row r="470" spans="1:8" x14ac:dyDescent="0.25">
      <c r="A470" t="s">
        <v>93</v>
      </c>
      <c r="B470">
        <v>4297</v>
      </c>
      <c r="C470" s="1">
        <v>5351.13</v>
      </c>
      <c r="D470" s="6">
        <v>44299</v>
      </c>
      <c r="E470" t="str">
        <f>"WG01094"</f>
        <v>WG01094</v>
      </c>
      <c r="F470" t="str">
        <f>"ACCT#063/PCT#1"</f>
        <v>ACCT#063/PCT#1</v>
      </c>
      <c r="G470" s="1">
        <v>5351.13</v>
      </c>
      <c r="H470" t="str">
        <f>"ACCT#063/PCT#1"</f>
        <v>ACCT#063/PCT#1</v>
      </c>
    </row>
    <row r="471" spans="1:8" x14ac:dyDescent="0.25">
      <c r="A471" t="s">
        <v>94</v>
      </c>
      <c r="B471">
        <v>135139</v>
      </c>
      <c r="C471" s="1">
        <v>225</v>
      </c>
      <c r="D471" s="6">
        <v>44298</v>
      </c>
      <c r="E471" t="str">
        <f>"13299"</f>
        <v>13299</v>
      </c>
      <c r="F471" t="str">
        <f>"SERVICE"</f>
        <v>SERVICE</v>
      </c>
      <c r="G471" s="1">
        <v>150</v>
      </c>
      <c r="H471" t="str">
        <f>"SERVICE"</f>
        <v>SERVICE</v>
      </c>
    </row>
    <row r="472" spans="1:8" x14ac:dyDescent="0.25">
      <c r="E472" t="str">
        <f>"13335-02-22-2021"</f>
        <v>13335-02-22-2021</v>
      </c>
      <c r="F472" t="str">
        <f>"SERVICE"</f>
        <v>SERVICE</v>
      </c>
      <c r="G472" s="1">
        <v>75</v>
      </c>
      <c r="H472" t="str">
        <f>"SERVICE"</f>
        <v>SERVICE</v>
      </c>
    </row>
    <row r="473" spans="1:8" x14ac:dyDescent="0.25">
      <c r="A473" t="s">
        <v>94</v>
      </c>
      <c r="B473">
        <v>135304</v>
      </c>
      <c r="C473" s="1">
        <v>75</v>
      </c>
      <c r="D473" s="6">
        <v>44312</v>
      </c>
      <c r="E473" t="str">
        <f>"13222"</f>
        <v>13222</v>
      </c>
      <c r="F473" t="str">
        <f>"SERVICE"</f>
        <v>SERVICE</v>
      </c>
      <c r="G473" s="1">
        <v>75</v>
      </c>
      <c r="H473" t="str">
        <f>"SERVICE"</f>
        <v>SERVICE</v>
      </c>
    </row>
    <row r="474" spans="1:8" x14ac:dyDescent="0.25">
      <c r="A474" t="s">
        <v>95</v>
      </c>
      <c r="B474">
        <v>4296</v>
      </c>
      <c r="C474" s="1">
        <v>61.44</v>
      </c>
      <c r="D474" s="6">
        <v>44299</v>
      </c>
      <c r="E474" t="str">
        <f>"257284"</f>
        <v>257284</v>
      </c>
      <c r="F474" t="str">
        <f>"ACCT#4011/PCT#4"</f>
        <v>ACCT#4011/PCT#4</v>
      </c>
      <c r="G474" s="1">
        <v>61.44</v>
      </c>
      <c r="H474" t="str">
        <f>"ACCT#4011/PCT#4"</f>
        <v>ACCT#4011/PCT#4</v>
      </c>
    </row>
    <row r="475" spans="1:8" x14ac:dyDescent="0.25">
      <c r="A475" t="s">
        <v>96</v>
      </c>
      <c r="B475">
        <v>135140</v>
      </c>
      <c r="C475" s="1">
        <v>6210.7</v>
      </c>
      <c r="D475" s="6">
        <v>44298</v>
      </c>
      <c r="E475" t="str">
        <f>"TS65394"</f>
        <v>TS65394</v>
      </c>
      <c r="F475" t="str">
        <f>"BILL#68930-000/ANIMAL SHELTER"</f>
        <v>BILL#68930-000/ANIMAL SHELTER</v>
      </c>
      <c r="G475" s="1">
        <v>2950.68</v>
      </c>
      <c r="H475" t="str">
        <f t="shared" ref="H475:H487" si="11">"BILL#68930-000/ANIMAL SHELTER"</f>
        <v>BILL#68930-000/ANIMAL SHELTER</v>
      </c>
    </row>
    <row r="476" spans="1:8" x14ac:dyDescent="0.25">
      <c r="E476" t="str">
        <f>"TY69347"</f>
        <v>TY69347</v>
      </c>
      <c r="F476" t="str">
        <f>"BILL#68930-000/ANIMAL SHELTER"</f>
        <v>BILL#68930-000/ANIMAL SHELTER</v>
      </c>
      <c r="G476" s="1">
        <v>423.01</v>
      </c>
      <c r="H476" t="str">
        <f t="shared" si="11"/>
        <v>BILL#68930-000/ANIMAL SHELTER</v>
      </c>
    </row>
    <row r="477" spans="1:8" x14ac:dyDescent="0.25">
      <c r="E477" t="str">
        <f>"UG82217"</f>
        <v>UG82217</v>
      </c>
      <c r="F477" t="str">
        <f>"BILL#68930-000/ANIMAL SHELTER"</f>
        <v>BILL#68930-000/ANIMAL SHELTER</v>
      </c>
      <c r="G477" s="1">
        <v>157.85</v>
      </c>
      <c r="H477" t="str">
        <f t="shared" si="11"/>
        <v>BILL#68930-000/ANIMAL SHELTER</v>
      </c>
    </row>
    <row r="478" spans="1:8" x14ac:dyDescent="0.25">
      <c r="E478" t="str">
        <f>"UH39700"</f>
        <v>UH39700</v>
      </c>
      <c r="F478" t="str">
        <f>"BILL#68930-000/ANIMAL SHELTER"</f>
        <v>BILL#68930-000/ANIMAL SHELTER</v>
      </c>
      <c r="G478" s="1">
        <v>208.76</v>
      </c>
      <c r="H478" t="str">
        <f t="shared" si="11"/>
        <v>BILL#68930-000/ANIMAL SHELTER</v>
      </c>
    </row>
    <row r="479" spans="1:8" x14ac:dyDescent="0.25">
      <c r="E479" t="str">
        <f>"UJ07990"</f>
        <v>UJ07990</v>
      </c>
      <c r="F479" t="str">
        <f>"BILL#68930-000/ANIMAL SHELTER"</f>
        <v>BILL#68930-000/ANIMAL SHELTER</v>
      </c>
      <c r="G479" s="1">
        <v>505.13</v>
      </c>
      <c r="H479" t="str">
        <f t="shared" si="11"/>
        <v>BILL#68930-000/ANIMAL SHELTER</v>
      </c>
    </row>
    <row r="480" spans="1:8" x14ac:dyDescent="0.25">
      <c r="E480" t="str">
        <f>""</f>
        <v/>
      </c>
      <c r="F480" t="str">
        <f>""</f>
        <v/>
      </c>
      <c r="H480" t="str">
        <f t="shared" si="11"/>
        <v>BILL#68930-000/ANIMAL SHELTER</v>
      </c>
    </row>
    <row r="481" spans="1:8" x14ac:dyDescent="0.25">
      <c r="E481" t="str">
        <f>"UJ10669"</f>
        <v>UJ10669</v>
      </c>
      <c r="F481" t="str">
        <f t="shared" ref="F481:F487" si="12">"BILL#68930-000/ANIMAL SHELTER"</f>
        <v>BILL#68930-000/ANIMAL SHELTER</v>
      </c>
      <c r="G481" s="1">
        <v>232.1</v>
      </c>
      <c r="H481" t="str">
        <f t="shared" si="11"/>
        <v>BILL#68930-000/ANIMAL SHELTER</v>
      </c>
    </row>
    <row r="482" spans="1:8" x14ac:dyDescent="0.25">
      <c r="E482" t="str">
        <f>"UJ11236"</f>
        <v>UJ11236</v>
      </c>
      <c r="F482" t="str">
        <f t="shared" si="12"/>
        <v>BILL#68930-000/ANIMAL SHELTER</v>
      </c>
      <c r="G482" s="1">
        <v>1076.25</v>
      </c>
      <c r="H482" t="str">
        <f t="shared" si="11"/>
        <v>BILL#68930-000/ANIMAL SHELTER</v>
      </c>
    </row>
    <row r="483" spans="1:8" x14ac:dyDescent="0.25">
      <c r="E483" t="str">
        <f>"UJ70146"</f>
        <v>UJ70146</v>
      </c>
      <c r="F483" t="str">
        <f t="shared" si="12"/>
        <v>BILL#68930-000/ANIMAL SHELTER</v>
      </c>
      <c r="G483" s="1">
        <v>68.819999999999993</v>
      </c>
      <c r="H483" t="str">
        <f t="shared" si="11"/>
        <v>BILL#68930-000/ANIMAL SHELTER</v>
      </c>
    </row>
    <row r="484" spans="1:8" x14ac:dyDescent="0.25">
      <c r="E484" t="str">
        <f>"UJ72094"</f>
        <v>UJ72094</v>
      </c>
      <c r="F484" t="str">
        <f t="shared" si="12"/>
        <v>BILL#68930-000/ANIMAL SHELTER</v>
      </c>
      <c r="G484" s="1">
        <v>22.2</v>
      </c>
      <c r="H484" t="str">
        <f t="shared" si="11"/>
        <v>BILL#68930-000/ANIMAL SHELTER</v>
      </c>
    </row>
    <row r="485" spans="1:8" x14ac:dyDescent="0.25">
      <c r="E485" t="str">
        <f>"UJ85929"</f>
        <v>UJ85929</v>
      </c>
      <c r="F485" t="str">
        <f t="shared" si="12"/>
        <v>BILL#68930-000/ANIMAL SHELTER</v>
      </c>
      <c r="G485" s="1">
        <v>517</v>
      </c>
      <c r="H485" t="str">
        <f t="shared" si="11"/>
        <v>BILL#68930-000/ANIMAL SHELTER</v>
      </c>
    </row>
    <row r="486" spans="1:8" x14ac:dyDescent="0.25">
      <c r="E486" t="str">
        <f>"UJ86851"</f>
        <v>UJ86851</v>
      </c>
      <c r="F486" t="str">
        <f t="shared" si="12"/>
        <v>BILL#68930-000/ANIMAL SHELTER</v>
      </c>
      <c r="G486" s="1">
        <v>10.65</v>
      </c>
      <c r="H486" t="str">
        <f t="shared" si="11"/>
        <v>BILL#68930-000/ANIMAL SHELTER</v>
      </c>
    </row>
    <row r="487" spans="1:8" x14ac:dyDescent="0.25">
      <c r="E487" t="str">
        <f>"UJ98550"</f>
        <v>UJ98550</v>
      </c>
      <c r="F487" t="str">
        <f t="shared" si="12"/>
        <v>BILL#68930-000/ANIMAL SHELTER</v>
      </c>
      <c r="G487" s="1">
        <v>38.25</v>
      </c>
      <c r="H487" t="str">
        <f t="shared" si="11"/>
        <v>BILL#68930-000/ANIMAL SHELTER</v>
      </c>
    </row>
    <row r="488" spans="1:8" x14ac:dyDescent="0.25">
      <c r="A488" t="s">
        <v>96</v>
      </c>
      <c r="B488">
        <v>135305</v>
      </c>
      <c r="C488" s="1">
        <v>525.08000000000004</v>
      </c>
      <c r="D488" s="6">
        <v>44312</v>
      </c>
      <c r="E488" t="str">
        <f>"UK63636"</f>
        <v>UK63636</v>
      </c>
      <c r="F488" t="str">
        <f>"ACCT#68930/ANIMAL SHELTER"</f>
        <v>ACCT#68930/ANIMAL SHELTER</v>
      </c>
      <c r="G488" s="1">
        <v>525.08000000000004</v>
      </c>
      <c r="H488" t="str">
        <f>"ACCT#68930/ANIMAL SHELTER"</f>
        <v>ACCT#68930/ANIMAL SHELTER</v>
      </c>
    </row>
    <row r="489" spans="1:8" x14ac:dyDescent="0.25">
      <c r="E489" t="str">
        <f>""</f>
        <v/>
      </c>
      <c r="F489" t="str">
        <f>""</f>
        <v/>
      </c>
      <c r="H489" t="str">
        <f>"ACCT#68930/ANIMAL SHELTER"</f>
        <v>ACCT#68930/ANIMAL SHELTER</v>
      </c>
    </row>
    <row r="490" spans="1:8" x14ac:dyDescent="0.25">
      <c r="A490" t="s">
        <v>97</v>
      </c>
      <c r="B490">
        <v>135306</v>
      </c>
      <c r="C490" s="1">
        <v>50</v>
      </c>
      <c r="D490" s="6">
        <v>44312</v>
      </c>
      <c r="E490" t="str">
        <f>"13-163"</f>
        <v>13-163</v>
      </c>
      <c r="F490" t="str">
        <f>"RESTITUTION/MARCUS MANZANARES"</f>
        <v>RESTITUTION/MARCUS MANZANARES</v>
      </c>
      <c r="G490" s="1">
        <v>50</v>
      </c>
      <c r="H490" t="str">
        <f>"RESTITUTION/MARCUS MANZANARES"</f>
        <v>RESTITUTION/MARCUS MANZANARES</v>
      </c>
    </row>
    <row r="491" spans="1:8" x14ac:dyDescent="0.25">
      <c r="A491" t="s">
        <v>98</v>
      </c>
      <c r="B491">
        <v>4366</v>
      </c>
      <c r="C491" s="1">
        <v>3503.28</v>
      </c>
      <c r="D491" s="6">
        <v>44313</v>
      </c>
      <c r="E491" t="str">
        <f>"87-30595"</f>
        <v>87-30595</v>
      </c>
      <c r="F491" t="str">
        <f>"CUST#57687/WILD FIRE MIT"</f>
        <v>CUST#57687/WILD FIRE MIT</v>
      </c>
      <c r="G491" s="1">
        <v>3503.28</v>
      </c>
      <c r="H491" t="str">
        <f>"CUST#57687"</f>
        <v>CUST#57687</v>
      </c>
    </row>
    <row r="492" spans="1:8" x14ac:dyDescent="0.25">
      <c r="A492" t="s">
        <v>99</v>
      </c>
      <c r="B492">
        <v>135141</v>
      </c>
      <c r="C492" s="1">
        <v>780</v>
      </c>
      <c r="D492" s="6">
        <v>44298</v>
      </c>
      <c r="E492" t="str">
        <f>"11389"</f>
        <v>11389</v>
      </c>
      <c r="F492" t="str">
        <f>"SERVICE"</f>
        <v>SERVICE</v>
      </c>
      <c r="G492" s="1">
        <v>300</v>
      </c>
      <c r="H492" t="str">
        <f>"SERVICE"</f>
        <v>SERVICE</v>
      </c>
    </row>
    <row r="493" spans="1:8" x14ac:dyDescent="0.25">
      <c r="E493" t="str">
        <f>"12921"</f>
        <v>12921</v>
      </c>
      <c r="F493" t="str">
        <f>"SERVICE"</f>
        <v>SERVICE</v>
      </c>
      <c r="G493" s="1">
        <v>80</v>
      </c>
      <c r="H493" t="str">
        <f>"SERVICE"</f>
        <v>SERVICE</v>
      </c>
    </row>
    <row r="494" spans="1:8" x14ac:dyDescent="0.25">
      <c r="E494" t="str">
        <f>"13088"</f>
        <v>13088</v>
      </c>
      <c r="F494" t="str">
        <f>"SERVICE"</f>
        <v>SERVICE</v>
      </c>
      <c r="G494" s="1">
        <v>160</v>
      </c>
      <c r="H494" t="str">
        <f>"SERVICE"</f>
        <v>SERVICE</v>
      </c>
    </row>
    <row r="495" spans="1:8" x14ac:dyDescent="0.25">
      <c r="E495" t="str">
        <f>"13299"</f>
        <v>13299</v>
      </c>
      <c r="F495" t="str">
        <f>"SERVICE"</f>
        <v>SERVICE</v>
      </c>
      <c r="G495" s="1">
        <v>160</v>
      </c>
      <c r="H495" t="str">
        <f>"SERVICE"</f>
        <v>SERVICE</v>
      </c>
    </row>
    <row r="496" spans="1:8" x14ac:dyDescent="0.25">
      <c r="E496" t="str">
        <f>"13556"</f>
        <v>13556</v>
      </c>
      <c r="F496" t="str">
        <f>"SERVICE"</f>
        <v>SERVICE</v>
      </c>
      <c r="G496" s="1">
        <v>80</v>
      </c>
      <c r="H496" t="str">
        <f>"SERVICE"</f>
        <v>SERVICE</v>
      </c>
    </row>
    <row r="497" spans="1:8" x14ac:dyDescent="0.25">
      <c r="A497" t="s">
        <v>100</v>
      </c>
      <c r="B497">
        <v>135142</v>
      </c>
      <c r="C497" s="1">
        <v>2000</v>
      </c>
      <c r="D497" s="6">
        <v>44298</v>
      </c>
      <c r="E497" t="str">
        <f>"202104062479"</f>
        <v>202104062479</v>
      </c>
      <c r="F497" t="str">
        <f>"CIT TRAINING"</f>
        <v>CIT TRAINING</v>
      </c>
      <c r="G497" s="1">
        <v>2000</v>
      </c>
      <c r="H497" t="str">
        <f>"CIT PRIMARY INSTRUCT"</f>
        <v>CIT PRIMARY INSTRUCT</v>
      </c>
    </row>
    <row r="498" spans="1:8" x14ac:dyDescent="0.25">
      <c r="A498" t="s">
        <v>101</v>
      </c>
      <c r="B498">
        <v>4368</v>
      </c>
      <c r="C498" s="1">
        <v>400</v>
      </c>
      <c r="D498" s="6">
        <v>44313</v>
      </c>
      <c r="E498" t="str">
        <f>"202104152644"</f>
        <v>202104152644</v>
      </c>
      <c r="F498" t="str">
        <f>"15904"</f>
        <v>15904</v>
      </c>
      <c r="G498" s="1">
        <v>400</v>
      </c>
      <c r="H498" t="str">
        <f>"15904"</f>
        <v>15904</v>
      </c>
    </row>
    <row r="499" spans="1:8" x14ac:dyDescent="0.25">
      <c r="A499" t="s">
        <v>102</v>
      </c>
      <c r="B499">
        <v>135143</v>
      </c>
      <c r="C499" s="1">
        <v>5673.97</v>
      </c>
      <c r="D499" s="6">
        <v>44298</v>
      </c>
      <c r="E499" t="str">
        <f>"23242"</f>
        <v>23242</v>
      </c>
      <c r="F499" t="str">
        <f>"Sharp Display"</f>
        <v>Sharp Display</v>
      </c>
      <c r="G499" s="1">
        <v>5673.97</v>
      </c>
      <c r="H499" t="str">
        <f>"PN-CE701H"</f>
        <v>PN-CE701H</v>
      </c>
    </row>
    <row r="500" spans="1:8" x14ac:dyDescent="0.25">
      <c r="E500" t="str">
        <f>""</f>
        <v/>
      </c>
      <c r="F500" t="str">
        <f>""</f>
        <v/>
      </c>
      <c r="H500" t="str">
        <f>"PN-SR780M"</f>
        <v>PN-SR780M</v>
      </c>
    </row>
    <row r="501" spans="1:8" x14ac:dyDescent="0.25">
      <c r="E501" t="str">
        <f>""</f>
        <v/>
      </c>
      <c r="F501" t="str">
        <f>""</f>
        <v/>
      </c>
      <c r="H501" t="str">
        <f>"PN-SPCI5W10C"</f>
        <v>PN-SPCI5W10C</v>
      </c>
    </row>
    <row r="502" spans="1:8" x14ac:dyDescent="0.25">
      <c r="E502" t="str">
        <f>""</f>
        <v/>
      </c>
      <c r="F502" t="str">
        <f>""</f>
        <v/>
      </c>
      <c r="H502" t="str">
        <f>"Shipping"</f>
        <v>Shipping</v>
      </c>
    </row>
    <row r="503" spans="1:8" x14ac:dyDescent="0.25">
      <c r="A503" t="s">
        <v>103</v>
      </c>
      <c r="B503">
        <v>4344</v>
      </c>
      <c r="C503" s="1">
        <v>1352.5</v>
      </c>
      <c r="D503" s="6">
        <v>44313</v>
      </c>
      <c r="E503" t="str">
        <f>"202104152654"</f>
        <v>202104152654</v>
      </c>
      <c r="F503" t="str">
        <f>"21-20594"</f>
        <v>21-20594</v>
      </c>
      <c r="G503" s="1">
        <v>175</v>
      </c>
      <c r="H503" t="str">
        <f>"21-20594"</f>
        <v>21-20594</v>
      </c>
    </row>
    <row r="504" spans="1:8" x14ac:dyDescent="0.25">
      <c r="E504" t="str">
        <f>"202104152655"</f>
        <v>202104152655</v>
      </c>
      <c r="F504" t="str">
        <f>"20-20056"</f>
        <v>20-20056</v>
      </c>
      <c r="G504" s="1">
        <v>547.5</v>
      </c>
      <c r="H504" t="str">
        <f>"20-20056"</f>
        <v>20-20056</v>
      </c>
    </row>
    <row r="505" spans="1:8" x14ac:dyDescent="0.25">
      <c r="E505" t="str">
        <f>"202104152656"</f>
        <v>202104152656</v>
      </c>
      <c r="F505" t="str">
        <f>"20-20207"</f>
        <v>20-20207</v>
      </c>
      <c r="G505" s="1">
        <v>345</v>
      </c>
      <c r="H505" t="str">
        <f>"20-20207"</f>
        <v>20-20207</v>
      </c>
    </row>
    <row r="506" spans="1:8" x14ac:dyDescent="0.25">
      <c r="E506" t="str">
        <f>"202104152657"</f>
        <v>202104152657</v>
      </c>
      <c r="F506" t="str">
        <f>"19-19967"</f>
        <v>19-19967</v>
      </c>
      <c r="G506" s="1">
        <v>285</v>
      </c>
      <c r="H506" t="str">
        <f>"19-19967"</f>
        <v>19-19967</v>
      </c>
    </row>
    <row r="507" spans="1:8" x14ac:dyDescent="0.25">
      <c r="A507" t="s">
        <v>104</v>
      </c>
      <c r="B507">
        <v>135144</v>
      </c>
      <c r="C507" s="1">
        <v>1606.67</v>
      </c>
      <c r="D507" s="6">
        <v>44298</v>
      </c>
      <c r="E507" t="str">
        <f>"2166356"</f>
        <v>2166356</v>
      </c>
      <c r="F507" t="str">
        <f>"INV 2166356  2171543"</f>
        <v>INV 2166356  2171543</v>
      </c>
      <c r="G507" s="1">
        <v>1606.67</v>
      </c>
      <c r="H507" t="str">
        <f>"INV 2166356"</f>
        <v>INV 2166356</v>
      </c>
    </row>
    <row r="508" spans="1:8" x14ac:dyDescent="0.25">
      <c r="E508" t="str">
        <f>""</f>
        <v/>
      </c>
      <c r="F508" t="str">
        <f>""</f>
        <v/>
      </c>
      <c r="H508" t="str">
        <f>"INV 2171543"</f>
        <v>INV 2171543</v>
      </c>
    </row>
    <row r="509" spans="1:8" x14ac:dyDescent="0.25">
      <c r="E509" t="str">
        <f>""</f>
        <v/>
      </c>
      <c r="F509" t="str">
        <f>""</f>
        <v/>
      </c>
      <c r="H509" t="str">
        <f>"INV 2177144"</f>
        <v>INV 2177144</v>
      </c>
    </row>
    <row r="510" spans="1:8" x14ac:dyDescent="0.25">
      <c r="A510" t="s">
        <v>104</v>
      </c>
      <c r="B510">
        <v>135307</v>
      </c>
      <c r="C510" s="1">
        <v>1024.54</v>
      </c>
      <c r="D510" s="6">
        <v>44312</v>
      </c>
      <c r="E510" t="str">
        <f>"2182490"</f>
        <v>2182490</v>
      </c>
      <c r="F510" t="str">
        <f>"INV 2182490  2188089"</f>
        <v>INV 2182490  2188089</v>
      </c>
      <c r="G510" s="1">
        <v>1024.54</v>
      </c>
      <c r="H510" t="str">
        <f>"INV 2182490"</f>
        <v>INV 2182490</v>
      </c>
    </row>
    <row r="511" spans="1:8" x14ac:dyDescent="0.25">
      <c r="E511" t="str">
        <f>""</f>
        <v/>
      </c>
      <c r="F511" t="str">
        <f>""</f>
        <v/>
      </c>
      <c r="H511" t="str">
        <f>"INV 2188089"</f>
        <v>INV 2188089</v>
      </c>
    </row>
    <row r="512" spans="1:8" x14ac:dyDescent="0.25">
      <c r="A512" t="s">
        <v>105</v>
      </c>
      <c r="B512">
        <v>135145</v>
      </c>
      <c r="C512" s="1">
        <v>1216.52</v>
      </c>
      <c r="D512" s="6">
        <v>44298</v>
      </c>
      <c r="E512" t="str">
        <f>"22870"</f>
        <v>22870</v>
      </c>
      <c r="F512" t="str">
        <f>"Keyboard fro Jason Parker"</f>
        <v>Keyboard fro Jason Parker</v>
      </c>
      <c r="G512" s="1">
        <v>30.79</v>
      </c>
      <c r="H512" t="str">
        <f>"Keyboard  Jason Parker"</f>
        <v>Keyboard  Jason Parker</v>
      </c>
    </row>
    <row r="513" spans="1:8" x14ac:dyDescent="0.25">
      <c r="E513" t="str">
        <f>"23466"</f>
        <v>23466</v>
      </c>
      <c r="F513" t="str">
        <f>"Rugged Warranty Renewal"</f>
        <v>Rugged Warranty Renewal</v>
      </c>
      <c r="G513" s="1">
        <v>708.88</v>
      </c>
      <c r="H513" t="str">
        <f>"Rugged Warranty Renewal"</f>
        <v>Rugged Warranty Renewal</v>
      </c>
    </row>
    <row r="514" spans="1:8" x14ac:dyDescent="0.25">
      <c r="E514" t="str">
        <f>""</f>
        <v/>
      </c>
      <c r="F514" t="str">
        <f>""</f>
        <v/>
      </c>
      <c r="H514" t="str">
        <f>"30% Discount"</f>
        <v>30% Discount</v>
      </c>
    </row>
    <row r="515" spans="1:8" x14ac:dyDescent="0.25">
      <c r="E515" t="str">
        <f>"23471"</f>
        <v>23471</v>
      </c>
      <c r="F515" t="str">
        <f>"FlexiSpot AlcoveRiser M7L"</f>
        <v>FlexiSpot AlcoveRiser M7L</v>
      </c>
      <c r="G515" s="1">
        <v>124.95</v>
      </c>
      <c r="H515" t="str">
        <f>"FlexiSpot AlcoveRiser M7L"</f>
        <v>FlexiSpot AlcoveRiser M7L</v>
      </c>
    </row>
    <row r="516" spans="1:8" x14ac:dyDescent="0.25">
      <c r="E516" t="str">
        <f>"3000079940568"</f>
        <v>3000079940568</v>
      </c>
      <c r="F516" t="str">
        <f>"120GB SSD's"</f>
        <v>120GB SSD's</v>
      </c>
      <c r="G516" s="1">
        <v>351.9</v>
      </c>
      <c r="H516" t="str">
        <f>"120GB SSD's"</f>
        <v>120GB SSD's</v>
      </c>
    </row>
    <row r="517" spans="1:8" x14ac:dyDescent="0.25">
      <c r="E517" t="str">
        <f>""</f>
        <v/>
      </c>
      <c r="F517" t="str">
        <f>""</f>
        <v/>
      </c>
      <c r="H517" t="str">
        <f>"Premier Discount"</f>
        <v>Premier Discount</v>
      </c>
    </row>
    <row r="518" spans="1:8" x14ac:dyDescent="0.25">
      <c r="A518" t="s">
        <v>105</v>
      </c>
      <c r="B518">
        <v>135308</v>
      </c>
      <c r="C518" s="1">
        <v>1308.31</v>
      </c>
      <c r="D518" s="6">
        <v>44312</v>
      </c>
      <c r="E518" t="str">
        <f>"22275"</f>
        <v>22275</v>
      </c>
      <c r="F518" t="str">
        <f>"Laptop battery and fan"</f>
        <v>Laptop battery and fan</v>
      </c>
      <c r="G518" s="1">
        <v>132.97999999999999</v>
      </c>
      <c r="H518" t="str">
        <f>"Assembly Fan 9343"</f>
        <v>Assembly Fan 9343</v>
      </c>
    </row>
    <row r="519" spans="1:8" x14ac:dyDescent="0.25">
      <c r="E519" t="str">
        <f>""</f>
        <v/>
      </c>
      <c r="F519" t="str">
        <f>""</f>
        <v/>
      </c>
      <c r="H519" t="str">
        <f>"Battery 60WHR 4C"</f>
        <v>Battery 60WHR 4C</v>
      </c>
    </row>
    <row r="520" spans="1:8" x14ac:dyDescent="0.25">
      <c r="E520" t="str">
        <f>"23584"</f>
        <v>23584</v>
      </c>
      <c r="F520" t="str">
        <f>"External DVD Drive DA"</f>
        <v>External DVD Drive DA</v>
      </c>
      <c r="G520" s="1">
        <v>44.09</v>
      </c>
      <c r="H520" t="str">
        <f>"External DVD Drive DA'S"</f>
        <v>External DVD Drive DA'S</v>
      </c>
    </row>
    <row r="521" spans="1:8" x14ac:dyDescent="0.25">
      <c r="E521" t="str">
        <f>"23595"</f>
        <v>23595</v>
      </c>
      <c r="F521" t="str">
        <f>"Wireless Keyboard/mouse"</f>
        <v>Wireless Keyboard/mouse</v>
      </c>
      <c r="G521" s="1">
        <v>42.74</v>
      </c>
      <c r="H521" t="str">
        <f>"Wireless Keyboard/mouse"</f>
        <v>Wireless Keyboard/mouse</v>
      </c>
    </row>
    <row r="522" spans="1:8" x14ac:dyDescent="0.25">
      <c r="E522" t="str">
        <f>"23596"</f>
        <v>23596</v>
      </c>
      <c r="F522" t="str">
        <f>"20 120GB SSD'S"</f>
        <v>20 120GB SSD'S</v>
      </c>
      <c r="G522" s="1">
        <v>703.8</v>
      </c>
      <c r="H522" t="str">
        <f>"20 120GB SSD'S"</f>
        <v>20 120GB SSD'S</v>
      </c>
    </row>
    <row r="523" spans="1:8" x14ac:dyDescent="0.25">
      <c r="E523" t="str">
        <f>"23713"</f>
        <v>23713</v>
      </c>
      <c r="F523" t="str">
        <f>"Soundbars"</f>
        <v>Soundbars</v>
      </c>
      <c r="G523" s="1">
        <v>384.7</v>
      </c>
      <c r="H523" t="str">
        <f>"AC511M"</f>
        <v>AC511M</v>
      </c>
    </row>
    <row r="524" spans="1:8" x14ac:dyDescent="0.25">
      <c r="E524" t="str">
        <f>""</f>
        <v/>
      </c>
      <c r="F524" t="str">
        <f>""</f>
        <v/>
      </c>
      <c r="H524" t="str">
        <f>"Premier Discount"</f>
        <v>Premier Discount</v>
      </c>
    </row>
    <row r="525" spans="1:8" x14ac:dyDescent="0.25">
      <c r="A525" t="s">
        <v>106</v>
      </c>
      <c r="B525">
        <v>4299</v>
      </c>
      <c r="C525" s="1">
        <v>2199.96</v>
      </c>
      <c r="D525" s="6">
        <v>44299</v>
      </c>
      <c r="E525" t="str">
        <f>"BATX017241"</f>
        <v>BATX017241</v>
      </c>
      <c r="F525" t="str">
        <f>"INV BATX017241"</f>
        <v>INV BATX017241</v>
      </c>
      <c r="G525" s="1">
        <v>2199.96</v>
      </c>
      <c r="H525" t="str">
        <f>"INV BATX017241"</f>
        <v>INV BATX017241</v>
      </c>
    </row>
    <row r="526" spans="1:8" x14ac:dyDescent="0.25">
      <c r="A526" t="s">
        <v>106</v>
      </c>
      <c r="B526">
        <v>4375</v>
      </c>
      <c r="C526" s="1">
        <v>1410.58</v>
      </c>
      <c r="D526" s="6">
        <v>44313</v>
      </c>
      <c r="E526" t="str">
        <f>"BATX017286"</f>
        <v>BATX017286</v>
      </c>
      <c r="F526" t="str">
        <f>"INV BATX017286"</f>
        <v>INV BATX017286</v>
      </c>
      <c r="G526" s="1">
        <v>1410.58</v>
      </c>
      <c r="H526" t="str">
        <f>"INV BATX017286"</f>
        <v>INV BATX017286</v>
      </c>
    </row>
    <row r="527" spans="1:8" x14ac:dyDescent="0.25">
      <c r="A527" t="s">
        <v>107</v>
      </c>
      <c r="B527">
        <v>4369</v>
      </c>
      <c r="C527" s="1">
        <v>986</v>
      </c>
      <c r="D527" s="6">
        <v>44313</v>
      </c>
      <c r="E527" t="str">
        <f>"IN5756"</f>
        <v>IN5756</v>
      </c>
      <c r="F527" t="str">
        <f>"CleanPen"</f>
        <v>CleanPen</v>
      </c>
      <c r="G527" s="1">
        <v>986</v>
      </c>
      <c r="H527" t="str">
        <f>"CleanPen Refills"</f>
        <v>CleanPen Refills</v>
      </c>
    </row>
    <row r="528" spans="1:8" x14ac:dyDescent="0.25">
      <c r="E528" t="str">
        <f>""</f>
        <v/>
      </c>
      <c r="F528" t="str">
        <f>""</f>
        <v/>
      </c>
      <c r="H528" t="str">
        <f>"Foam Sanitizer"</f>
        <v>Foam Sanitizer</v>
      </c>
    </row>
    <row r="529" spans="1:8" x14ac:dyDescent="0.25">
      <c r="E529" t="str">
        <f>""</f>
        <v/>
      </c>
      <c r="F529" t="str">
        <f>""</f>
        <v/>
      </c>
      <c r="H529" t="str">
        <f>"Freight"</f>
        <v>Freight</v>
      </c>
    </row>
    <row r="530" spans="1:8" x14ac:dyDescent="0.25">
      <c r="A530" t="s">
        <v>108</v>
      </c>
      <c r="B530">
        <v>135146</v>
      </c>
      <c r="C530" s="1">
        <v>513</v>
      </c>
      <c r="D530" s="6">
        <v>44298</v>
      </c>
      <c r="E530" t="str">
        <f>"27639"</f>
        <v>27639</v>
      </c>
      <c r="F530" t="str">
        <f>"PRECINCT#3"</f>
        <v>PRECINCT#3</v>
      </c>
      <c r="G530" s="1">
        <v>513</v>
      </c>
      <c r="H530" t="str">
        <f>"PRECINCT#3"</f>
        <v>PRECINCT#3</v>
      </c>
    </row>
    <row r="531" spans="1:8" x14ac:dyDescent="0.25">
      <c r="A531" t="s">
        <v>109</v>
      </c>
      <c r="B531">
        <v>135147</v>
      </c>
      <c r="C531" s="1">
        <v>20283.52</v>
      </c>
      <c r="D531" s="6">
        <v>44298</v>
      </c>
      <c r="E531" t="str">
        <f>"21021104N"</f>
        <v>21021104N</v>
      </c>
      <c r="F531" t="str">
        <f>"CUST#PKE5000"</f>
        <v>CUST#PKE5000</v>
      </c>
      <c r="G531" s="1">
        <v>20283.52</v>
      </c>
      <c r="H531" t="str">
        <f>"CUST#PKE5000"</f>
        <v>CUST#PKE5000</v>
      </c>
    </row>
    <row r="532" spans="1:8" x14ac:dyDescent="0.25">
      <c r="E532" t="str">
        <f>""</f>
        <v/>
      </c>
      <c r="F532" t="str">
        <f>""</f>
        <v/>
      </c>
      <c r="H532" t="str">
        <f>"CUST#PKE5000"</f>
        <v>CUST#PKE5000</v>
      </c>
    </row>
    <row r="533" spans="1:8" x14ac:dyDescent="0.25">
      <c r="A533" t="s">
        <v>110</v>
      </c>
      <c r="B533">
        <v>135309</v>
      </c>
      <c r="C533" s="1">
        <v>341.84</v>
      </c>
      <c r="D533" s="6">
        <v>44312</v>
      </c>
      <c r="E533" t="str">
        <f>"28826"</f>
        <v>28826</v>
      </c>
      <c r="F533" t="str">
        <f>"SIGN SHOP MATERIALS"</f>
        <v>SIGN SHOP MATERIALS</v>
      </c>
      <c r="G533" s="1">
        <v>341.84</v>
      </c>
      <c r="H533" t="str">
        <f>"DISCOUNT DOOR &amp; METAL  LLC"</f>
        <v>DISCOUNT DOOR &amp; METAL  LLC</v>
      </c>
    </row>
    <row r="534" spans="1:8" x14ac:dyDescent="0.25">
      <c r="A534" t="s">
        <v>111</v>
      </c>
      <c r="B534">
        <v>135148</v>
      </c>
      <c r="C534" s="1">
        <v>36.25</v>
      </c>
      <c r="D534" s="6">
        <v>44298</v>
      </c>
      <c r="E534" t="str">
        <f>"2892597"</f>
        <v>2892597</v>
      </c>
      <c r="F534" t="str">
        <f>"ACCT#27917/PCT#4"</f>
        <v>ACCT#27917/PCT#4</v>
      </c>
      <c r="G534" s="1">
        <v>36.25</v>
      </c>
      <c r="H534" t="str">
        <f>"ACCT#27917/PCT#4"</f>
        <v>ACCT#27917/PCT#4</v>
      </c>
    </row>
    <row r="535" spans="1:8" x14ac:dyDescent="0.25">
      <c r="A535" t="s">
        <v>111</v>
      </c>
      <c r="B535">
        <v>135310</v>
      </c>
      <c r="C535" s="1">
        <v>1742</v>
      </c>
      <c r="D535" s="6">
        <v>44312</v>
      </c>
      <c r="E535" t="str">
        <f>"2895926"</f>
        <v>2895926</v>
      </c>
      <c r="F535" t="str">
        <f>"ACCT#27917"</f>
        <v>ACCT#27917</v>
      </c>
      <c r="G535" s="1">
        <v>847</v>
      </c>
      <c r="H535" t="str">
        <f>"ACCT#27917"</f>
        <v>ACCT#27917</v>
      </c>
    </row>
    <row r="536" spans="1:8" x14ac:dyDescent="0.25">
      <c r="E536" t="str">
        <f>"2904055"</f>
        <v>2904055</v>
      </c>
      <c r="F536" t="str">
        <f>"ACCT#27917/DEV. SRCS"</f>
        <v>ACCT#27917/DEV. SRCS</v>
      </c>
      <c r="G536" s="1">
        <v>895</v>
      </c>
      <c r="H536" t="str">
        <f>"ACCT#27917/DEV. SRCS"</f>
        <v>ACCT#27917/DEV. SRCS</v>
      </c>
    </row>
    <row r="537" spans="1:8" x14ac:dyDescent="0.25">
      <c r="A537" t="s">
        <v>112</v>
      </c>
      <c r="B537">
        <v>135275</v>
      </c>
      <c r="C537" s="1">
        <v>1498.8</v>
      </c>
      <c r="D537" s="6">
        <v>44308</v>
      </c>
      <c r="E537" t="str">
        <f>"202104222818"</f>
        <v>202104222818</v>
      </c>
      <c r="F537" t="str">
        <f>"ACCT#405900029213 / 04012021"</f>
        <v>ACCT#405900029213 / 04012021</v>
      </c>
      <c r="G537" s="1">
        <v>374.7</v>
      </c>
      <c r="H537" t="str">
        <f>"ACCT#405900029213 / 04012021"</f>
        <v>ACCT#405900029213 / 04012021</v>
      </c>
    </row>
    <row r="538" spans="1:8" x14ac:dyDescent="0.25">
      <c r="E538" t="str">
        <f>"202104222819"</f>
        <v>202104222819</v>
      </c>
      <c r="F538" t="str">
        <f>"ACCT#405900029213 / 05012021"</f>
        <v>ACCT#405900029213 / 05012021</v>
      </c>
      <c r="G538" s="1">
        <v>374.7</v>
      </c>
      <c r="H538" t="str">
        <f>"ACCT#405900029213 / 05012021"</f>
        <v>ACCT#405900029213 / 05012021</v>
      </c>
    </row>
    <row r="539" spans="1:8" x14ac:dyDescent="0.25">
      <c r="E539" t="str">
        <f>"202104222820"</f>
        <v>202104222820</v>
      </c>
      <c r="F539" t="str">
        <f>"ACCT#405900029225 / 04012021"</f>
        <v>ACCT#405900029225 / 04012021</v>
      </c>
      <c r="G539" s="1">
        <v>187.35</v>
      </c>
      <c r="H539" t="str">
        <f>"ACCT#405900029225 / 04012021"</f>
        <v>ACCT#405900029225 / 04012021</v>
      </c>
    </row>
    <row r="540" spans="1:8" x14ac:dyDescent="0.25">
      <c r="E540" t="str">
        <f>"202104222821"</f>
        <v>202104222821</v>
      </c>
      <c r="F540" t="str">
        <f>"ACCT#405900029225 / 05012021"</f>
        <v>ACCT#405900029225 / 05012021</v>
      </c>
      <c r="G540" s="1">
        <v>187.35</v>
      </c>
      <c r="H540" t="str">
        <f>"ACCT#405900029225 / 05012021"</f>
        <v>ACCT#405900029225 / 05012021</v>
      </c>
    </row>
    <row r="541" spans="1:8" x14ac:dyDescent="0.25">
      <c r="E541" t="str">
        <f>"202104222822"</f>
        <v>202104222822</v>
      </c>
      <c r="F541" t="str">
        <f>"ACCT#405900028789 / 04012021"</f>
        <v>ACCT#405900028789 / 04012021</v>
      </c>
      <c r="G541" s="1">
        <v>187.35</v>
      </c>
      <c r="H541" t="str">
        <f>"ACCT#405900028789 / 04012021"</f>
        <v>ACCT#405900028789 / 04012021</v>
      </c>
    </row>
    <row r="542" spans="1:8" x14ac:dyDescent="0.25">
      <c r="E542" t="str">
        <f>"202104222823"</f>
        <v>202104222823</v>
      </c>
      <c r="F542" t="str">
        <f>"ACCT#405900028789 / 05012021"</f>
        <v>ACCT#405900028789 / 05012021</v>
      </c>
      <c r="G542" s="1">
        <v>187.35</v>
      </c>
      <c r="H542" t="str">
        <f>"ACCT#405900028789 / 05012021"</f>
        <v>ACCT#405900028789 / 05012021</v>
      </c>
    </row>
    <row r="543" spans="1:8" x14ac:dyDescent="0.25">
      <c r="A543" t="s">
        <v>113</v>
      </c>
      <c r="B543">
        <v>135311</v>
      </c>
      <c r="C543" s="1">
        <v>50</v>
      </c>
      <c r="D543" s="6">
        <v>44312</v>
      </c>
      <c r="E543" t="str">
        <f>"13-163"</f>
        <v>13-163</v>
      </c>
      <c r="F543" t="str">
        <f>"RESTITUTION/MARCUS MANANARES"</f>
        <v>RESTITUTION/MARCUS MANANARES</v>
      </c>
      <c r="G543" s="1">
        <v>50</v>
      </c>
      <c r="H543" t="str">
        <f>"RESTITUTION/MARCUS MANANARES"</f>
        <v>RESTITUTION/MARCUS MANANARES</v>
      </c>
    </row>
    <row r="544" spans="1:8" x14ac:dyDescent="0.25">
      <c r="A544" t="s">
        <v>114</v>
      </c>
      <c r="B544">
        <v>4283</v>
      </c>
      <c r="C544" s="1">
        <v>1541.67</v>
      </c>
      <c r="D544" s="6">
        <v>44299</v>
      </c>
      <c r="E544" t="str">
        <f>"29866B"</f>
        <v>29866B</v>
      </c>
      <c r="F544" t="str">
        <f>"INV 29866B"</f>
        <v>INV 29866B</v>
      </c>
      <c r="G544" s="1">
        <v>1541.67</v>
      </c>
      <c r="H544" t="str">
        <f>"INV 29866B"</f>
        <v>INV 29866B</v>
      </c>
    </row>
    <row r="545" spans="1:8" x14ac:dyDescent="0.25">
      <c r="A545" t="s">
        <v>115</v>
      </c>
      <c r="B545">
        <v>4324</v>
      </c>
      <c r="C545" s="1">
        <v>5743.75</v>
      </c>
      <c r="D545" s="6">
        <v>44299</v>
      </c>
      <c r="E545" t="str">
        <f>"202103242275"</f>
        <v>202103242275</v>
      </c>
      <c r="F545" t="str">
        <f>"21-20616"</f>
        <v>21-20616</v>
      </c>
      <c r="G545" s="1">
        <v>325</v>
      </c>
      <c r="H545" t="str">
        <f>"21-20616"</f>
        <v>21-20616</v>
      </c>
    </row>
    <row r="546" spans="1:8" x14ac:dyDescent="0.25">
      <c r="E546" t="str">
        <f>"202103242276"</f>
        <v>202103242276</v>
      </c>
      <c r="F546" t="str">
        <f>"20-20207"</f>
        <v>20-20207</v>
      </c>
      <c r="G546" s="1">
        <v>1793.75</v>
      </c>
      <c r="H546" t="str">
        <f>"20-20207"</f>
        <v>20-20207</v>
      </c>
    </row>
    <row r="547" spans="1:8" x14ac:dyDescent="0.25">
      <c r="E547" t="str">
        <f>"202103242293"</f>
        <v>202103242293</v>
      </c>
      <c r="F547" t="str">
        <f>"312282018H"</f>
        <v>312282018H</v>
      </c>
      <c r="G547" s="1">
        <v>250</v>
      </c>
      <c r="H547" t="str">
        <f>"312282018H"</f>
        <v>312282018H</v>
      </c>
    </row>
    <row r="548" spans="1:8" x14ac:dyDescent="0.25">
      <c r="E548" t="str">
        <f>"202103312383"</f>
        <v>202103312383</v>
      </c>
      <c r="F548" t="str">
        <f>"19-19967"</f>
        <v>19-19967</v>
      </c>
      <c r="G548" s="1">
        <v>112.5</v>
      </c>
      <c r="H548" t="str">
        <f>"19-19967"</f>
        <v>19-19967</v>
      </c>
    </row>
    <row r="549" spans="1:8" x14ac:dyDescent="0.25">
      <c r="E549" t="str">
        <f>"202103312385"</f>
        <v>202103312385</v>
      </c>
      <c r="F549" t="str">
        <f>"57537"</f>
        <v>57537</v>
      </c>
      <c r="G549" s="1">
        <v>250</v>
      </c>
      <c r="H549" t="str">
        <f>"57537"</f>
        <v>57537</v>
      </c>
    </row>
    <row r="550" spans="1:8" x14ac:dyDescent="0.25">
      <c r="E550" t="str">
        <f>"202103312386"</f>
        <v>202103312386</v>
      </c>
      <c r="F550" t="str">
        <f>"57195"</f>
        <v>57195</v>
      </c>
      <c r="G550" s="1">
        <v>375</v>
      </c>
      <c r="H550" t="str">
        <f>"57195"</f>
        <v>57195</v>
      </c>
    </row>
    <row r="551" spans="1:8" x14ac:dyDescent="0.25">
      <c r="E551" t="str">
        <f>"202104052400"</f>
        <v>202104052400</v>
      </c>
      <c r="F551" t="str">
        <f>"409229-5"</f>
        <v>409229-5</v>
      </c>
      <c r="G551" s="1">
        <v>400</v>
      </c>
      <c r="H551" t="str">
        <f>"409229-5"</f>
        <v>409229-5</v>
      </c>
    </row>
    <row r="552" spans="1:8" x14ac:dyDescent="0.25">
      <c r="E552" t="str">
        <f>"202104052401"</f>
        <v>202104052401</v>
      </c>
      <c r="F552" t="str">
        <f>"17194"</f>
        <v>17194</v>
      </c>
      <c r="G552" s="1">
        <v>600</v>
      </c>
      <c r="H552" t="str">
        <f>"17194"</f>
        <v>17194</v>
      </c>
    </row>
    <row r="553" spans="1:8" x14ac:dyDescent="0.25">
      <c r="E553" t="str">
        <f>"202104052402"</f>
        <v>202104052402</v>
      </c>
      <c r="F553" t="str">
        <f>"16056"</f>
        <v>16056</v>
      </c>
      <c r="G553" s="1">
        <v>1000</v>
      </c>
      <c r="H553" t="str">
        <f>"16056"</f>
        <v>16056</v>
      </c>
    </row>
    <row r="554" spans="1:8" x14ac:dyDescent="0.25">
      <c r="E554" t="str">
        <f>"202104052406"</f>
        <v>202104052406</v>
      </c>
      <c r="F554" t="str">
        <f>"20-20207"</f>
        <v>20-20207</v>
      </c>
      <c r="G554" s="1">
        <v>637.5</v>
      </c>
      <c r="H554" t="str">
        <f>"20-20207"</f>
        <v>20-20207</v>
      </c>
    </row>
    <row r="555" spans="1:8" x14ac:dyDescent="0.25">
      <c r="A555" t="s">
        <v>115</v>
      </c>
      <c r="B555">
        <v>4395</v>
      </c>
      <c r="C555" s="1">
        <v>1550</v>
      </c>
      <c r="D555" s="6">
        <v>44313</v>
      </c>
      <c r="E555" t="str">
        <f>"202104152638"</f>
        <v>202104152638</v>
      </c>
      <c r="F555" t="str">
        <f>"20-20527"</f>
        <v>20-20527</v>
      </c>
      <c r="G555" s="1">
        <v>262.5</v>
      </c>
      <c r="H555" t="str">
        <f>"20-20527"</f>
        <v>20-20527</v>
      </c>
    </row>
    <row r="556" spans="1:8" x14ac:dyDescent="0.25">
      <c r="E556" t="str">
        <f>"202104152641"</f>
        <v>202104152641</v>
      </c>
      <c r="F556" t="str">
        <f>"02-0206-3"</f>
        <v>02-0206-3</v>
      </c>
      <c r="G556" s="1">
        <v>400</v>
      </c>
      <c r="H556" t="str">
        <f>"02-0206-3"</f>
        <v>02-0206-3</v>
      </c>
    </row>
    <row r="557" spans="1:8" x14ac:dyDescent="0.25">
      <c r="E557" t="str">
        <f>"202104152642"</f>
        <v>202104152642</v>
      </c>
      <c r="F557" t="str">
        <f>"423-7731"</f>
        <v>423-7731</v>
      </c>
      <c r="G557" s="1">
        <v>100</v>
      </c>
      <c r="H557" t="str">
        <f>"423-7731"</f>
        <v>423-7731</v>
      </c>
    </row>
    <row r="558" spans="1:8" x14ac:dyDescent="0.25">
      <c r="E558" t="str">
        <f>"202104152677"</f>
        <v>202104152677</v>
      </c>
      <c r="F558" t="str">
        <f>"20-210207"</f>
        <v>20-210207</v>
      </c>
      <c r="G558" s="1">
        <v>212.5</v>
      </c>
      <c r="H558" t="str">
        <f>"20-210207"</f>
        <v>20-210207</v>
      </c>
    </row>
    <row r="559" spans="1:8" x14ac:dyDescent="0.25">
      <c r="E559" t="str">
        <f>"202104152678"</f>
        <v>202104152678</v>
      </c>
      <c r="F559" t="str">
        <f>"19-19940"</f>
        <v>19-19940</v>
      </c>
      <c r="G559" s="1">
        <v>575</v>
      </c>
      <c r="H559" t="str">
        <f>"19-19940"</f>
        <v>19-19940</v>
      </c>
    </row>
    <row r="560" spans="1:8" x14ac:dyDescent="0.25">
      <c r="A560" t="s">
        <v>116</v>
      </c>
      <c r="B560">
        <v>135149</v>
      </c>
      <c r="C560" s="1">
        <v>3520</v>
      </c>
      <c r="D560" s="6">
        <v>44298</v>
      </c>
      <c r="E560" t="str">
        <f>"027"</f>
        <v>027</v>
      </c>
      <c r="F560" t="str">
        <f>"HAULING/PCT#3"</f>
        <v>HAULING/PCT#3</v>
      </c>
      <c r="G560" s="1">
        <v>3520</v>
      </c>
      <c r="H560" t="str">
        <f>"HAULING/PCT#3"</f>
        <v>HAULING/PCT#3</v>
      </c>
    </row>
    <row r="561" spans="1:8" x14ac:dyDescent="0.25">
      <c r="A561" t="s">
        <v>116</v>
      </c>
      <c r="B561">
        <v>135312</v>
      </c>
      <c r="C561" s="1">
        <v>2420</v>
      </c>
      <c r="D561" s="6">
        <v>44312</v>
      </c>
      <c r="E561" t="str">
        <f>"028"</f>
        <v>028</v>
      </c>
      <c r="F561" t="str">
        <f>"HAULING/DAVID MCMULLEN"</f>
        <v>HAULING/DAVID MCMULLEN</v>
      </c>
      <c r="G561" s="1">
        <v>2420</v>
      </c>
      <c r="H561" t="str">
        <f>"HAULING/DAVID MCMULLEN"</f>
        <v>HAULING/DAVID MCMULLEN</v>
      </c>
    </row>
    <row r="562" spans="1:8" x14ac:dyDescent="0.25">
      <c r="A562" t="s">
        <v>117</v>
      </c>
      <c r="B562">
        <v>135150</v>
      </c>
      <c r="C562" s="1">
        <v>218.2</v>
      </c>
      <c r="D562" s="6">
        <v>44298</v>
      </c>
      <c r="E562" t="str">
        <f>"3020"</f>
        <v>3020</v>
      </c>
      <c r="F562" t="str">
        <f>"4' BFV ACTUATOR/PCT#4"</f>
        <v>4' BFV ACTUATOR/PCT#4</v>
      </c>
      <c r="G562" s="1">
        <v>190.77</v>
      </c>
      <c r="H562" t="str">
        <f>"4' BFV ACTUATOR/PCT#4"</f>
        <v>4' BFV ACTUATOR/PCT#4</v>
      </c>
    </row>
    <row r="563" spans="1:8" x14ac:dyDescent="0.25">
      <c r="E563" t="str">
        <f>"3024"</f>
        <v>3024</v>
      </c>
      <c r="F563" t="str">
        <f>"3'VICTAULIC CLAMP/PCT#1"</f>
        <v>3'VICTAULIC CLAMP/PCT#1</v>
      </c>
      <c r="G563" s="1">
        <v>27.43</v>
      </c>
      <c r="H563" t="str">
        <f>"3'VICTAULIC CLAMP/PCT#1"</f>
        <v>3'VICTAULIC CLAMP/PCT#1</v>
      </c>
    </row>
    <row r="564" spans="1:8" x14ac:dyDescent="0.25">
      <c r="A564" t="s">
        <v>117</v>
      </c>
      <c r="B564">
        <v>135313</v>
      </c>
      <c r="C564" s="1">
        <v>57.21</v>
      </c>
      <c r="D564" s="6">
        <v>44312</v>
      </c>
      <c r="E564" t="str">
        <f>"3033"</f>
        <v>3033</v>
      </c>
      <c r="F564" t="str">
        <f>"VICTAULIC STEEL ELBOW/PCT#1"</f>
        <v>VICTAULIC STEEL ELBOW/PCT#1</v>
      </c>
      <c r="G564" s="1">
        <v>57.21</v>
      </c>
      <c r="H564" t="str">
        <f>"VICTAULIC STEEL ELBOW/PCT#1"</f>
        <v>VICTAULIC STEEL ELBOW/PCT#1</v>
      </c>
    </row>
    <row r="565" spans="1:8" x14ac:dyDescent="0.25">
      <c r="A565" t="s">
        <v>118</v>
      </c>
      <c r="B565">
        <v>4376</v>
      </c>
      <c r="C565" s="1">
        <v>729.47</v>
      </c>
      <c r="D565" s="6">
        <v>44313</v>
      </c>
      <c r="E565" t="str">
        <f>"6262977996"</f>
        <v>6262977996</v>
      </c>
      <c r="F565" t="str">
        <f>"INV 6260977996  626096937"</f>
        <v>INV 6260977996  626096937</v>
      </c>
      <c r="G565" s="1">
        <v>729.47</v>
      </c>
      <c r="H565" t="str">
        <f>"INV 6260977996"</f>
        <v>INV 6260977996</v>
      </c>
    </row>
    <row r="566" spans="1:8" x14ac:dyDescent="0.25">
      <c r="E566" t="str">
        <f>""</f>
        <v/>
      </c>
      <c r="F566" t="str">
        <f>""</f>
        <v/>
      </c>
      <c r="H566" t="str">
        <f>"INV 6260969377"</f>
        <v>INV 6260969377</v>
      </c>
    </row>
    <row r="567" spans="1:8" x14ac:dyDescent="0.25">
      <c r="A567" t="s">
        <v>119</v>
      </c>
      <c r="B567">
        <v>135151</v>
      </c>
      <c r="C567" s="1">
        <v>353.11</v>
      </c>
      <c r="D567" s="6">
        <v>44298</v>
      </c>
      <c r="E567" t="str">
        <f>"6000330390"</f>
        <v>6000330390</v>
      </c>
      <c r="F567" t="str">
        <f>"ACCT#3422853/ANIMAL SHELTER"</f>
        <v>ACCT#3422853/ANIMAL SHELTER</v>
      </c>
      <c r="G567" s="1">
        <v>353.11</v>
      </c>
      <c r="H567" t="str">
        <f>"ACCT#3422853/ANIMAL SHELTER"</f>
        <v>ACCT#3422853/ANIMAL SHELTER</v>
      </c>
    </row>
    <row r="568" spans="1:8" x14ac:dyDescent="0.25">
      <c r="A568" t="s">
        <v>120</v>
      </c>
      <c r="B568">
        <v>135152</v>
      </c>
      <c r="C568" s="1">
        <v>6610.28</v>
      </c>
      <c r="D568" s="6">
        <v>44298</v>
      </c>
      <c r="E568" t="str">
        <f>"1183450"</f>
        <v>1183450</v>
      </c>
      <c r="F568" t="str">
        <f>"ACCT#B06875"</f>
        <v>ACCT#B06875</v>
      </c>
      <c r="G568" s="1">
        <v>417.6</v>
      </c>
      <c r="H568" t="str">
        <f>"ACCT#B06875"</f>
        <v>ACCT#B06875</v>
      </c>
    </row>
    <row r="569" spans="1:8" x14ac:dyDescent="0.25">
      <c r="E569" t="str">
        <f>"1183452"</f>
        <v>1183452</v>
      </c>
      <c r="F569" t="str">
        <f>"ACCT#B06875"</f>
        <v>ACCT#B06875</v>
      </c>
      <c r="G569" s="1">
        <v>273.70999999999998</v>
      </c>
      <c r="H569" t="str">
        <f>"ACCT#B06875"</f>
        <v>ACCT#B06875</v>
      </c>
    </row>
    <row r="570" spans="1:8" x14ac:dyDescent="0.25">
      <c r="E570" t="str">
        <f>"1184247"</f>
        <v>1184247</v>
      </c>
      <c r="F570" t="str">
        <f>"ACCT#B06875"</f>
        <v>ACCT#B06875</v>
      </c>
      <c r="G570" s="1">
        <v>2720.21</v>
      </c>
      <c r="H570" t="str">
        <f>"ACCT#B06875"</f>
        <v>ACCT#B06875</v>
      </c>
    </row>
    <row r="571" spans="1:8" x14ac:dyDescent="0.25">
      <c r="E571" t="str">
        <f>"1184248"</f>
        <v>1184248</v>
      </c>
      <c r="F571" t="str">
        <f>"ACCT#B06875"</f>
        <v>ACCT#B06875</v>
      </c>
      <c r="G571" s="1">
        <v>1653.91</v>
      </c>
      <c r="H571" t="str">
        <f>"ACCT#B06875"</f>
        <v>ACCT#B06875</v>
      </c>
    </row>
    <row r="572" spans="1:8" x14ac:dyDescent="0.25">
      <c r="E572" t="str">
        <f>"1184249"</f>
        <v>1184249</v>
      </c>
      <c r="F572" t="str">
        <f>"ACCT#B06875"</f>
        <v>ACCT#B06875</v>
      </c>
      <c r="G572" s="1">
        <v>1544.85</v>
      </c>
      <c r="H572" t="str">
        <f>"ACCT#B06875"</f>
        <v>ACCT#B06875</v>
      </c>
    </row>
    <row r="573" spans="1:8" x14ac:dyDescent="0.25">
      <c r="A573" t="s">
        <v>120</v>
      </c>
      <c r="B573">
        <v>135314</v>
      </c>
      <c r="C573" s="1">
        <v>5268.33</v>
      </c>
      <c r="D573" s="6">
        <v>44312</v>
      </c>
      <c r="E573" t="str">
        <f>"CD2000293"</f>
        <v>CD2000293</v>
      </c>
      <c r="F573" t="str">
        <f>"CUST#30344/ELECTIONS"</f>
        <v>CUST#30344/ELECTIONS</v>
      </c>
      <c r="G573" s="1">
        <v>5268.33</v>
      </c>
      <c r="H573" t="str">
        <f>"CUST#30344/ANIMAL SHELTER"</f>
        <v>CUST#30344/ANIMAL SHELTER</v>
      </c>
    </row>
    <row r="574" spans="1:8" x14ac:dyDescent="0.25">
      <c r="A574" t="s">
        <v>121</v>
      </c>
      <c r="B574">
        <v>4300</v>
      </c>
      <c r="C574" s="1">
        <v>1555</v>
      </c>
      <c r="D574" s="6">
        <v>44299</v>
      </c>
      <c r="E574" t="str">
        <f>"202104052424"</f>
        <v>202104052424</v>
      </c>
      <c r="F574" t="str">
        <f>"BLACKLANDS PUBLICATIONS INC"</f>
        <v>BLACKLANDS PUBLICATIONS INC</v>
      </c>
      <c r="G574" s="1">
        <v>125</v>
      </c>
      <c r="H574" t="str">
        <f>"Mar 2021 Auction Ad"</f>
        <v>Mar 2021 Auction Ad</v>
      </c>
    </row>
    <row r="575" spans="1:8" x14ac:dyDescent="0.25">
      <c r="E575" t="str">
        <f>"202104052425"</f>
        <v>202104052425</v>
      </c>
      <c r="F575" t="str">
        <f>"Public Notice - Pct 1"</f>
        <v>Public Notice - Pct 1</v>
      </c>
      <c r="G575" s="1">
        <v>380</v>
      </c>
      <c r="H575" t="str">
        <f>"RFB 21BCP03B"</f>
        <v>RFB 21BCP03B</v>
      </c>
    </row>
    <row r="576" spans="1:8" x14ac:dyDescent="0.25">
      <c r="E576" t="str">
        <f>""</f>
        <v/>
      </c>
      <c r="F576" t="str">
        <f>""</f>
        <v/>
      </c>
      <c r="H576" t="str">
        <f>"RFB 21BCP03C"</f>
        <v>RFB 21BCP03C</v>
      </c>
    </row>
    <row r="577" spans="1:8" x14ac:dyDescent="0.25">
      <c r="E577" t="str">
        <f>"202104052426"</f>
        <v>202104052426</v>
      </c>
      <c r="F577" t="str">
        <f>"Public Notice"</f>
        <v>Public Notice</v>
      </c>
      <c r="G577" s="1">
        <v>190</v>
      </c>
      <c r="H577" t="str">
        <f>"03/17"</f>
        <v>03/17</v>
      </c>
    </row>
    <row r="578" spans="1:8" x14ac:dyDescent="0.25">
      <c r="E578" t="str">
        <f>""</f>
        <v/>
      </c>
      <c r="F578" t="str">
        <f>""</f>
        <v/>
      </c>
      <c r="H578" t="str">
        <f>"03/24"</f>
        <v>03/24</v>
      </c>
    </row>
    <row r="579" spans="1:8" x14ac:dyDescent="0.25">
      <c r="E579" t="str">
        <f>"52421-26850"</f>
        <v>52421-26850</v>
      </c>
      <c r="F579" t="str">
        <f>"Public Notice"</f>
        <v>Public Notice</v>
      </c>
      <c r="G579" s="1">
        <v>370</v>
      </c>
      <c r="H579" t="str">
        <f>"02/03"</f>
        <v>02/03</v>
      </c>
    </row>
    <row r="580" spans="1:8" x14ac:dyDescent="0.25">
      <c r="E580" t="str">
        <f>""</f>
        <v/>
      </c>
      <c r="F580" t="str">
        <f>""</f>
        <v/>
      </c>
      <c r="H580" t="str">
        <f>"02/10"</f>
        <v>02/10</v>
      </c>
    </row>
    <row r="581" spans="1:8" x14ac:dyDescent="0.25">
      <c r="E581" t="str">
        <f>"52421-27139"</f>
        <v>52421-27139</v>
      </c>
      <c r="F581" t="str">
        <f>"Hazard Mit. Plan Develop"</f>
        <v>Hazard Mit. Plan Develop</v>
      </c>
      <c r="G581" s="1">
        <v>490</v>
      </c>
      <c r="H581" t="str">
        <f>"Public Notice"</f>
        <v>Public Notice</v>
      </c>
    </row>
    <row r="582" spans="1:8" x14ac:dyDescent="0.25">
      <c r="A582" t="s">
        <v>122</v>
      </c>
      <c r="B582">
        <v>135315</v>
      </c>
      <c r="C582" s="1">
        <v>350</v>
      </c>
      <c r="D582" s="6">
        <v>44312</v>
      </c>
      <c r="E582" t="str">
        <f>"202104192740"</f>
        <v>202104192740</v>
      </c>
      <c r="F582" t="str">
        <f>"TRANSPORT/ROBERT KELLY GLASS"</f>
        <v>TRANSPORT/ROBERT KELLY GLASS</v>
      </c>
      <c r="G582" s="1">
        <v>350</v>
      </c>
      <c r="H582" t="str">
        <f>"TRANSPORT/ROBERT KELLY GLASS"</f>
        <v>TRANSPORT/ROBERT KELLY GLASS</v>
      </c>
    </row>
    <row r="583" spans="1:8" x14ac:dyDescent="0.25">
      <c r="A583" t="s">
        <v>123</v>
      </c>
      <c r="B583">
        <v>135153</v>
      </c>
      <c r="C583" s="1">
        <v>192.99</v>
      </c>
      <c r="D583" s="6">
        <v>44298</v>
      </c>
      <c r="E583" t="str">
        <f>"14526"</f>
        <v>14526</v>
      </c>
      <c r="F583" t="str">
        <f>"GENERAL STORE/PCT#4"</f>
        <v>GENERAL STORE/PCT#4</v>
      </c>
      <c r="G583" s="1">
        <v>192.99</v>
      </c>
      <c r="H583" t="str">
        <f>"GENERAL STORE/PCT#4"</f>
        <v>GENERAL STORE/PCT#4</v>
      </c>
    </row>
    <row r="584" spans="1:8" x14ac:dyDescent="0.25">
      <c r="A584" t="s">
        <v>124</v>
      </c>
      <c r="B584">
        <v>135316</v>
      </c>
      <c r="C584" s="1">
        <v>167009.32999999999</v>
      </c>
      <c r="D584" s="6">
        <v>44312</v>
      </c>
      <c r="E584" t="str">
        <f>"202104202766"</f>
        <v>202104202766</v>
      </c>
      <c r="F584" t="str">
        <f>"ELGIN REINVESTMENT ZONE # 1"</f>
        <v>ELGIN REINVESTMENT ZONE # 1</v>
      </c>
      <c r="G584" s="1">
        <v>167009.32999999999</v>
      </c>
      <c r="H584" t="str">
        <f>"ELGIN REINVESTMENT ZONE # 1"</f>
        <v>ELGIN REINVESTMENT ZONE # 1</v>
      </c>
    </row>
    <row r="585" spans="1:8" x14ac:dyDescent="0.25">
      <c r="A585" t="s">
        <v>125</v>
      </c>
      <c r="B585">
        <v>135270</v>
      </c>
      <c r="C585" s="1">
        <v>1230.24</v>
      </c>
      <c r="D585" s="6">
        <v>44299</v>
      </c>
      <c r="E585" t="str">
        <f>"202104082584"</f>
        <v>202104082584</v>
      </c>
      <c r="F585" t="str">
        <f>"ACCT#007-0008410-002/03312021"</f>
        <v>ACCT#007-0008410-002/03312021</v>
      </c>
      <c r="G585" s="1">
        <v>230.79</v>
      </c>
      <c r="H585" t="str">
        <f>"ACCT#007-0008410-002/03312021"</f>
        <v>ACCT#007-0008410-002/03312021</v>
      </c>
    </row>
    <row r="586" spans="1:8" x14ac:dyDescent="0.25">
      <c r="E586" t="str">
        <f>"202104082585"</f>
        <v>202104082585</v>
      </c>
      <c r="F586" t="str">
        <f>"ACCT#007-0011501-000/03312021"</f>
        <v>ACCT#007-0011501-000/03312021</v>
      </c>
      <c r="G586" s="1">
        <v>93.76</v>
      </c>
      <c r="H586" t="str">
        <f t="shared" ref="H586:H591" si="13">"CITY OF ELGIN UTILITIES"</f>
        <v>CITY OF ELGIN UTILITIES</v>
      </c>
    </row>
    <row r="587" spans="1:8" x14ac:dyDescent="0.25">
      <c r="E587" t="str">
        <f>"202104082586"</f>
        <v>202104082586</v>
      </c>
      <c r="F587" t="str">
        <f>"ACCT#007-0011510-000/03312021"</f>
        <v>ACCT#007-0011510-000/03312021</v>
      </c>
      <c r="G587" s="1">
        <v>310.39</v>
      </c>
      <c r="H587" t="str">
        <f t="shared" si="13"/>
        <v>CITY OF ELGIN UTILITIES</v>
      </c>
    </row>
    <row r="588" spans="1:8" x14ac:dyDescent="0.25">
      <c r="E588" t="str">
        <f>"202104082587"</f>
        <v>202104082587</v>
      </c>
      <c r="F588" t="str">
        <f>"ACCT#007-0011530-000/03312021"</f>
        <v>ACCT#007-0011530-000/03312021</v>
      </c>
      <c r="G588" s="1">
        <v>99.65</v>
      </c>
      <c r="H588" t="str">
        <f t="shared" si="13"/>
        <v>CITY OF ELGIN UTILITIES</v>
      </c>
    </row>
    <row r="589" spans="1:8" x14ac:dyDescent="0.25">
      <c r="E589" t="str">
        <f>"202104082588"</f>
        <v>202104082588</v>
      </c>
      <c r="F589" t="str">
        <f>"007-0011534-001/03312021"</f>
        <v>007-0011534-001/03312021</v>
      </c>
      <c r="G589" s="1">
        <v>172.7</v>
      </c>
      <c r="H589" t="str">
        <f t="shared" si="13"/>
        <v>CITY OF ELGIN UTILITIES</v>
      </c>
    </row>
    <row r="590" spans="1:8" x14ac:dyDescent="0.25">
      <c r="E590" t="str">
        <f>"202104082590"</f>
        <v>202104082590</v>
      </c>
      <c r="F590" t="str">
        <f>"ACCT#007-0011535-000/03312021"</f>
        <v>ACCT#007-0011535-000/03312021</v>
      </c>
      <c r="G590" s="1">
        <v>188.16</v>
      </c>
      <c r="H590" t="str">
        <f t="shared" si="13"/>
        <v>CITY OF ELGIN UTILITIES</v>
      </c>
    </row>
    <row r="591" spans="1:8" x14ac:dyDescent="0.25">
      <c r="E591" t="str">
        <f>"202104082591"</f>
        <v>202104082591</v>
      </c>
      <c r="F591" t="str">
        <f>"ACCT#007-0011544-001/03312021"</f>
        <v>ACCT#007-0011544-001/03312021</v>
      </c>
      <c r="G591" s="1">
        <v>134.79</v>
      </c>
      <c r="H591" t="str">
        <f t="shared" si="13"/>
        <v>CITY OF ELGIN UTILITIES</v>
      </c>
    </row>
    <row r="592" spans="1:8" x14ac:dyDescent="0.25">
      <c r="A592" t="s">
        <v>126</v>
      </c>
      <c r="B592">
        <v>135154</v>
      </c>
      <c r="C592" s="1">
        <v>25</v>
      </c>
      <c r="D592" s="6">
        <v>44298</v>
      </c>
      <c r="E592" t="str">
        <f>"202103312387"</f>
        <v>202103312387</v>
      </c>
      <c r="F592" t="str">
        <f>"REIMBURSEMENT/ELIDA SALINAS"</f>
        <v>REIMBURSEMENT/ELIDA SALINAS</v>
      </c>
      <c r="G592" s="1">
        <v>25</v>
      </c>
      <c r="H592" t="str">
        <f>"REIMBURSEMENT/ELIDA SALINAS"</f>
        <v>REIMBURSEMENT/ELIDA SALINAS</v>
      </c>
    </row>
    <row r="593" spans="1:8" x14ac:dyDescent="0.25">
      <c r="A593" t="s">
        <v>127</v>
      </c>
      <c r="B593">
        <v>135155</v>
      </c>
      <c r="C593" s="1">
        <v>25</v>
      </c>
      <c r="D593" s="6">
        <v>44298</v>
      </c>
      <c r="E593" t="str">
        <f>"202103242267"</f>
        <v>202103242267</v>
      </c>
      <c r="F593" t="str">
        <f>"PERMIT/REIMBURSEMENT ELINA B."</f>
        <v>PERMIT/REIMBURSEMENT ELINA B.</v>
      </c>
      <c r="G593" s="1">
        <v>25</v>
      </c>
      <c r="H593" t="str">
        <f>"PERMIT/REIMBURSEMENT ELINA B."</f>
        <v>PERMIT/REIMBURSEMENT ELINA B.</v>
      </c>
    </row>
    <row r="594" spans="1:8" x14ac:dyDescent="0.25">
      <c r="A594" t="s">
        <v>128</v>
      </c>
      <c r="B594">
        <v>135156</v>
      </c>
      <c r="C594" s="1">
        <v>405.77</v>
      </c>
      <c r="D594" s="6">
        <v>44298</v>
      </c>
      <c r="E594" t="str">
        <f>"145-47932-01"</f>
        <v>145-47932-01</v>
      </c>
      <c r="F594" t="str">
        <f>"INV 145-47932-01"</f>
        <v>INV 145-47932-01</v>
      </c>
      <c r="G594" s="1">
        <v>84</v>
      </c>
      <c r="H594" t="str">
        <f>"INV 145-47932-01"</f>
        <v>INV 145-47932-01</v>
      </c>
    </row>
    <row r="595" spans="1:8" x14ac:dyDescent="0.25">
      <c r="E595" t="str">
        <f>"145-47948-01"</f>
        <v>145-47948-01</v>
      </c>
      <c r="F595" t="str">
        <f>"INV 145-47948-01"</f>
        <v>INV 145-47948-01</v>
      </c>
      <c r="G595" s="1">
        <v>321.77</v>
      </c>
      <c r="H595" t="str">
        <f>"INV 145-47948-01"</f>
        <v>INV 145-47948-01</v>
      </c>
    </row>
    <row r="596" spans="1:8" x14ac:dyDescent="0.25">
      <c r="E596" t="str">
        <f>""</f>
        <v/>
      </c>
      <c r="F596" t="str">
        <f>""</f>
        <v/>
      </c>
      <c r="H596" t="str">
        <f>"INV 145-47948-02"</f>
        <v>INV 145-47948-02</v>
      </c>
    </row>
    <row r="597" spans="1:8" x14ac:dyDescent="0.25">
      <c r="A597" t="s">
        <v>129</v>
      </c>
      <c r="B597">
        <v>135157</v>
      </c>
      <c r="C597" s="1">
        <v>16255.98</v>
      </c>
      <c r="D597" s="6">
        <v>44298</v>
      </c>
      <c r="E597" t="str">
        <f>"9402432470"</f>
        <v>9402432470</v>
      </c>
      <c r="F597" t="str">
        <f>"ACCT#912923/PCT#4"</f>
        <v>ACCT#912923/PCT#4</v>
      </c>
      <c r="G597" s="1">
        <v>-561</v>
      </c>
      <c r="H597" t="str">
        <f>"ACCT#912923/PCT#4"</f>
        <v>ACCT#912923/PCT#4</v>
      </c>
    </row>
    <row r="598" spans="1:8" x14ac:dyDescent="0.25">
      <c r="E598" t="str">
        <f>"9402431765"</f>
        <v>9402431765</v>
      </c>
      <c r="F598" t="str">
        <f>"ACCT#912923/PCT#4"</f>
        <v>ACCT#912923/PCT#4</v>
      </c>
      <c r="G598" s="1">
        <v>8274.24</v>
      </c>
      <c r="H598" t="str">
        <f>"ACCT#912923/PCT#4"</f>
        <v>ACCT#912923/PCT#4</v>
      </c>
    </row>
    <row r="599" spans="1:8" x14ac:dyDescent="0.25">
      <c r="E599" t="str">
        <f>"9402436883"</f>
        <v>9402436883</v>
      </c>
      <c r="F599" t="str">
        <f>"ACCT#912923/PCT#4"</f>
        <v>ACCT#912923/PCT#4</v>
      </c>
      <c r="G599" s="1">
        <v>382.74</v>
      </c>
      <c r="H599" t="str">
        <f>"ACCT#912923/PCT#4"</f>
        <v>ACCT#912923/PCT#4</v>
      </c>
    </row>
    <row r="600" spans="1:8" x14ac:dyDescent="0.25">
      <c r="E600" t="str">
        <f>"9402440167"</f>
        <v>9402440167</v>
      </c>
      <c r="F600" t="str">
        <f>"ACCT#912923"</f>
        <v>ACCT#912923</v>
      </c>
      <c r="G600" s="1">
        <v>8160</v>
      </c>
      <c r="H600" t="str">
        <f>"ACCT#912923"</f>
        <v>ACCT#912923</v>
      </c>
    </row>
    <row r="601" spans="1:8" x14ac:dyDescent="0.25">
      <c r="A601" t="s">
        <v>129</v>
      </c>
      <c r="B601">
        <v>135317</v>
      </c>
      <c r="C601" s="1">
        <v>23312.7</v>
      </c>
      <c r="D601" s="6">
        <v>44312</v>
      </c>
      <c r="E601" t="str">
        <f>"9402443210"</f>
        <v>9402443210</v>
      </c>
      <c r="F601" t="str">
        <f>"ACCT#912923/PCT#4"</f>
        <v>ACCT#912923/PCT#4</v>
      </c>
      <c r="G601" s="1">
        <v>3785</v>
      </c>
      <c r="H601" t="str">
        <f>"ACCT#912923/PCT#4"</f>
        <v>ACCT#912923/PCT#4</v>
      </c>
    </row>
    <row r="602" spans="1:8" x14ac:dyDescent="0.25">
      <c r="E602" t="str">
        <f>"9402444108"</f>
        <v>9402444108</v>
      </c>
      <c r="F602" t="str">
        <f>"ACCT#912922/PCT#1"</f>
        <v>ACCT#912922/PCT#1</v>
      </c>
      <c r="G602" s="1">
        <v>4217.7</v>
      </c>
      <c r="H602" t="str">
        <f>"ACCT#912922/PCT#1"</f>
        <v>ACCT#912922/PCT#1</v>
      </c>
    </row>
    <row r="603" spans="1:8" x14ac:dyDescent="0.25">
      <c r="E603" t="str">
        <f>"9402444713"</f>
        <v>9402444713</v>
      </c>
      <c r="F603" t="str">
        <f>"ACCT#912923/PCT#4"</f>
        <v>ACCT#912923/PCT#4</v>
      </c>
      <c r="G603" s="1">
        <v>3795</v>
      </c>
      <c r="H603" t="str">
        <f>"ACCT#912923/PCT#4"</f>
        <v>ACCT#912923/PCT#4</v>
      </c>
    </row>
    <row r="604" spans="1:8" x14ac:dyDescent="0.25">
      <c r="E604" t="str">
        <f>"9402446618"</f>
        <v>9402446618</v>
      </c>
      <c r="F604" t="str">
        <f>"ACCT#912923/PCT#4"</f>
        <v>ACCT#912923/PCT#4</v>
      </c>
      <c r="G604" s="1">
        <v>3860</v>
      </c>
      <c r="H604" t="str">
        <f>"ACCT#912923/PCT#4"</f>
        <v>ACCT#912923/PCT#4</v>
      </c>
    </row>
    <row r="605" spans="1:8" x14ac:dyDescent="0.25">
      <c r="E605" t="str">
        <f>"9402447437"</f>
        <v>9402447437</v>
      </c>
      <c r="F605" t="str">
        <f>"ACCT#912923/PCT#4"</f>
        <v>ACCT#912923/PCT#4</v>
      </c>
      <c r="G605" s="1">
        <v>4085</v>
      </c>
      <c r="H605" t="str">
        <f>"ACCT#912923/PCT#4"</f>
        <v>ACCT#912923/PCT#4</v>
      </c>
    </row>
    <row r="606" spans="1:8" x14ac:dyDescent="0.25">
      <c r="E606" t="str">
        <f>"9402448222"</f>
        <v>9402448222</v>
      </c>
      <c r="F606" t="str">
        <f>"ACCT#912923/PCT#4"</f>
        <v>ACCT#912923/PCT#4</v>
      </c>
      <c r="G606" s="1">
        <v>3570</v>
      </c>
      <c r="H606" t="str">
        <f>"ACCT#912923/PCT#4"</f>
        <v>ACCT#912923/PCT#4</v>
      </c>
    </row>
    <row r="607" spans="1:8" x14ac:dyDescent="0.25">
      <c r="A607" t="s">
        <v>130</v>
      </c>
      <c r="B607">
        <v>135158</v>
      </c>
      <c r="C607" s="1">
        <v>37.380000000000003</v>
      </c>
      <c r="D607" s="6">
        <v>44298</v>
      </c>
      <c r="E607" t="str">
        <f>"202104072489"</f>
        <v>202104072489</v>
      </c>
      <c r="F607" t="str">
        <f>"MILEAGE REIMBURSE/ERIN NICKEL"</f>
        <v>MILEAGE REIMBURSE/ERIN NICKEL</v>
      </c>
      <c r="G607" s="1">
        <v>37.380000000000003</v>
      </c>
      <c r="H607" t="str">
        <f>"MILEAGE REIMBURSE/ERIN NICKEL"</f>
        <v>MILEAGE REIMBURSE/ERIN NICKEL</v>
      </c>
    </row>
    <row r="608" spans="1:8" x14ac:dyDescent="0.25">
      <c r="A608" t="s">
        <v>131</v>
      </c>
      <c r="B608">
        <v>135318</v>
      </c>
      <c r="C608" s="1">
        <v>54.41</v>
      </c>
      <c r="D608" s="6">
        <v>44312</v>
      </c>
      <c r="E608" t="str">
        <f>"202104212808"</f>
        <v>202104212808</v>
      </c>
      <c r="F608" t="str">
        <f>"INDIGENT HEALTH"</f>
        <v>INDIGENT HEALTH</v>
      </c>
      <c r="G608" s="1">
        <v>54.41</v>
      </c>
      <c r="H608" t="str">
        <f>"INDIGENT HEALTH"</f>
        <v>INDIGENT HEALTH</v>
      </c>
    </row>
    <row r="609" spans="1:8" x14ac:dyDescent="0.25">
      <c r="A609" t="s">
        <v>132</v>
      </c>
      <c r="B609">
        <v>135159</v>
      </c>
      <c r="C609" s="1">
        <v>92.56</v>
      </c>
      <c r="D609" s="6">
        <v>44298</v>
      </c>
      <c r="E609" t="str">
        <f>"7-310-08418"</f>
        <v>7-310-08418</v>
      </c>
      <c r="F609" t="str">
        <f>"INV 7-310-08418"</f>
        <v>INV 7-310-08418</v>
      </c>
      <c r="G609" s="1">
        <v>34.01</v>
      </c>
      <c r="H609" t="str">
        <f>"INV 7-310-08418"</f>
        <v>INV 7-310-08418</v>
      </c>
    </row>
    <row r="610" spans="1:8" x14ac:dyDescent="0.25">
      <c r="E610" t="str">
        <f>"7-318-01500"</f>
        <v>7-318-01500</v>
      </c>
      <c r="F610" t="str">
        <f>"INV 7-318-01500"</f>
        <v>INV 7-318-01500</v>
      </c>
      <c r="G610" s="1">
        <v>36.71</v>
      </c>
      <c r="H610" t="str">
        <f>"INV 7-318-01500"</f>
        <v>INV 7-318-01500</v>
      </c>
    </row>
    <row r="611" spans="1:8" x14ac:dyDescent="0.25">
      <c r="E611" t="str">
        <f>"7-325-89730"</f>
        <v>7-325-89730</v>
      </c>
      <c r="F611" t="str">
        <f>"INV 7-325-89730"</f>
        <v>INV 7-325-89730</v>
      </c>
      <c r="G611" s="1">
        <v>21.84</v>
      </c>
      <c r="H611" t="str">
        <f>"INV 7-325-89730"</f>
        <v>INV 7-325-89730</v>
      </c>
    </row>
    <row r="612" spans="1:8" x14ac:dyDescent="0.25">
      <c r="A612" t="s">
        <v>133</v>
      </c>
      <c r="B612">
        <v>135160</v>
      </c>
      <c r="C612" s="1">
        <v>248.47</v>
      </c>
      <c r="D612" s="6">
        <v>44298</v>
      </c>
      <c r="E612" t="str">
        <f>"202104052423"</f>
        <v>202104052423</v>
      </c>
      <c r="F612" t="str">
        <f>"Plumbing Parts"</f>
        <v>Plumbing Parts</v>
      </c>
      <c r="G612" s="1">
        <v>248.47</v>
      </c>
      <c r="H612" t="str">
        <f>"3/4 Tee"</f>
        <v>3/4 Tee</v>
      </c>
    </row>
    <row r="613" spans="1:8" x14ac:dyDescent="0.25">
      <c r="E613" t="str">
        <f>""</f>
        <v/>
      </c>
      <c r="F613" t="str">
        <f>""</f>
        <v/>
      </c>
      <c r="H613" t="str">
        <f>"1/2 Tee"</f>
        <v>1/2 Tee</v>
      </c>
    </row>
    <row r="614" spans="1:8" x14ac:dyDescent="0.25">
      <c r="E614" t="str">
        <f>""</f>
        <v/>
      </c>
      <c r="F614" t="str">
        <f>""</f>
        <v/>
      </c>
      <c r="H614" t="str">
        <f>"3/4 Coupling"</f>
        <v>3/4 Coupling</v>
      </c>
    </row>
    <row r="615" spans="1:8" x14ac:dyDescent="0.25">
      <c r="E615" t="str">
        <f>""</f>
        <v/>
      </c>
      <c r="F615" t="str">
        <f>""</f>
        <v/>
      </c>
      <c r="H615" t="str">
        <f>"1/2 Coupling"</f>
        <v>1/2 Coupling</v>
      </c>
    </row>
    <row r="616" spans="1:8" x14ac:dyDescent="0.25">
      <c r="E616" t="str">
        <f>""</f>
        <v/>
      </c>
      <c r="F616" t="str">
        <f>""</f>
        <v/>
      </c>
      <c r="H616" t="str">
        <f>"3/4 Elbow"</f>
        <v>3/4 Elbow</v>
      </c>
    </row>
    <row r="617" spans="1:8" x14ac:dyDescent="0.25">
      <c r="E617" t="str">
        <f>""</f>
        <v/>
      </c>
      <c r="F617" t="str">
        <f>""</f>
        <v/>
      </c>
      <c r="H617" t="str">
        <f>"1/2 Elbow"</f>
        <v>1/2 Elbow</v>
      </c>
    </row>
    <row r="618" spans="1:8" x14ac:dyDescent="0.25">
      <c r="A618" t="s">
        <v>134</v>
      </c>
      <c r="B618">
        <v>135161</v>
      </c>
      <c r="C618" s="1">
        <v>1935.07</v>
      </c>
      <c r="D618" s="6">
        <v>44298</v>
      </c>
      <c r="E618" t="str">
        <f>"70391564"</f>
        <v>70391564</v>
      </c>
      <c r="F618" t="str">
        <f>"ACCT#80975-001/PCT#3"</f>
        <v>ACCT#80975-001/PCT#3</v>
      </c>
      <c r="G618" s="1">
        <v>263.93</v>
      </c>
      <c r="H618" t="str">
        <f>"ACCT#80975-001/PCT#3"</f>
        <v>ACCT#80975-001/PCT#3</v>
      </c>
    </row>
    <row r="619" spans="1:8" x14ac:dyDescent="0.25">
      <c r="E619" t="str">
        <f>"70399225"</f>
        <v>70399225</v>
      </c>
      <c r="F619" t="str">
        <f>"ACCT#80975-001/PCT#3"</f>
        <v>ACCT#80975-001/PCT#3</v>
      </c>
      <c r="G619" s="1">
        <v>1511.42</v>
      </c>
      <c r="H619" t="str">
        <f>"ACCT#80975-001/PCT#3"</f>
        <v>ACCT#80975-001/PCT#3</v>
      </c>
    </row>
    <row r="620" spans="1:8" x14ac:dyDescent="0.25">
      <c r="E620" t="str">
        <f>"70561273"</f>
        <v>70561273</v>
      </c>
      <c r="F620" t="str">
        <f>"ACCT#80975-001/PCT#3"</f>
        <v>ACCT#80975-001/PCT#3</v>
      </c>
      <c r="G620" s="1">
        <v>124.11</v>
      </c>
      <c r="H620" t="str">
        <f>"ACCT#80975-001/PCT#3"</f>
        <v>ACCT#80975-001/PCT#3</v>
      </c>
    </row>
    <row r="621" spans="1:8" x14ac:dyDescent="0.25">
      <c r="E621" t="str">
        <f>"70695400"</f>
        <v>70695400</v>
      </c>
      <c r="F621" t="str">
        <f>"ACCT#80975/PCT#1"</f>
        <v>ACCT#80975/PCT#1</v>
      </c>
      <c r="G621" s="1">
        <v>35.61</v>
      </c>
      <c r="H621" t="str">
        <f>"ACCT#80975/PCT#1"</f>
        <v>ACCT#80975/PCT#1</v>
      </c>
    </row>
    <row r="622" spans="1:8" x14ac:dyDescent="0.25">
      <c r="A622" t="s">
        <v>134</v>
      </c>
      <c r="B622">
        <v>135319</v>
      </c>
      <c r="C622" s="1">
        <v>1141.47</v>
      </c>
      <c r="D622" s="6">
        <v>44312</v>
      </c>
      <c r="E622" t="str">
        <f>"71191452"</f>
        <v>71191452</v>
      </c>
      <c r="F622" t="str">
        <f>"ACCT#80975-002/PCT#4"</f>
        <v>ACCT#80975-002/PCT#4</v>
      </c>
      <c r="G622" s="1">
        <v>-593.95000000000005</v>
      </c>
      <c r="H622" t="str">
        <f>"ACCT#80975-002/PCT#4"</f>
        <v>ACCT#80975-002/PCT#4</v>
      </c>
    </row>
    <row r="623" spans="1:8" x14ac:dyDescent="0.25">
      <c r="E623" t="str">
        <f>"71178026"</f>
        <v>71178026</v>
      </c>
      <c r="F623" t="str">
        <f>"ACCT#80975-002/PCT#4"</f>
        <v>ACCT#80975-002/PCT#4</v>
      </c>
      <c r="G623" s="1">
        <v>612.79999999999995</v>
      </c>
      <c r="H623" t="str">
        <f>"ACCT#80975-002/PCT#4"</f>
        <v>ACCT#80975-002/PCT#4</v>
      </c>
    </row>
    <row r="624" spans="1:8" x14ac:dyDescent="0.25">
      <c r="E624" t="str">
        <f>"71627181"</f>
        <v>71627181</v>
      </c>
      <c r="F624" t="str">
        <f>"ACCT#80975-001/PCT#3"</f>
        <v>ACCT#80975-001/PCT#3</v>
      </c>
      <c r="G624" s="1">
        <v>297.51</v>
      </c>
      <c r="H624" t="str">
        <f>"ACCT#80975-001/PCT#3"</f>
        <v>ACCT#80975-001/PCT#3</v>
      </c>
    </row>
    <row r="625" spans="1:8" x14ac:dyDescent="0.25">
      <c r="E625" t="str">
        <f>"71721429"</f>
        <v>71721429</v>
      </c>
      <c r="F625" t="str">
        <f>"ACCT#80975-001/PCT#3"</f>
        <v>ACCT#80975-001/PCT#3</v>
      </c>
      <c r="G625" s="1">
        <v>379.99</v>
      </c>
      <c r="H625" t="str">
        <f>"ACCT#80975-001/PCT#3"</f>
        <v>ACCT#80975-001/PCT#3</v>
      </c>
    </row>
    <row r="626" spans="1:8" x14ac:dyDescent="0.25">
      <c r="E626" t="str">
        <f>"71724262"</f>
        <v>71724262</v>
      </c>
      <c r="F626" t="str">
        <f>"ACCT#80975-001/#2"</f>
        <v>ACCT#80975-001/#2</v>
      </c>
      <c r="G626" s="1">
        <v>282.48</v>
      </c>
      <c r="H626" t="str">
        <f>"ACCT#80975-001/#2"</f>
        <v>ACCT#80975-001/#2</v>
      </c>
    </row>
    <row r="627" spans="1:8" x14ac:dyDescent="0.25">
      <c r="E627" t="str">
        <f>"72111786"</f>
        <v>72111786</v>
      </c>
      <c r="F627" t="str">
        <f>"ACCT#80975-0011/PCT#3"</f>
        <v>ACCT#80975-0011/PCT#3</v>
      </c>
      <c r="G627" s="1">
        <v>162.63999999999999</v>
      </c>
      <c r="H627" t="str">
        <f>"ACCT#80975-0011/PCT#3"</f>
        <v>ACCT#80975-0011/PCT#3</v>
      </c>
    </row>
    <row r="628" spans="1:8" x14ac:dyDescent="0.25">
      <c r="A628" t="s">
        <v>135</v>
      </c>
      <c r="B628">
        <v>135320</v>
      </c>
      <c r="C628" s="1">
        <v>50</v>
      </c>
      <c r="D628" s="6">
        <v>44312</v>
      </c>
      <c r="E628" t="str">
        <f>"15347"</f>
        <v>15347</v>
      </c>
      <c r="F628" t="str">
        <f>"RESTITUTION/DONALD CORKILL"</f>
        <v>RESTITUTION/DONALD CORKILL</v>
      </c>
      <c r="G628" s="1">
        <v>50</v>
      </c>
      <c r="H628" t="str">
        <f>"RESTITUTION/DONALD CORKILL"</f>
        <v>RESTITUTION/DONALD CORKILL</v>
      </c>
    </row>
    <row r="629" spans="1:8" x14ac:dyDescent="0.25">
      <c r="A629" t="s">
        <v>136</v>
      </c>
      <c r="B629">
        <v>4301</v>
      </c>
      <c r="C629" s="1">
        <v>4525</v>
      </c>
      <c r="D629" s="6">
        <v>44299</v>
      </c>
      <c r="E629" t="str">
        <f>"202103242292"</f>
        <v>202103242292</v>
      </c>
      <c r="F629" t="str">
        <f>"1600-335/1630-335"</f>
        <v>1600-335/1630-335</v>
      </c>
      <c r="G629" s="1">
        <v>4275</v>
      </c>
      <c r="H629" t="str">
        <f>"1600-335/1630-335"</f>
        <v>1600-335/1630-335</v>
      </c>
    </row>
    <row r="630" spans="1:8" x14ac:dyDescent="0.25">
      <c r="E630" t="str">
        <f>"202103312380"</f>
        <v>202103312380</v>
      </c>
      <c r="F630" t="str">
        <f>"4071420-3"</f>
        <v>4071420-3</v>
      </c>
      <c r="G630" s="1">
        <v>250</v>
      </c>
      <c r="H630" t="str">
        <f>"4071420-3"</f>
        <v>4071420-3</v>
      </c>
    </row>
    <row r="631" spans="1:8" x14ac:dyDescent="0.25">
      <c r="A631" t="s">
        <v>137</v>
      </c>
      <c r="B631">
        <v>135321</v>
      </c>
      <c r="C631" s="1">
        <v>23041.73</v>
      </c>
      <c r="D631" s="6">
        <v>44312</v>
      </c>
      <c r="E631" t="str">
        <f>"4314"</f>
        <v>4314</v>
      </c>
      <c r="F631" t="str">
        <f>"CRACKSEALING/PCT#2"</f>
        <v>CRACKSEALING/PCT#2</v>
      </c>
      <c r="G631" s="1">
        <v>23041.73</v>
      </c>
      <c r="H631" t="str">
        <f>"CRACKSEALING/PCT#2"</f>
        <v>CRACKSEALING/PCT#2</v>
      </c>
    </row>
    <row r="632" spans="1:8" x14ac:dyDescent="0.25">
      <c r="A632" t="s">
        <v>138</v>
      </c>
      <c r="B632">
        <v>4293</v>
      </c>
      <c r="C632" s="1">
        <v>357.71</v>
      </c>
      <c r="D632" s="6">
        <v>44299</v>
      </c>
      <c r="E632" t="str">
        <f>"62130AP"</f>
        <v>62130AP</v>
      </c>
      <c r="F632" t="str">
        <f>"ACCT#3325/PCT#2"</f>
        <v>ACCT#3325/PCT#2</v>
      </c>
      <c r="G632" s="1">
        <v>131.46</v>
      </c>
      <c r="H632" t="str">
        <f>"ACCT#3325/PCT#2"</f>
        <v>ACCT#3325/PCT#2</v>
      </c>
    </row>
    <row r="633" spans="1:8" x14ac:dyDescent="0.25">
      <c r="E633" t="str">
        <f>"63592AP"</f>
        <v>63592AP</v>
      </c>
      <c r="F633" t="str">
        <f>"ACCT#3324/PCT#3"</f>
        <v>ACCT#3324/PCT#3</v>
      </c>
      <c r="G633" s="1">
        <v>226.25</v>
      </c>
      <c r="H633" t="str">
        <f>"ACCT#3324/PCT#3"</f>
        <v>ACCT#3324/PCT#3</v>
      </c>
    </row>
    <row r="634" spans="1:8" x14ac:dyDescent="0.25">
      <c r="A634" t="s">
        <v>138</v>
      </c>
      <c r="B634">
        <v>4372</v>
      </c>
      <c r="C634" s="1">
        <v>1569.29</v>
      </c>
      <c r="D634" s="6">
        <v>44313</v>
      </c>
      <c r="E634" t="str">
        <f>"63656AP"</f>
        <v>63656AP</v>
      </c>
      <c r="F634" t="str">
        <f>"ACCT#3326/PCT#4"</f>
        <v>ACCT#3326/PCT#4</v>
      </c>
      <c r="G634" s="1">
        <v>621.71</v>
      </c>
      <c r="H634" t="str">
        <f>"ACCT#3326/PCT#4"</f>
        <v>ACCT#3326/PCT#4</v>
      </c>
    </row>
    <row r="635" spans="1:8" x14ac:dyDescent="0.25">
      <c r="E635" t="str">
        <f>"63949AP"</f>
        <v>63949AP</v>
      </c>
      <c r="F635" t="str">
        <f>"ACCT#3326/PCT#4"</f>
        <v>ACCT#3326/PCT#4</v>
      </c>
      <c r="G635" s="1">
        <v>260.01</v>
      </c>
      <c r="H635" t="str">
        <f>"ACCT#3326/PCT#4"</f>
        <v>ACCT#3326/PCT#4</v>
      </c>
    </row>
    <row r="636" spans="1:8" x14ac:dyDescent="0.25">
      <c r="E636" t="str">
        <f>"64220AP"</f>
        <v>64220AP</v>
      </c>
      <c r="F636" t="str">
        <f>"ACCT#3325/PCT#2"</f>
        <v>ACCT#3325/PCT#2</v>
      </c>
      <c r="G636" s="1">
        <v>277.99</v>
      </c>
      <c r="H636" t="str">
        <f>"ACCT#3325/PCT#2"</f>
        <v>ACCT#3325/PCT#2</v>
      </c>
    </row>
    <row r="637" spans="1:8" x14ac:dyDescent="0.25">
      <c r="E637" t="str">
        <f>"64255AP"</f>
        <v>64255AP</v>
      </c>
      <c r="F637" t="str">
        <f>"ACCT#3325/PCT#2"</f>
        <v>ACCT#3325/PCT#2</v>
      </c>
      <c r="G637" s="1">
        <v>22.07</v>
      </c>
      <c r="H637" t="str">
        <f>"ACCT#3325/PCT#2"</f>
        <v>ACCT#3325/PCT#2</v>
      </c>
    </row>
    <row r="638" spans="1:8" x14ac:dyDescent="0.25">
      <c r="E638" t="str">
        <f>"64516AP"</f>
        <v>64516AP</v>
      </c>
      <c r="F638" t="str">
        <f>"ACCT#3326/PCT#4"</f>
        <v>ACCT#3326/PCT#4</v>
      </c>
      <c r="G638" s="1">
        <v>387.51</v>
      </c>
      <c r="H638" t="str">
        <f>"ACCT#3326/PCT#4"</f>
        <v>ACCT#3326/PCT#4</v>
      </c>
    </row>
    <row r="639" spans="1:8" x14ac:dyDescent="0.25">
      <c r="A639" t="s">
        <v>139</v>
      </c>
      <c r="B639">
        <v>135322</v>
      </c>
      <c r="C639" s="1">
        <v>65</v>
      </c>
      <c r="D639" s="6">
        <v>44312</v>
      </c>
      <c r="E639" t="str">
        <f>"14-108"</f>
        <v>14-108</v>
      </c>
      <c r="F639" t="str">
        <f>"RESTITUTION/LANCE SADECKY"</f>
        <v>RESTITUTION/LANCE SADECKY</v>
      </c>
      <c r="G639" s="1">
        <v>65</v>
      </c>
      <c r="H639" t="str">
        <f>"RESTITUTION/LANCE SADECKY"</f>
        <v>RESTITUTION/LANCE SADECKY</v>
      </c>
    </row>
    <row r="640" spans="1:8" x14ac:dyDescent="0.25">
      <c r="A640" t="s">
        <v>140</v>
      </c>
      <c r="B640">
        <v>135162</v>
      </c>
      <c r="C640" s="1">
        <v>8545</v>
      </c>
      <c r="D640" s="6">
        <v>44298</v>
      </c>
      <c r="E640" t="str">
        <f>"202104062480"</f>
        <v>202104062480</v>
      </c>
      <c r="F640" t="str">
        <f>"Agreement"</f>
        <v>Agreement</v>
      </c>
      <c r="G640" s="1">
        <v>1060</v>
      </c>
      <c r="H640" t="str">
        <f>"Bastrop Portable"</f>
        <v>Bastrop Portable</v>
      </c>
    </row>
    <row r="641" spans="1:8" x14ac:dyDescent="0.25">
      <c r="E641" t="str">
        <f>"202104062481"</f>
        <v>202104062481</v>
      </c>
      <c r="F641" t="str">
        <f>"Agreement"</f>
        <v>Agreement</v>
      </c>
      <c r="G641" s="1">
        <v>7485</v>
      </c>
      <c r="H641" t="str">
        <f>"Site #1"</f>
        <v>Site #1</v>
      </c>
    </row>
    <row r="642" spans="1:8" x14ac:dyDescent="0.25">
      <c r="E642" t="str">
        <f>""</f>
        <v/>
      </c>
      <c r="F642" t="str">
        <f>""</f>
        <v/>
      </c>
      <c r="H642" t="str">
        <f>"Site #2"</f>
        <v>Site #2</v>
      </c>
    </row>
    <row r="643" spans="1:8" x14ac:dyDescent="0.25">
      <c r="E643" t="str">
        <f>""</f>
        <v/>
      </c>
      <c r="F643" t="str">
        <f>""</f>
        <v/>
      </c>
      <c r="H643" t="str">
        <f>"Site #3"</f>
        <v>Site #3</v>
      </c>
    </row>
    <row r="644" spans="1:8" x14ac:dyDescent="0.25">
      <c r="A644" t="s">
        <v>141</v>
      </c>
      <c r="B644">
        <v>4302</v>
      </c>
      <c r="C644" s="1">
        <v>617.12</v>
      </c>
      <c r="D644" s="6">
        <v>44299</v>
      </c>
      <c r="E644" t="str">
        <f>"113858"</f>
        <v>113858</v>
      </c>
      <c r="F644" t="str">
        <f>"INV GC 113858"</f>
        <v>INV GC 113858</v>
      </c>
      <c r="G644" s="1">
        <v>40.96</v>
      </c>
      <c r="H644" t="str">
        <f>"INV GC 113858"</f>
        <v>INV GC 113858</v>
      </c>
    </row>
    <row r="645" spans="1:8" x14ac:dyDescent="0.25">
      <c r="E645" t="str">
        <f>"113859"</f>
        <v>113859</v>
      </c>
      <c r="F645" t="str">
        <f>"INV GC 113859"</f>
        <v>INV GC 113859</v>
      </c>
      <c r="G645" s="1">
        <v>40.96</v>
      </c>
      <c r="H645" t="str">
        <f>"INV GC 113859"</f>
        <v>INV GC 113859</v>
      </c>
    </row>
    <row r="646" spans="1:8" x14ac:dyDescent="0.25">
      <c r="E646" t="str">
        <f>"113893"</f>
        <v>113893</v>
      </c>
      <c r="F646" t="str">
        <f>"JP#1"</f>
        <v>JP#1</v>
      </c>
      <c r="G646" s="1">
        <v>535.20000000000005</v>
      </c>
      <c r="H646" t="str">
        <f>"JP#1"</f>
        <v>JP#1</v>
      </c>
    </row>
    <row r="647" spans="1:8" x14ac:dyDescent="0.25">
      <c r="A647" t="s">
        <v>141</v>
      </c>
      <c r="B647">
        <v>4377</v>
      </c>
      <c r="C647" s="1">
        <v>286.31</v>
      </c>
      <c r="D647" s="6">
        <v>44313</v>
      </c>
      <c r="E647" t="str">
        <f>"114022"</f>
        <v>114022</v>
      </c>
      <c r="F647" t="str">
        <f>"INSPECTION REPORTS"</f>
        <v>INSPECTION REPORTS</v>
      </c>
      <c r="G647" s="1">
        <v>197.8</v>
      </c>
      <c r="H647" t="str">
        <f>"INSPECTION REPORTS"</f>
        <v>INSPECTION REPORTS</v>
      </c>
    </row>
    <row r="648" spans="1:8" x14ac:dyDescent="0.25">
      <c r="E648" t="str">
        <f>"114051"</f>
        <v>114051</v>
      </c>
      <c r="F648" t="str">
        <f>"INV 114051"</f>
        <v>INV 114051</v>
      </c>
      <c r="G648" s="1">
        <v>88.51</v>
      </c>
      <c r="H648" t="str">
        <f>"INV 114051"</f>
        <v>INV 114051</v>
      </c>
    </row>
    <row r="649" spans="1:8" x14ac:dyDescent="0.25">
      <c r="A649" t="s">
        <v>142</v>
      </c>
      <c r="B649">
        <v>135163</v>
      </c>
      <c r="C649" s="1">
        <v>276.89</v>
      </c>
      <c r="D649" s="6">
        <v>44298</v>
      </c>
      <c r="E649" t="str">
        <f>"017916742"</f>
        <v>017916742</v>
      </c>
      <c r="F649" t="str">
        <f>"INV 017916742"</f>
        <v>INV 017916742</v>
      </c>
      <c r="G649" s="1">
        <v>264.89</v>
      </c>
      <c r="H649" t="str">
        <f>"INV 017916742"</f>
        <v>INV 017916742</v>
      </c>
    </row>
    <row r="650" spans="1:8" x14ac:dyDescent="0.25">
      <c r="E650" t="str">
        <f>""</f>
        <v/>
      </c>
      <c r="F650" t="str">
        <f>""</f>
        <v/>
      </c>
      <c r="H650" t="str">
        <f>"INV 017967197"</f>
        <v>INV 017967197</v>
      </c>
    </row>
    <row r="651" spans="1:8" x14ac:dyDescent="0.25">
      <c r="E651" t="str">
        <f>"017949904"</f>
        <v>017949904</v>
      </c>
      <c r="F651" t="str">
        <f>"INV 017949904"</f>
        <v>INV 017949904</v>
      </c>
      <c r="G651" s="1">
        <v>12</v>
      </c>
      <c r="H651" t="str">
        <f>"INV 017949904"</f>
        <v>INV 017949904</v>
      </c>
    </row>
    <row r="652" spans="1:8" x14ac:dyDescent="0.25">
      <c r="A652" t="s">
        <v>142</v>
      </c>
      <c r="B652">
        <v>135323</v>
      </c>
      <c r="C652" s="1">
        <v>1038.3800000000001</v>
      </c>
      <c r="D652" s="6">
        <v>44312</v>
      </c>
      <c r="E652" t="str">
        <f>"016907749"</f>
        <v>016907749</v>
      </c>
      <c r="F652" t="str">
        <f>"INV 016907749/017121753/."</f>
        <v>INV 016907749/017121753/.</v>
      </c>
      <c r="G652" s="1">
        <v>663</v>
      </c>
      <c r="H652" t="str">
        <f>"INV 016907749"</f>
        <v>INV 016907749</v>
      </c>
    </row>
    <row r="653" spans="1:8" x14ac:dyDescent="0.25">
      <c r="E653" t="str">
        <f>""</f>
        <v/>
      </c>
      <c r="F653" t="str">
        <f>""</f>
        <v/>
      </c>
      <c r="H653" t="str">
        <f>"INV 017121753"</f>
        <v>INV 017121753</v>
      </c>
    </row>
    <row r="654" spans="1:8" x14ac:dyDescent="0.25">
      <c r="E654" t="str">
        <f>""</f>
        <v/>
      </c>
      <c r="F654" t="str">
        <f>""</f>
        <v/>
      </c>
      <c r="H654" t="str">
        <f>"INV 017121778"</f>
        <v>INV 017121778</v>
      </c>
    </row>
    <row r="655" spans="1:8" x14ac:dyDescent="0.25">
      <c r="E655" t="str">
        <f>""</f>
        <v/>
      </c>
      <c r="F655" t="str">
        <f>""</f>
        <v/>
      </c>
      <c r="H655" t="str">
        <f>"INV 017219813"</f>
        <v>INV 017219813</v>
      </c>
    </row>
    <row r="656" spans="1:8" x14ac:dyDescent="0.25">
      <c r="E656" t="str">
        <f>""</f>
        <v/>
      </c>
      <c r="F656" t="str">
        <f>""</f>
        <v/>
      </c>
      <c r="H656" t="str">
        <f>"018022381 CREDIT"</f>
        <v>018022381 CREDIT</v>
      </c>
    </row>
    <row r="657" spans="1:8" x14ac:dyDescent="0.25">
      <c r="E657" t="str">
        <f>"017121735"</f>
        <v>017121735</v>
      </c>
      <c r="F657" t="str">
        <f>"INV 017121735/017121749/."</f>
        <v>INV 017121735/017121749/.</v>
      </c>
      <c r="G657" s="1">
        <v>346</v>
      </c>
      <c r="H657" t="str">
        <f>"INV 017121735"</f>
        <v>INV 017121735</v>
      </c>
    </row>
    <row r="658" spans="1:8" x14ac:dyDescent="0.25">
      <c r="E658" t="str">
        <f>""</f>
        <v/>
      </c>
      <c r="F658" t="str">
        <f>""</f>
        <v/>
      </c>
      <c r="H658" t="str">
        <f>"INV 017121749"</f>
        <v>INV 017121749</v>
      </c>
    </row>
    <row r="659" spans="1:8" x14ac:dyDescent="0.25">
      <c r="E659" t="str">
        <f>""</f>
        <v/>
      </c>
      <c r="F659" t="str">
        <f>""</f>
        <v/>
      </c>
      <c r="H659" t="str">
        <f>"INV 017121779"</f>
        <v>INV 017121779</v>
      </c>
    </row>
    <row r="660" spans="1:8" x14ac:dyDescent="0.25">
      <c r="E660" t="str">
        <f>""</f>
        <v/>
      </c>
      <c r="F660" t="str">
        <f>""</f>
        <v/>
      </c>
      <c r="H660" t="str">
        <f>"INV 018022371 CREDIT"</f>
        <v>INV 018022371 CREDIT</v>
      </c>
    </row>
    <row r="661" spans="1:8" x14ac:dyDescent="0.25">
      <c r="E661" t="str">
        <f>"017484552"</f>
        <v>017484552</v>
      </c>
      <c r="F661" t="str">
        <f>"INV 017484552"</f>
        <v>INV 017484552</v>
      </c>
      <c r="G661" s="1">
        <v>5.38</v>
      </c>
      <c r="H661" t="str">
        <f>"INV 017484552"</f>
        <v>INV 017484552</v>
      </c>
    </row>
    <row r="662" spans="1:8" x14ac:dyDescent="0.25">
      <c r="E662" t="str">
        <f>"018131295"</f>
        <v>018131295</v>
      </c>
      <c r="F662" t="str">
        <f>"INV 018131295"</f>
        <v>INV 018131295</v>
      </c>
      <c r="G662" s="1">
        <v>12</v>
      </c>
      <c r="H662" t="str">
        <f>"INV 018131295"</f>
        <v>INV 018131295</v>
      </c>
    </row>
    <row r="663" spans="1:8" x14ac:dyDescent="0.25">
      <c r="E663" t="str">
        <f>"018131349"</f>
        <v>018131349</v>
      </c>
      <c r="F663" t="str">
        <f>"INV 018131349"</f>
        <v>INV 018131349</v>
      </c>
      <c r="G663" s="1">
        <v>12</v>
      </c>
      <c r="H663" t="str">
        <f>"INV 018131349"</f>
        <v>INV 018131349</v>
      </c>
    </row>
    <row r="664" spans="1:8" x14ac:dyDescent="0.25">
      <c r="A664" t="s">
        <v>143</v>
      </c>
      <c r="B664">
        <v>135164</v>
      </c>
      <c r="C664" s="1">
        <v>407.67</v>
      </c>
      <c r="D664" s="6">
        <v>44298</v>
      </c>
      <c r="E664" t="str">
        <f>"23356"</f>
        <v>23356</v>
      </c>
      <c r="F664" t="str">
        <f>"ShirtGTG Embroidery order"</f>
        <v>ShirtGTG Embroidery order</v>
      </c>
      <c r="G664" s="1">
        <v>407.67</v>
      </c>
      <c r="H664" t="str">
        <f>"PAT474MAR"</f>
        <v>PAT474MAR</v>
      </c>
    </row>
    <row r="665" spans="1:8" x14ac:dyDescent="0.25">
      <c r="E665" t="str">
        <f>""</f>
        <v/>
      </c>
      <c r="F665" t="str">
        <f>""</f>
        <v/>
      </c>
      <c r="H665" t="str">
        <f>"PAT474DGR"</f>
        <v>PAT474DGR</v>
      </c>
    </row>
    <row r="666" spans="1:8" x14ac:dyDescent="0.25">
      <c r="E666" t="str">
        <f>""</f>
        <v/>
      </c>
      <c r="F666" t="str">
        <f>""</f>
        <v/>
      </c>
      <c r="H666" t="str">
        <f>"PAT474DGR"</f>
        <v>PAT474DGR</v>
      </c>
    </row>
    <row r="667" spans="1:8" x14ac:dyDescent="0.25">
      <c r="E667" t="str">
        <f>""</f>
        <v/>
      </c>
      <c r="F667" t="str">
        <f>""</f>
        <v/>
      </c>
      <c r="H667" t="str">
        <f>"PAT474SEE"</f>
        <v>PAT474SEE</v>
      </c>
    </row>
    <row r="668" spans="1:8" x14ac:dyDescent="0.25">
      <c r="E668" t="str">
        <f>""</f>
        <v/>
      </c>
      <c r="F668" t="str">
        <f>""</f>
        <v/>
      </c>
      <c r="H668" t="str">
        <f>"PAT474NAV"</f>
        <v>PAT474NAV</v>
      </c>
    </row>
    <row r="669" spans="1:8" x14ac:dyDescent="0.25">
      <c r="E669" t="str">
        <f>""</f>
        <v/>
      </c>
      <c r="F669" t="str">
        <f>""</f>
        <v/>
      </c>
      <c r="H669" t="str">
        <f>"PAT474NAV"</f>
        <v>PAT474NAV</v>
      </c>
    </row>
    <row r="670" spans="1:8" x14ac:dyDescent="0.25">
      <c r="E670" t="str">
        <f>""</f>
        <v/>
      </c>
      <c r="F670" t="str">
        <f>""</f>
        <v/>
      </c>
      <c r="H670" t="str">
        <f>"PAT474BLK"</f>
        <v>PAT474BLK</v>
      </c>
    </row>
    <row r="671" spans="1:8" x14ac:dyDescent="0.25">
      <c r="E671" t="str">
        <f>""</f>
        <v/>
      </c>
      <c r="F671" t="str">
        <f>""</f>
        <v/>
      </c>
      <c r="H671" t="str">
        <f>"PAT474BLKX"</f>
        <v>PAT474BLKX</v>
      </c>
    </row>
    <row r="672" spans="1:8" x14ac:dyDescent="0.25">
      <c r="E672" t="str">
        <f>""</f>
        <v/>
      </c>
      <c r="F672" t="str">
        <f>""</f>
        <v/>
      </c>
      <c r="H672" t="str">
        <f>"PAT474ROYX"</f>
        <v>PAT474ROYX</v>
      </c>
    </row>
    <row r="673" spans="1:8" x14ac:dyDescent="0.25">
      <c r="A673" t="s">
        <v>143</v>
      </c>
      <c r="B673">
        <v>135324</v>
      </c>
      <c r="C673" s="1">
        <v>695.81</v>
      </c>
      <c r="D673" s="6">
        <v>44312</v>
      </c>
      <c r="E673" t="str">
        <f>"23467"</f>
        <v>23467</v>
      </c>
      <c r="F673" t="str">
        <f>"Garments to go S62959"</f>
        <v>Garments to go S62959</v>
      </c>
      <c r="G673" s="1">
        <v>120</v>
      </c>
      <c r="H673" t="str">
        <f>"12 XL #S62959"</f>
        <v>12 XL #S62959</v>
      </c>
    </row>
    <row r="674" spans="1:8" x14ac:dyDescent="0.25">
      <c r="E674" t="str">
        <f>"N70703"</f>
        <v>N70703</v>
      </c>
      <c r="F674" t="str">
        <f>"CUST#02260/ANIMAL SHELTER"</f>
        <v>CUST#02260/ANIMAL SHELTER</v>
      </c>
      <c r="G674" s="1">
        <v>575.80999999999995</v>
      </c>
      <c r="H674" t="str">
        <f>"CUST#02260/ANIMAL SHELTER"</f>
        <v>CUST#02260/ANIMAL SHELTER</v>
      </c>
    </row>
    <row r="675" spans="1:8" x14ac:dyDescent="0.25">
      <c r="A675" t="s">
        <v>144</v>
      </c>
      <c r="B675">
        <v>135165</v>
      </c>
      <c r="C675" s="1">
        <v>550</v>
      </c>
      <c r="D675" s="6">
        <v>44298</v>
      </c>
      <c r="E675" t="str">
        <f>"1137"</f>
        <v>1137</v>
      </c>
      <c r="F675" t="str">
        <f>"TRANSPORT/EVAN ADKINS"</f>
        <v>TRANSPORT/EVAN ADKINS</v>
      </c>
      <c r="G675" s="1">
        <v>550</v>
      </c>
      <c r="H675" t="str">
        <f>"TRANSPORT/EVAN ADKINS"</f>
        <v>TRANSPORT/EVAN ADKINS</v>
      </c>
    </row>
    <row r="676" spans="1:8" x14ac:dyDescent="0.25">
      <c r="A676" t="s">
        <v>145</v>
      </c>
      <c r="B676">
        <v>135166</v>
      </c>
      <c r="C676" s="1">
        <v>1784.92</v>
      </c>
      <c r="D676" s="6">
        <v>44298</v>
      </c>
      <c r="E676" t="str">
        <f>"9770088822"</f>
        <v>9770088822</v>
      </c>
      <c r="F676" t="str">
        <f>"Order"</f>
        <v>Order</v>
      </c>
      <c r="G676" s="1">
        <v>1546.24</v>
      </c>
      <c r="H676" t="str">
        <f>"Ice Melter"</f>
        <v>Ice Melter</v>
      </c>
    </row>
    <row r="677" spans="1:8" x14ac:dyDescent="0.25">
      <c r="E677" t="str">
        <f>"9840423793"</f>
        <v>9840423793</v>
      </c>
      <c r="F677" t="str">
        <f>"Valves"</f>
        <v>Valves</v>
      </c>
      <c r="G677" s="1">
        <v>238.68</v>
      </c>
      <c r="H677" t="str">
        <f>"6ETU7"</f>
        <v>6ETU7</v>
      </c>
    </row>
    <row r="678" spans="1:8" x14ac:dyDescent="0.25">
      <c r="A678" t="s">
        <v>146</v>
      </c>
      <c r="B678">
        <v>135325</v>
      </c>
      <c r="C678" s="1">
        <v>80</v>
      </c>
      <c r="D678" s="6">
        <v>44312</v>
      </c>
      <c r="E678" t="str">
        <f>"13540"</f>
        <v>13540</v>
      </c>
      <c r="F678" t="str">
        <f>"SERVICE"</f>
        <v>SERVICE</v>
      </c>
      <c r="G678" s="1">
        <v>80</v>
      </c>
      <c r="H678" t="str">
        <f>"SERVICE"</f>
        <v>SERVICE</v>
      </c>
    </row>
    <row r="679" spans="1:8" x14ac:dyDescent="0.25">
      <c r="A679" t="s">
        <v>147</v>
      </c>
      <c r="B679">
        <v>4303</v>
      </c>
      <c r="C679" s="1">
        <v>10574.63</v>
      </c>
      <c r="D679" s="6">
        <v>44299</v>
      </c>
      <c r="E679" t="str">
        <f>"0827761"</f>
        <v>0827761</v>
      </c>
      <c r="F679" t="str">
        <f>"INV 0827761/0834838"</f>
        <v>INV 0827761/0834838</v>
      </c>
      <c r="G679" s="1">
        <v>595.4</v>
      </c>
      <c r="H679" t="str">
        <f>"INV 0827761"</f>
        <v>INV 0827761</v>
      </c>
    </row>
    <row r="680" spans="1:8" x14ac:dyDescent="0.25">
      <c r="E680" t="str">
        <f>""</f>
        <v/>
      </c>
      <c r="F680" t="str">
        <f>""</f>
        <v/>
      </c>
      <c r="H680" t="str">
        <f>"INV 0834838"</f>
        <v>INV 0834838</v>
      </c>
    </row>
    <row r="681" spans="1:8" x14ac:dyDescent="0.25">
      <c r="E681" t="str">
        <f>"0831957"</f>
        <v>0831957</v>
      </c>
      <c r="F681" t="str">
        <f>"INV 0831957"</f>
        <v>INV 0831957</v>
      </c>
      <c r="G681" s="1">
        <v>2055</v>
      </c>
      <c r="H681" t="str">
        <f>"INV 0831957"</f>
        <v>INV 0831957</v>
      </c>
    </row>
    <row r="682" spans="1:8" x14ac:dyDescent="0.25">
      <c r="E682" t="str">
        <f>"0832699"</f>
        <v>0832699</v>
      </c>
      <c r="F682" t="str">
        <f>"INV 0832699"</f>
        <v>INV 0832699</v>
      </c>
      <c r="G682" s="1">
        <v>200</v>
      </c>
      <c r="H682" t="str">
        <f>"INV 0832699"</f>
        <v>INV 0832699</v>
      </c>
    </row>
    <row r="683" spans="1:8" x14ac:dyDescent="0.25">
      <c r="E683" t="str">
        <f>"0834249"</f>
        <v>0834249</v>
      </c>
      <c r="F683" t="str">
        <f>"INV 0834249"</f>
        <v>INV 0834249</v>
      </c>
      <c r="G683" s="1">
        <v>200</v>
      </c>
      <c r="H683" t="str">
        <f>"INV 0834249"</f>
        <v>INV 0834249</v>
      </c>
    </row>
    <row r="684" spans="1:8" x14ac:dyDescent="0.25">
      <c r="E684" t="str">
        <f>"0834830"</f>
        <v>0834830</v>
      </c>
      <c r="F684" t="str">
        <f>"INV 0834830"</f>
        <v>INV 0834830</v>
      </c>
      <c r="G684" s="1">
        <v>283.5</v>
      </c>
      <c r="H684" t="str">
        <f>"INV 0834830"</f>
        <v>INV 0834830</v>
      </c>
    </row>
    <row r="685" spans="1:8" x14ac:dyDescent="0.25">
      <c r="E685" t="str">
        <f>"0834885"</f>
        <v>0834885</v>
      </c>
      <c r="F685" t="str">
        <f>"INV 0834885"</f>
        <v>INV 0834885</v>
      </c>
      <c r="G685" s="1">
        <v>673.45</v>
      </c>
      <c r="H685" t="str">
        <f>"INV 0834885"</f>
        <v>INV 0834885</v>
      </c>
    </row>
    <row r="686" spans="1:8" x14ac:dyDescent="0.25">
      <c r="E686" t="str">
        <f>"0835222"</f>
        <v>0835222</v>
      </c>
      <c r="F686" t="str">
        <f>"INV 0835222"</f>
        <v>INV 0835222</v>
      </c>
      <c r="G686" s="1">
        <v>283.5</v>
      </c>
      <c r="H686" t="str">
        <f>"INV 0835222"</f>
        <v>INV 0835222</v>
      </c>
    </row>
    <row r="687" spans="1:8" x14ac:dyDescent="0.25">
      <c r="E687" t="str">
        <f>"0835225"</f>
        <v>0835225</v>
      </c>
      <c r="F687" t="str">
        <f>"INV 0835225"</f>
        <v>INV 0835225</v>
      </c>
      <c r="G687" s="1">
        <v>283.5</v>
      </c>
      <c r="H687" t="str">
        <f>"INV 0835225"</f>
        <v>INV 0835225</v>
      </c>
    </row>
    <row r="688" spans="1:8" x14ac:dyDescent="0.25">
      <c r="E688" t="str">
        <f>"0835227"</f>
        <v>0835227</v>
      </c>
      <c r="F688" t="str">
        <f>"INV 0835227"</f>
        <v>INV 0835227</v>
      </c>
      <c r="G688" s="1">
        <v>283.5</v>
      </c>
      <c r="H688" t="str">
        <f>"INV 0835227"</f>
        <v>INV 0835227</v>
      </c>
    </row>
    <row r="689" spans="5:8" x14ac:dyDescent="0.25">
      <c r="E689" t="str">
        <f>"0835228"</f>
        <v>0835228</v>
      </c>
      <c r="F689" t="str">
        <f>"INV 0835228"</f>
        <v>INV 0835228</v>
      </c>
      <c r="G689" s="1">
        <v>283.5</v>
      </c>
      <c r="H689" t="str">
        <f>"INV 0835228"</f>
        <v>INV 0835228</v>
      </c>
    </row>
    <row r="690" spans="5:8" x14ac:dyDescent="0.25">
      <c r="E690" t="str">
        <f>"0835230"</f>
        <v>0835230</v>
      </c>
      <c r="F690" t="str">
        <f>"INV 0835230"</f>
        <v>INV 0835230</v>
      </c>
      <c r="G690" s="1">
        <v>283.5</v>
      </c>
      <c r="H690" t="str">
        <f>"INV 0835230"</f>
        <v>INV 0835230</v>
      </c>
    </row>
    <row r="691" spans="5:8" x14ac:dyDescent="0.25">
      <c r="E691" t="str">
        <f>"0835231"</f>
        <v>0835231</v>
      </c>
      <c r="F691" t="str">
        <f>"INV 0835231"</f>
        <v>INV 0835231</v>
      </c>
      <c r="G691" s="1">
        <v>283.5</v>
      </c>
      <c r="H691" t="str">
        <f>"INV 0835231"</f>
        <v>INV 0835231</v>
      </c>
    </row>
    <row r="692" spans="5:8" x14ac:dyDescent="0.25">
      <c r="E692" t="str">
        <f>"0835232"</f>
        <v>0835232</v>
      </c>
      <c r="F692" t="str">
        <f>"INV 0835232"</f>
        <v>INV 0835232</v>
      </c>
      <c r="G692" s="1">
        <v>283.5</v>
      </c>
      <c r="H692" t="str">
        <f>"INV 0835232"</f>
        <v>INV 0835232</v>
      </c>
    </row>
    <row r="693" spans="5:8" x14ac:dyDescent="0.25">
      <c r="E693" t="str">
        <f>"0835233"</f>
        <v>0835233</v>
      </c>
      <c r="F693" t="str">
        <f>"INV 0835233"</f>
        <v>INV 0835233</v>
      </c>
      <c r="G693" s="1">
        <v>283.5</v>
      </c>
      <c r="H693" t="str">
        <f>"INV 0835233"</f>
        <v>INV 0835233</v>
      </c>
    </row>
    <row r="694" spans="5:8" x14ac:dyDescent="0.25">
      <c r="E694" t="str">
        <f>"0835234"</f>
        <v>0835234</v>
      </c>
      <c r="F694" t="str">
        <f>"INV 0835234"</f>
        <v>INV 0835234</v>
      </c>
      <c r="G694" s="1">
        <v>283.5</v>
      </c>
      <c r="H694" t="str">
        <f>"INV 0835234"</f>
        <v>INV 0835234</v>
      </c>
    </row>
    <row r="695" spans="5:8" x14ac:dyDescent="0.25">
      <c r="E695" t="str">
        <f>"0835235"</f>
        <v>0835235</v>
      </c>
      <c r="F695" t="str">
        <f>"INV 0835235"</f>
        <v>INV 0835235</v>
      </c>
      <c r="G695" s="1">
        <v>283.5</v>
      </c>
      <c r="H695" t="str">
        <f>"INV 0835235"</f>
        <v>INV 0835235</v>
      </c>
    </row>
    <row r="696" spans="5:8" x14ac:dyDescent="0.25">
      <c r="E696" t="str">
        <f>"0835236"</f>
        <v>0835236</v>
      </c>
      <c r="F696" t="str">
        <f>"INV 0835236"</f>
        <v>INV 0835236</v>
      </c>
      <c r="G696" s="1">
        <v>283.5</v>
      </c>
      <c r="H696" t="str">
        <f>"INV 0835236"</f>
        <v>INV 0835236</v>
      </c>
    </row>
    <row r="697" spans="5:8" x14ac:dyDescent="0.25">
      <c r="E697" t="str">
        <f>"0835237"</f>
        <v>0835237</v>
      </c>
      <c r="F697" t="str">
        <f>"INV 0835237"</f>
        <v>INV 0835237</v>
      </c>
      <c r="G697" s="1">
        <v>283.5</v>
      </c>
      <c r="H697" t="str">
        <f>"INV 0835237"</f>
        <v>INV 0835237</v>
      </c>
    </row>
    <row r="698" spans="5:8" x14ac:dyDescent="0.25">
      <c r="E698" t="str">
        <f>"0835238"</f>
        <v>0835238</v>
      </c>
      <c r="F698" t="str">
        <f>"INV 0835238"</f>
        <v>INV 0835238</v>
      </c>
      <c r="G698" s="1">
        <v>283.5</v>
      </c>
      <c r="H698" t="str">
        <f>"INV 0835238"</f>
        <v>INV 0835238</v>
      </c>
    </row>
    <row r="699" spans="5:8" x14ac:dyDescent="0.25">
      <c r="E699" t="str">
        <f>"0835239"</f>
        <v>0835239</v>
      </c>
      <c r="F699" t="str">
        <f>"INV 0835239"</f>
        <v>INV 0835239</v>
      </c>
      <c r="G699" s="1">
        <v>283.5</v>
      </c>
      <c r="H699" t="str">
        <f>"INV 0835239"</f>
        <v>INV 0835239</v>
      </c>
    </row>
    <row r="700" spans="5:8" x14ac:dyDescent="0.25">
      <c r="E700" t="str">
        <f>"0835240"</f>
        <v>0835240</v>
      </c>
      <c r="F700" t="str">
        <f>"INV 0835240"</f>
        <v>INV 0835240</v>
      </c>
      <c r="G700" s="1">
        <v>283.5</v>
      </c>
      <c r="H700" t="str">
        <f>"INV 0835240"</f>
        <v>INV 0835240</v>
      </c>
    </row>
    <row r="701" spans="5:8" x14ac:dyDescent="0.25">
      <c r="E701" t="str">
        <f>"0835241"</f>
        <v>0835241</v>
      </c>
      <c r="F701" t="str">
        <f>"INV 0835241"</f>
        <v>INV 0835241</v>
      </c>
      <c r="G701" s="1">
        <v>283.5</v>
      </c>
      <c r="H701" t="str">
        <f>"INV 0835241"</f>
        <v>INV 0835241</v>
      </c>
    </row>
    <row r="702" spans="5:8" x14ac:dyDescent="0.25">
      <c r="E702" t="str">
        <f>"0835242"</f>
        <v>0835242</v>
      </c>
      <c r="F702" t="str">
        <f>"INV 0835242"</f>
        <v>INV 0835242</v>
      </c>
      <c r="G702" s="1">
        <v>283.5</v>
      </c>
      <c r="H702" t="str">
        <f>"INV 0835242"</f>
        <v>INV 0835242</v>
      </c>
    </row>
    <row r="703" spans="5:8" x14ac:dyDescent="0.25">
      <c r="E703" t="str">
        <f>"0835244"</f>
        <v>0835244</v>
      </c>
      <c r="F703" t="str">
        <f>"INV 0835244"</f>
        <v>INV 0835244</v>
      </c>
      <c r="G703" s="1">
        <v>283.5</v>
      </c>
      <c r="H703" t="str">
        <f>"INV 0835244"</f>
        <v>INV 0835244</v>
      </c>
    </row>
    <row r="704" spans="5:8" x14ac:dyDescent="0.25">
      <c r="E704" t="str">
        <f>"INV0831414"</f>
        <v>INV0831414</v>
      </c>
      <c r="F704" t="str">
        <f>"INV0831414"</f>
        <v>INV0831414</v>
      </c>
      <c r="G704" s="1">
        <v>10.75</v>
      </c>
      <c r="H704" t="str">
        <f>"INV0831414"</f>
        <v>INV0831414</v>
      </c>
    </row>
    <row r="705" spans="1:8" x14ac:dyDescent="0.25">
      <c r="E705" t="str">
        <f>"INV0831415"</f>
        <v>INV0831415</v>
      </c>
      <c r="F705" t="str">
        <f>"INV0831415"</f>
        <v>INV0831415</v>
      </c>
      <c r="G705" s="1">
        <v>29.4</v>
      </c>
      <c r="H705" t="str">
        <f>"INV0831415"</f>
        <v>INV0831415</v>
      </c>
    </row>
    <row r="706" spans="1:8" x14ac:dyDescent="0.25">
      <c r="E706" t="str">
        <f>"INV0831886"</f>
        <v>INV0831886</v>
      </c>
      <c r="F706" t="str">
        <f>"INV0831886"</f>
        <v>INV0831886</v>
      </c>
      <c r="G706" s="1">
        <v>230.94</v>
      </c>
      <c r="H706" t="str">
        <f>"INV0831886"</f>
        <v>INV0831886</v>
      </c>
    </row>
    <row r="707" spans="1:8" x14ac:dyDescent="0.25">
      <c r="E707" t="str">
        <f>"INV0834118"</f>
        <v>INV0834118</v>
      </c>
      <c r="F707" t="str">
        <f>"INV0834118"</f>
        <v>INV0834118</v>
      </c>
      <c r="G707" s="1">
        <v>1193.19</v>
      </c>
      <c r="H707" t="str">
        <f>"INV0834118"</f>
        <v>INV0834118</v>
      </c>
    </row>
    <row r="708" spans="1:8" x14ac:dyDescent="0.25">
      <c r="A708" t="s">
        <v>147</v>
      </c>
      <c r="B708">
        <v>4378</v>
      </c>
      <c r="C708" s="1">
        <v>6303.05</v>
      </c>
      <c r="D708" s="6">
        <v>44313</v>
      </c>
      <c r="E708" t="str">
        <f>"0832114"</f>
        <v>0832114</v>
      </c>
      <c r="F708" t="str">
        <f>"0832114/0835025/0835286"</f>
        <v>0832114/0835025/0835286</v>
      </c>
      <c r="G708" s="1">
        <v>606.4</v>
      </c>
      <c r="H708" t="str">
        <f>"INV 0832114"</f>
        <v>INV 0832114</v>
      </c>
    </row>
    <row r="709" spans="1:8" x14ac:dyDescent="0.25">
      <c r="E709" t="str">
        <f>""</f>
        <v/>
      </c>
      <c r="F709" t="str">
        <f>""</f>
        <v/>
      </c>
      <c r="H709" t="str">
        <f>"INV 0835025"</f>
        <v>INV 0835025</v>
      </c>
    </row>
    <row r="710" spans="1:8" x14ac:dyDescent="0.25">
      <c r="E710" t="str">
        <f>""</f>
        <v/>
      </c>
      <c r="F710" t="str">
        <f>""</f>
        <v/>
      </c>
      <c r="H710" t="str">
        <f>"INV 0835286"</f>
        <v>INV 0835286</v>
      </c>
    </row>
    <row r="711" spans="1:8" x14ac:dyDescent="0.25">
      <c r="E711" t="str">
        <f>"0835316"</f>
        <v>0835316</v>
      </c>
      <c r="F711" t="str">
        <f>"INV 0836542/0835316"</f>
        <v>INV 0836542/0835316</v>
      </c>
      <c r="G711" s="1">
        <v>394.28</v>
      </c>
      <c r="H711" t="str">
        <f>"INV 0835316"</f>
        <v>INV 0835316</v>
      </c>
    </row>
    <row r="712" spans="1:8" x14ac:dyDescent="0.25">
      <c r="E712" t="str">
        <f>""</f>
        <v/>
      </c>
      <c r="F712" t="str">
        <f>""</f>
        <v/>
      </c>
      <c r="H712" t="str">
        <f>"INV 0836542"</f>
        <v>INV 0836542</v>
      </c>
    </row>
    <row r="713" spans="1:8" x14ac:dyDescent="0.25">
      <c r="E713" t="str">
        <f>"0835836"</f>
        <v>0835836</v>
      </c>
      <c r="F713" t="str">
        <f>"INV 0835836"</f>
        <v>INV 0835836</v>
      </c>
      <c r="G713" s="1">
        <v>225</v>
      </c>
      <c r="H713" t="str">
        <f>"INV 0835836"</f>
        <v>INV 0835836</v>
      </c>
    </row>
    <row r="714" spans="1:8" x14ac:dyDescent="0.25">
      <c r="E714" t="str">
        <f>"0836287"</f>
        <v>0836287</v>
      </c>
      <c r="F714" t="str">
        <f>"INV 0836287"</f>
        <v>INV 0836287</v>
      </c>
      <c r="G714" s="1">
        <v>225</v>
      </c>
      <c r="H714" t="str">
        <f>"INV 0836287"</f>
        <v>INV 0836287</v>
      </c>
    </row>
    <row r="715" spans="1:8" x14ac:dyDescent="0.25">
      <c r="E715" t="str">
        <f>"0836471"</f>
        <v>0836471</v>
      </c>
      <c r="F715" t="str">
        <f>"INV0836471"</f>
        <v>INV0836471</v>
      </c>
      <c r="G715" s="1">
        <v>367.5</v>
      </c>
      <c r="H715" t="str">
        <f>"INV0836471"</f>
        <v>INV0836471</v>
      </c>
    </row>
    <row r="716" spans="1:8" x14ac:dyDescent="0.25">
      <c r="E716" t="str">
        <f>"0836556"</f>
        <v>0836556</v>
      </c>
      <c r="F716" t="str">
        <f>"INV 0836556"</f>
        <v>INV 0836556</v>
      </c>
      <c r="G716" s="1">
        <v>30</v>
      </c>
      <c r="H716" t="str">
        <f>"INV 0836556"</f>
        <v>INV 0836556</v>
      </c>
    </row>
    <row r="717" spans="1:8" x14ac:dyDescent="0.25">
      <c r="E717" t="str">
        <f>"0836562"</f>
        <v>0836562</v>
      </c>
      <c r="F717" t="str">
        <f>"INV 0836562"</f>
        <v>INV 0836562</v>
      </c>
      <c r="G717" s="1">
        <v>283.5</v>
      </c>
      <c r="H717" t="str">
        <f>"INV 0836562"</f>
        <v>INV 0836562</v>
      </c>
    </row>
    <row r="718" spans="1:8" x14ac:dyDescent="0.25">
      <c r="E718" t="str">
        <f>"0836564"</f>
        <v>0836564</v>
      </c>
      <c r="F718" t="str">
        <f>"INV 0836564"</f>
        <v>INV 0836564</v>
      </c>
      <c r="G718" s="1">
        <v>283.5</v>
      </c>
      <c r="H718" t="str">
        <f>"INV 0836564"</f>
        <v>INV 0836564</v>
      </c>
    </row>
    <row r="719" spans="1:8" x14ac:dyDescent="0.25">
      <c r="E719" t="str">
        <f>"0836565"</f>
        <v>0836565</v>
      </c>
      <c r="F719" t="str">
        <f>"INV 0836565"</f>
        <v>INV 0836565</v>
      </c>
      <c r="G719" s="1">
        <v>283.5</v>
      </c>
      <c r="H719" t="str">
        <f>"INV 0836565"</f>
        <v>INV 0836565</v>
      </c>
    </row>
    <row r="720" spans="1:8" x14ac:dyDescent="0.25">
      <c r="E720" t="str">
        <f>"0836566"</f>
        <v>0836566</v>
      </c>
      <c r="F720" t="str">
        <f>"INV 0836566"</f>
        <v>INV 0836566</v>
      </c>
      <c r="G720" s="1">
        <v>283.5</v>
      </c>
      <c r="H720" t="str">
        <f>"INV 0836566"</f>
        <v>INV 0836566</v>
      </c>
    </row>
    <row r="721" spans="1:8" x14ac:dyDescent="0.25">
      <c r="E721" t="str">
        <f>"0836567"</f>
        <v>0836567</v>
      </c>
      <c r="F721" t="str">
        <f>"INV 0836567"</f>
        <v>INV 0836567</v>
      </c>
      <c r="G721" s="1">
        <v>283.5</v>
      </c>
      <c r="H721" t="str">
        <f>"INV 0836567"</f>
        <v>INV 0836567</v>
      </c>
    </row>
    <row r="722" spans="1:8" x14ac:dyDescent="0.25">
      <c r="E722" t="str">
        <f>"0836568"</f>
        <v>0836568</v>
      </c>
      <c r="F722" t="str">
        <f>"INV 0836568"</f>
        <v>INV 0836568</v>
      </c>
      <c r="G722" s="1">
        <v>283.5</v>
      </c>
      <c r="H722" t="str">
        <f>"INV 0836568"</f>
        <v>INV 0836568</v>
      </c>
    </row>
    <row r="723" spans="1:8" x14ac:dyDescent="0.25">
      <c r="E723" t="str">
        <f>"0836569"</f>
        <v>0836569</v>
      </c>
      <c r="F723" t="str">
        <f>"INV 0836569"</f>
        <v>INV 0836569</v>
      </c>
      <c r="G723" s="1">
        <v>283.5</v>
      </c>
      <c r="H723" t="str">
        <f>"INV 0836569"</f>
        <v>INV 0836569</v>
      </c>
    </row>
    <row r="724" spans="1:8" x14ac:dyDescent="0.25">
      <c r="E724" t="str">
        <f>"0836570"</f>
        <v>0836570</v>
      </c>
      <c r="F724" t="str">
        <f>"INV 0836570"</f>
        <v>INV 0836570</v>
      </c>
      <c r="G724" s="1">
        <v>283.5</v>
      </c>
      <c r="H724" t="str">
        <f>"INV 0836570"</f>
        <v>INV 0836570</v>
      </c>
    </row>
    <row r="725" spans="1:8" x14ac:dyDescent="0.25">
      <c r="E725" t="str">
        <f>"0836571"</f>
        <v>0836571</v>
      </c>
      <c r="F725" t="str">
        <f>"INV 0836571"</f>
        <v>INV 0836571</v>
      </c>
      <c r="G725" s="1">
        <v>283.5</v>
      </c>
      <c r="H725" t="str">
        <f>"INV 0836571"</f>
        <v>INV 0836571</v>
      </c>
    </row>
    <row r="726" spans="1:8" x14ac:dyDescent="0.25">
      <c r="E726" t="str">
        <f>"0836573"</f>
        <v>0836573</v>
      </c>
      <c r="F726" t="str">
        <f>"INV 0836573"</f>
        <v>INV 0836573</v>
      </c>
      <c r="G726" s="1">
        <v>283.5</v>
      </c>
      <c r="H726" t="str">
        <f>"INV 0836573"</f>
        <v>INV 0836573</v>
      </c>
    </row>
    <row r="727" spans="1:8" x14ac:dyDescent="0.25">
      <c r="E727" t="str">
        <f>"0836587"</f>
        <v>0836587</v>
      </c>
      <c r="F727" t="str">
        <f>"INV 0836587"</f>
        <v>INV 0836587</v>
      </c>
      <c r="G727" s="1">
        <v>283.5</v>
      </c>
      <c r="H727" t="str">
        <f>"INV 0836587"</f>
        <v>INV 0836587</v>
      </c>
    </row>
    <row r="728" spans="1:8" x14ac:dyDescent="0.25">
      <c r="E728" t="str">
        <f>"0836588"</f>
        <v>0836588</v>
      </c>
      <c r="F728" t="str">
        <f>"INV 0836588"</f>
        <v>INV 0836588</v>
      </c>
      <c r="G728" s="1">
        <v>283.5</v>
      </c>
      <c r="H728" t="str">
        <f>"INV 0836588"</f>
        <v>INV 0836588</v>
      </c>
    </row>
    <row r="729" spans="1:8" x14ac:dyDescent="0.25">
      <c r="E729" t="str">
        <f>"0836589"</f>
        <v>0836589</v>
      </c>
      <c r="F729" t="str">
        <f>"INV 0836589"</f>
        <v>INV 0836589</v>
      </c>
      <c r="G729" s="1">
        <v>283.5</v>
      </c>
      <c r="H729" t="str">
        <f>"INV 0836589"</f>
        <v>INV 0836589</v>
      </c>
    </row>
    <row r="730" spans="1:8" x14ac:dyDescent="0.25">
      <c r="E730" t="str">
        <f>"0836590"</f>
        <v>0836590</v>
      </c>
      <c r="F730" t="str">
        <f>"INV 0836590"</f>
        <v>INV 0836590</v>
      </c>
      <c r="G730" s="1">
        <v>283.5</v>
      </c>
      <c r="H730" t="str">
        <f>"INV 0836590"</f>
        <v>INV 0836590</v>
      </c>
    </row>
    <row r="731" spans="1:8" x14ac:dyDescent="0.25">
      <c r="E731" t="str">
        <f>"0836593"</f>
        <v>0836593</v>
      </c>
      <c r="F731" t="str">
        <f>"INV 0836593"</f>
        <v>INV 0836593</v>
      </c>
      <c r="G731" s="1">
        <v>149.99</v>
      </c>
      <c r="H731" t="str">
        <f>"INV 0836593"</f>
        <v>INV 0836593</v>
      </c>
    </row>
    <row r="732" spans="1:8" x14ac:dyDescent="0.25">
      <c r="E732" t="str">
        <f>"0836973"</f>
        <v>0836973</v>
      </c>
      <c r="F732" t="str">
        <f>"INV 0836973"</f>
        <v>INV 0836973</v>
      </c>
      <c r="G732" s="1">
        <v>335.88</v>
      </c>
      <c r="H732" t="str">
        <f>"INV 0836973"</f>
        <v>INV 0836973</v>
      </c>
    </row>
    <row r="733" spans="1:8" x14ac:dyDescent="0.25">
      <c r="A733" t="s">
        <v>148</v>
      </c>
      <c r="B733">
        <v>4315</v>
      </c>
      <c r="C733" s="1">
        <v>1107.28</v>
      </c>
      <c r="D733" s="6">
        <v>44299</v>
      </c>
      <c r="E733" t="str">
        <f>"2017360"</f>
        <v>2017360</v>
      </c>
      <c r="F733" t="str">
        <f>"General Sevices"</f>
        <v>General Sevices</v>
      </c>
      <c r="G733" s="1">
        <v>939.6</v>
      </c>
      <c r="H733" t="str">
        <f>"GP42334"</f>
        <v>GP42334</v>
      </c>
    </row>
    <row r="734" spans="1:8" x14ac:dyDescent="0.25">
      <c r="E734" t="str">
        <f>"2017520"</f>
        <v>2017520</v>
      </c>
      <c r="F734" t="str">
        <f>"General Services"</f>
        <v>General Services</v>
      </c>
      <c r="G734" s="1">
        <v>167.68</v>
      </c>
      <c r="H734" t="str">
        <f>"SIG5-5104950"</f>
        <v>SIG5-5104950</v>
      </c>
    </row>
    <row r="735" spans="1:8" x14ac:dyDescent="0.25">
      <c r="A735" t="s">
        <v>148</v>
      </c>
      <c r="B735">
        <v>4389</v>
      </c>
      <c r="C735" s="1">
        <v>5244.11</v>
      </c>
      <c r="D735" s="6">
        <v>44313</v>
      </c>
      <c r="E735" t="str">
        <f>"2002744"</f>
        <v>2002744</v>
      </c>
      <c r="F735" t="str">
        <f>"INV 2002744  2017519  202"</f>
        <v>INV 2002744  2017519  202</v>
      </c>
      <c r="G735" s="1">
        <v>1860.7</v>
      </c>
      <c r="H735" t="str">
        <f>"INV 2002744"</f>
        <v>INV 2002744</v>
      </c>
    </row>
    <row r="736" spans="1:8" x14ac:dyDescent="0.25">
      <c r="E736" t="str">
        <f>""</f>
        <v/>
      </c>
      <c r="F736" t="str">
        <f>""</f>
        <v/>
      </c>
      <c r="H736" t="str">
        <f>"INV 2017519"</f>
        <v>INV 2017519</v>
      </c>
    </row>
    <row r="737" spans="1:8" x14ac:dyDescent="0.25">
      <c r="E737" t="str">
        <f>""</f>
        <v/>
      </c>
      <c r="F737" t="str">
        <f>""</f>
        <v/>
      </c>
      <c r="H737" t="str">
        <f>"INV 2027618"</f>
        <v>INV 2027618</v>
      </c>
    </row>
    <row r="738" spans="1:8" x14ac:dyDescent="0.25">
      <c r="E738" t="str">
        <f>"2007126"</f>
        <v>2007126</v>
      </c>
      <c r="F738" t="str">
        <f>"Invoice"</f>
        <v>Invoice</v>
      </c>
      <c r="G738" s="1">
        <v>1840.86</v>
      </c>
      <c r="H738" t="str">
        <f>"GP89480"</f>
        <v>GP89480</v>
      </c>
    </row>
    <row r="739" spans="1:8" x14ac:dyDescent="0.25">
      <c r="E739" t="str">
        <f>""</f>
        <v/>
      </c>
      <c r="F739" t="str">
        <f>""</f>
        <v/>
      </c>
      <c r="H739" t="str">
        <f>"GP19371"</f>
        <v>GP19371</v>
      </c>
    </row>
    <row r="740" spans="1:8" x14ac:dyDescent="0.25">
      <c r="E740" t="str">
        <f>""</f>
        <v/>
      </c>
      <c r="F740" t="str">
        <f>""</f>
        <v/>
      </c>
      <c r="H740" t="str">
        <f>"GP42714"</f>
        <v>GP42714</v>
      </c>
    </row>
    <row r="741" spans="1:8" x14ac:dyDescent="0.25">
      <c r="E741" t="str">
        <f>""</f>
        <v/>
      </c>
      <c r="F741" t="str">
        <f>""</f>
        <v/>
      </c>
      <c r="H741" t="str">
        <f>"GP20389"</f>
        <v>GP20389</v>
      </c>
    </row>
    <row r="742" spans="1:8" x14ac:dyDescent="0.25">
      <c r="E742" t="str">
        <f>""</f>
        <v/>
      </c>
      <c r="F742" t="str">
        <f>""</f>
        <v/>
      </c>
      <c r="H742" t="str">
        <f>"BCFAB"</f>
        <v>BCFAB</v>
      </c>
    </row>
    <row r="743" spans="1:8" x14ac:dyDescent="0.25">
      <c r="E743" t="str">
        <f>""</f>
        <v/>
      </c>
      <c r="F743" t="str">
        <f>""</f>
        <v/>
      </c>
      <c r="H743" t="str">
        <f>"GP89420"</f>
        <v>GP89420</v>
      </c>
    </row>
    <row r="744" spans="1:8" x14ac:dyDescent="0.25">
      <c r="E744" t="str">
        <f>""</f>
        <v/>
      </c>
      <c r="F744" t="str">
        <f>""</f>
        <v/>
      </c>
      <c r="H744" t="str">
        <f>"A11203"</f>
        <v>A11203</v>
      </c>
    </row>
    <row r="745" spans="1:8" x14ac:dyDescent="0.25">
      <c r="E745" t="str">
        <f>"2024449"</f>
        <v>2024449</v>
      </c>
      <c r="F745" t="str">
        <f>"INV 2024449  2027619"</f>
        <v>INV 2024449  2027619</v>
      </c>
      <c r="G745" s="1">
        <v>1542.55</v>
      </c>
      <c r="H745" t="str">
        <f>"INV 2024449"</f>
        <v>INV 2024449</v>
      </c>
    </row>
    <row r="746" spans="1:8" x14ac:dyDescent="0.25">
      <c r="E746" t="str">
        <f>""</f>
        <v/>
      </c>
      <c r="F746" t="str">
        <f>""</f>
        <v/>
      </c>
      <c r="H746" t="str">
        <f>"INV 2027619"</f>
        <v>INV 2027619</v>
      </c>
    </row>
    <row r="747" spans="1:8" x14ac:dyDescent="0.25">
      <c r="A747" t="s">
        <v>149</v>
      </c>
      <c r="B747">
        <v>135326</v>
      </c>
      <c r="C747" s="1">
        <v>1322.5</v>
      </c>
      <c r="D747" s="6">
        <v>44312</v>
      </c>
      <c r="E747" t="str">
        <f>"1096413"</f>
        <v>1096413</v>
      </c>
      <c r="F747" t="str">
        <f>"ACCT#55026/PCT#4"</f>
        <v>ACCT#55026/PCT#4</v>
      </c>
      <c r="G747" s="1">
        <v>1322.5</v>
      </c>
      <c r="H747" t="str">
        <f>"ACCT#55026/PCT#4"</f>
        <v>ACCT#55026/PCT#4</v>
      </c>
    </row>
    <row r="748" spans="1:8" x14ac:dyDescent="0.25">
      <c r="A748" t="s">
        <v>150</v>
      </c>
      <c r="B748">
        <v>4387</v>
      </c>
      <c r="C748" s="1">
        <v>8423.15</v>
      </c>
      <c r="D748" s="6">
        <v>44313</v>
      </c>
      <c r="E748" t="str">
        <f>"202104192735"</f>
        <v>202104192735</v>
      </c>
      <c r="F748" t="str">
        <f>"AVO-32285/PCT#1 FLOOD"</f>
        <v>AVO-32285/PCT#1 FLOOD</v>
      </c>
      <c r="G748" s="1">
        <v>8423.15</v>
      </c>
      <c r="H748" t="str">
        <f>"AVO-32285/PCT#1 FLOOD"</f>
        <v>AVO-32285/PCT#1 FLOOD</v>
      </c>
    </row>
    <row r="749" spans="1:8" x14ac:dyDescent="0.25">
      <c r="A749" t="s">
        <v>151</v>
      </c>
      <c r="B749">
        <v>4304</v>
      </c>
      <c r="C749" s="1">
        <v>219.47</v>
      </c>
      <c r="D749" s="6">
        <v>44299</v>
      </c>
      <c r="E749" t="str">
        <f>"577713"</f>
        <v>577713</v>
      </c>
      <c r="F749" t="str">
        <f>"INV 577713"</f>
        <v>INV 577713</v>
      </c>
      <c r="G749" s="1">
        <v>219.47</v>
      </c>
      <c r="H749" t="str">
        <f>"INV 577713"</f>
        <v>INV 577713</v>
      </c>
    </row>
    <row r="750" spans="1:8" x14ac:dyDescent="0.25">
      <c r="A750" t="s">
        <v>152</v>
      </c>
      <c r="B750">
        <v>135167</v>
      </c>
      <c r="C750" s="1">
        <v>375</v>
      </c>
      <c r="D750" s="6">
        <v>44298</v>
      </c>
      <c r="E750" t="str">
        <f>"13163"</f>
        <v>13163</v>
      </c>
      <c r="F750" t="str">
        <f>"SERVICE"</f>
        <v>SERVICE</v>
      </c>
      <c r="G750" s="1">
        <v>375</v>
      </c>
      <c r="H750" t="str">
        <f>"SERVICE"</f>
        <v>SERVICE</v>
      </c>
    </row>
    <row r="751" spans="1:8" x14ac:dyDescent="0.25">
      <c r="A751" t="s">
        <v>153</v>
      </c>
      <c r="B751">
        <v>135168</v>
      </c>
      <c r="C751" s="1">
        <v>150</v>
      </c>
      <c r="D751" s="6">
        <v>44298</v>
      </c>
      <c r="E751" t="str">
        <f>"13029"</f>
        <v>13029</v>
      </c>
      <c r="F751" t="str">
        <f>"SERVICE"</f>
        <v>SERVICE</v>
      </c>
      <c r="G751" s="1">
        <v>150</v>
      </c>
      <c r="H751" t="str">
        <f>"SERVICE"</f>
        <v>SERVICE</v>
      </c>
    </row>
    <row r="752" spans="1:8" x14ac:dyDescent="0.25">
      <c r="A752" t="s">
        <v>152</v>
      </c>
      <c r="B752">
        <v>135327</v>
      </c>
      <c r="C752" s="1">
        <v>225</v>
      </c>
      <c r="D752" s="6">
        <v>44312</v>
      </c>
      <c r="E752" t="str">
        <f>"12354"</f>
        <v>12354</v>
      </c>
      <c r="F752" t="str">
        <f>"SERVICE"</f>
        <v>SERVICE</v>
      </c>
      <c r="G752" s="1">
        <v>75</v>
      </c>
      <c r="H752" t="str">
        <f>"SERVICE"</f>
        <v>SERVICE</v>
      </c>
    </row>
    <row r="753" spans="1:8" x14ac:dyDescent="0.25">
      <c r="E753" t="str">
        <f>"13222"</f>
        <v>13222</v>
      </c>
      <c r="F753" t="str">
        <f>"SERVICE"</f>
        <v>SERVICE</v>
      </c>
      <c r="G753" s="1">
        <v>150</v>
      </c>
      <c r="H753" t="str">
        <f>"SERVICE"</f>
        <v>SERVICE</v>
      </c>
    </row>
    <row r="754" spans="1:8" x14ac:dyDescent="0.25">
      <c r="A754" t="s">
        <v>154</v>
      </c>
      <c r="B754">
        <v>135169</v>
      </c>
      <c r="C754" s="1">
        <v>75</v>
      </c>
      <c r="D754" s="6">
        <v>44298</v>
      </c>
      <c r="E754" t="str">
        <f>"12768"</f>
        <v>12768</v>
      </c>
      <c r="F754" t="str">
        <f>"SERVICE"</f>
        <v>SERVICE</v>
      </c>
      <c r="G754" s="1">
        <v>75</v>
      </c>
      <c r="H754" t="str">
        <f>"SERVICE"</f>
        <v>SERVICE</v>
      </c>
    </row>
    <row r="755" spans="1:8" x14ac:dyDescent="0.25">
      <c r="A755" t="s">
        <v>155</v>
      </c>
      <c r="B755">
        <v>135170</v>
      </c>
      <c r="C755" s="1">
        <v>377.62</v>
      </c>
      <c r="D755" s="6">
        <v>44298</v>
      </c>
      <c r="E755" t="str">
        <f>"23409"</f>
        <v>23409</v>
      </c>
      <c r="F755" t="str">
        <f>"911 Headset Base set"</f>
        <v>911 Headset Base set</v>
      </c>
      <c r="G755" s="1">
        <v>377.62</v>
      </c>
      <c r="H755" t="str">
        <f>"207799-01"</f>
        <v>207799-01</v>
      </c>
    </row>
    <row r="756" spans="1:8" x14ac:dyDescent="0.25">
      <c r="E756" t="str">
        <f>""</f>
        <v/>
      </c>
      <c r="F756" t="str">
        <f>""</f>
        <v/>
      </c>
      <c r="H756" t="str">
        <f>"Freight"</f>
        <v>Freight</v>
      </c>
    </row>
    <row r="757" spans="1:8" x14ac:dyDescent="0.25">
      <c r="A757" t="s">
        <v>156</v>
      </c>
      <c r="B757">
        <v>135171</v>
      </c>
      <c r="C757" s="1">
        <v>541.79999999999995</v>
      </c>
      <c r="D757" s="6">
        <v>44298</v>
      </c>
      <c r="E757" t="str">
        <f>"30161"</f>
        <v>30161</v>
      </c>
      <c r="F757" t="str">
        <f>"ACCT#937/PCT#3"</f>
        <v>ACCT#937/PCT#3</v>
      </c>
      <c r="G757" s="1">
        <v>541.79999999999995</v>
      </c>
      <c r="H757" t="str">
        <f>"ACCT#937/PCT#3"</f>
        <v>ACCT#937/PCT#3</v>
      </c>
    </row>
    <row r="758" spans="1:8" x14ac:dyDescent="0.25">
      <c r="A758" t="s">
        <v>157</v>
      </c>
      <c r="B758">
        <v>135172</v>
      </c>
      <c r="C758" s="1">
        <v>85</v>
      </c>
      <c r="D758" s="6">
        <v>44298</v>
      </c>
      <c r="E758" t="str">
        <f>"12494"</f>
        <v>12494</v>
      </c>
      <c r="F758" t="str">
        <f>"SERVICE"</f>
        <v>SERVICE</v>
      </c>
      <c r="G758" s="1">
        <v>85</v>
      </c>
      <c r="H758" t="str">
        <f>"SERVICE"</f>
        <v>SERVICE</v>
      </c>
    </row>
    <row r="759" spans="1:8" x14ac:dyDescent="0.25">
      <c r="A759" t="s">
        <v>158</v>
      </c>
      <c r="B759">
        <v>135173</v>
      </c>
      <c r="C759" s="1">
        <v>23</v>
      </c>
      <c r="D759" s="6">
        <v>44298</v>
      </c>
      <c r="E759" t="str">
        <f>"46978"</f>
        <v>46978</v>
      </c>
      <c r="F759" t="str">
        <f>"PRINTING SUPPLIES"</f>
        <v>PRINTING SUPPLIES</v>
      </c>
      <c r="G759" s="1">
        <v>23</v>
      </c>
      <c r="H759" t="str">
        <f>"PRINTING SUPPLIES"</f>
        <v>PRINTING SUPPLIES</v>
      </c>
    </row>
    <row r="760" spans="1:8" x14ac:dyDescent="0.25">
      <c r="A760" t="s">
        <v>159</v>
      </c>
      <c r="B760">
        <v>135174</v>
      </c>
      <c r="C760" s="1">
        <v>129.80000000000001</v>
      </c>
      <c r="D760" s="6">
        <v>44298</v>
      </c>
      <c r="E760" t="str">
        <f>"10847099"</f>
        <v>10847099</v>
      </c>
      <c r="F760" t="str">
        <f>"CUST#3324/PCT#4"</f>
        <v>CUST#3324/PCT#4</v>
      </c>
      <c r="G760" s="1">
        <v>129.80000000000001</v>
      </c>
      <c r="H760" t="str">
        <f>"CUST#3324/PCT#4"</f>
        <v>CUST#3324/PCT#4</v>
      </c>
    </row>
    <row r="761" spans="1:8" x14ac:dyDescent="0.25">
      <c r="A761" t="s">
        <v>160</v>
      </c>
      <c r="B761">
        <v>4380</v>
      </c>
      <c r="C761" s="1">
        <v>650</v>
      </c>
      <c r="D761" s="6">
        <v>44313</v>
      </c>
      <c r="E761" t="str">
        <f>"202104202778"</f>
        <v>202104202778</v>
      </c>
      <c r="F761" t="str">
        <f>"BASCOM L HODGES JR"</f>
        <v>BASCOM L HODGES JR</v>
      </c>
      <c r="G761" s="1">
        <v>650</v>
      </c>
      <c r="H761" t="str">
        <f>""</f>
        <v/>
      </c>
    </row>
    <row r="762" spans="1:8" x14ac:dyDescent="0.25">
      <c r="A762" t="s">
        <v>161</v>
      </c>
      <c r="B762">
        <v>135175</v>
      </c>
      <c r="C762" s="1">
        <v>1105</v>
      </c>
      <c r="D762" s="6">
        <v>44298</v>
      </c>
      <c r="E762" t="str">
        <f>"202103242277"</f>
        <v>202103242277</v>
      </c>
      <c r="F762" t="str">
        <f>"21-20596"</f>
        <v>21-20596</v>
      </c>
      <c r="G762" s="1">
        <v>337.5</v>
      </c>
      <c r="H762" t="str">
        <f>"21-20596"</f>
        <v>21-20596</v>
      </c>
    </row>
    <row r="763" spans="1:8" x14ac:dyDescent="0.25">
      <c r="E763" t="str">
        <f>"202103242278"</f>
        <v>202103242278</v>
      </c>
      <c r="F763" t="str">
        <f>"21-20596"</f>
        <v>21-20596</v>
      </c>
      <c r="G763" s="1">
        <v>337.5</v>
      </c>
      <c r="H763" t="str">
        <f>"21-20596"</f>
        <v>21-20596</v>
      </c>
    </row>
    <row r="764" spans="1:8" x14ac:dyDescent="0.25">
      <c r="E764" t="str">
        <f>"202103242279"</f>
        <v>202103242279</v>
      </c>
      <c r="F764" t="str">
        <f>"21-20635"</f>
        <v>21-20635</v>
      </c>
      <c r="G764" s="1">
        <v>75</v>
      </c>
      <c r="H764" t="str">
        <f>"21-20635"</f>
        <v>21-20635</v>
      </c>
    </row>
    <row r="765" spans="1:8" x14ac:dyDescent="0.25">
      <c r="E765" t="str">
        <f>"202103242280"</f>
        <v>202103242280</v>
      </c>
      <c r="F765" t="str">
        <f>"20-20415"</f>
        <v>20-20415</v>
      </c>
      <c r="G765" s="1">
        <v>220</v>
      </c>
      <c r="H765" t="str">
        <f>"20-20415"</f>
        <v>20-20415</v>
      </c>
    </row>
    <row r="766" spans="1:8" x14ac:dyDescent="0.25">
      <c r="E766" t="str">
        <f>"202103242281"</f>
        <v>202103242281</v>
      </c>
      <c r="F766" t="str">
        <f>"19-19456"</f>
        <v>19-19456</v>
      </c>
      <c r="G766" s="1">
        <v>97.5</v>
      </c>
      <c r="H766" t="str">
        <f>"19-19456"</f>
        <v>19-19456</v>
      </c>
    </row>
    <row r="767" spans="1:8" x14ac:dyDescent="0.25">
      <c r="E767" t="str">
        <f>"202103242282"</f>
        <v>202103242282</v>
      </c>
      <c r="F767" t="str">
        <f>"21-20565"</f>
        <v>21-20565</v>
      </c>
      <c r="G767" s="1">
        <v>37.5</v>
      </c>
      <c r="H767" t="str">
        <f>"21-20565"</f>
        <v>21-20565</v>
      </c>
    </row>
    <row r="768" spans="1:8" x14ac:dyDescent="0.25">
      <c r="A768" t="s">
        <v>161</v>
      </c>
      <c r="B768">
        <v>135328</v>
      </c>
      <c r="C768" s="1">
        <v>2045</v>
      </c>
      <c r="D768" s="6">
        <v>44312</v>
      </c>
      <c r="E768" t="str">
        <f>"202104152658"</f>
        <v>202104152658</v>
      </c>
      <c r="F768" t="str">
        <f>"19-194"</f>
        <v>19-194</v>
      </c>
      <c r="G768" s="1">
        <v>225</v>
      </c>
      <c r="H768" t="str">
        <f>"19-194"</f>
        <v>19-194</v>
      </c>
    </row>
    <row r="769" spans="1:8" x14ac:dyDescent="0.25">
      <c r="E769" t="str">
        <f>"202104152659"</f>
        <v>202104152659</v>
      </c>
      <c r="F769" t="str">
        <f>"21-20596"</f>
        <v>21-20596</v>
      </c>
      <c r="G769" s="1">
        <v>497.5</v>
      </c>
      <c r="H769" t="str">
        <f>"21-20596"</f>
        <v>21-20596</v>
      </c>
    </row>
    <row r="770" spans="1:8" x14ac:dyDescent="0.25">
      <c r="E770" t="str">
        <f>"202104152660"</f>
        <v>202104152660</v>
      </c>
      <c r="F770" t="str">
        <f>"19-19954"</f>
        <v>19-19954</v>
      </c>
      <c r="G770" s="1">
        <v>160</v>
      </c>
      <c r="H770" t="str">
        <f>"19-19954"</f>
        <v>19-19954</v>
      </c>
    </row>
    <row r="771" spans="1:8" x14ac:dyDescent="0.25">
      <c r="E771" t="str">
        <f>"202104152661"</f>
        <v>202104152661</v>
      </c>
      <c r="F771" t="str">
        <f>"20-20415"</f>
        <v>20-20415</v>
      </c>
      <c r="G771" s="1">
        <v>112.5</v>
      </c>
      <c r="H771" t="str">
        <f>"20-20415"</f>
        <v>20-20415</v>
      </c>
    </row>
    <row r="772" spans="1:8" x14ac:dyDescent="0.25">
      <c r="E772" t="str">
        <f>"202104152662"</f>
        <v>202104152662</v>
      </c>
      <c r="F772" t="str">
        <f>"21-20565"</f>
        <v>21-20565</v>
      </c>
      <c r="G772" s="1">
        <v>100</v>
      </c>
      <c r="H772" t="str">
        <f>"21-20565"</f>
        <v>21-20565</v>
      </c>
    </row>
    <row r="773" spans="1:8" x14ac:dyDescent="0.25">
      <c r="E773" t="str">
        <f>"202104152663"</f>
        <v>202104152663</v>
      </c>
      <c r="F773" t="str">
        <f>"21-20635"</f>
        <v>21-20635</v>
      </c>
      <c r="G773" s="1">
        <v>137.5</v>
      </c>
      <c r="H773" t="str">
        <f>"21-20635"</f>
        <v>21-20635</v>
      </c>
    </row>
    <row r="774" spans="1:8" x14ac:dyDescent="0.25">
      <c r="E774" t="str">
        <f>"202104152664"</f>
        <v>202104152664</v>
      </c>
      <c r="F774" t="str">
        <f>"20-20262"</f>
        <v>20-20262</v>
      </c>
      <c r="G774" s="1">
        <v>112.5</v>
      </c>
      <c r="H774" t="str">
        <f>"20-20262"</f>
        <v>20-20262</v>
      </c>
    </row>
    <row r="775" spans="1:8" x14ac:dyDescent="0.25">
      <c r="E775" t="str">
        <f>"202104202756"</f>
        <v>202104202756</v>
      </c>
      <c r="F775" t="str">
        <f>"J-3240"</f>
        <v>J-3240</v>
      </c>
      <c r="G775" s="1">
        <v>250</v>
      </c>
      <c r="H775" t="str">
        <f>"J-3240"</f>
        <v>J-3240</v>
      </c>
    </row>
    <row r="776" spans="1:8" x14ac:dyDescent="0.25">
      <c r="E776" t="str">
        <f>"202104212785"</f>
        <v>202104212785</v>
      </c>
      <c r="F776" t="str">
        <f>"16-17992"</f>
        <v>16-17992</v>
      </c>
      <c r="G776" s="1">
        <v>100</v>
      </c>
      <c r="H776" t="str">
        <f>"16-17992"</f>
        <v>16-17992</v>
      </c>
    </row>
    <row r="777" spans="1:8" x14ac:dyDescent="0.25">
      <c r="E777" t="str">
        <f>"202104212787"</f>
        <v>202104212787</v>
      </c>
      <c r="F777" t="str">
        <f>"21-20596"</f>
        <v>21-20596</v>
      </c>
      <c r="G777" s="1">
        <v>175</v>
      </c>
      <c r="H777" t="str">
        <f>"21-20596"</f>
        <v>21-20596</v>
      </c>
    </row>
    <row r="778" spans="1:8" x14ac:dyDescent="0.25">
      <c r="E778" t="str">
        <f>"202104212788"</f>
        <v>202104212788</v>
      </c>
      <c r="F778" t="str">
        <f>"20-20262"</f>
        <v>20-20262</v>
      </c>
      <c r="G778" s="1">
        <v>175</v>
      </c>
      <c r="H778" t="str">
        <f>"20-20262"</f>
        <v>20-20262</v>
      </c>
    </row>
    <row r="779" spans="1:8" x14ac:dyDescent="0.25">
      <c r="A779" t="s">
        <v>162</v>
      </c>
      <c r="B779">
        <v>4305</v>
      </c>
      <c r="C779" s="1">
        <v>3807.16</v>
      </c>
      <c r="D779" s="6">
        <v>44299</v>
      </c>
      <c r="E779" t="str">
        <f>"PIKP0097729"</f>
        <v>PIKP0097729</v>
      </c>
      <c r="F779" t="str">
        <f>"ACCT#129200/PCT#4"</f>
        <v>ACCT#129200/PCT#4</v>
      </c>
      <c r="G779" s="1">
        <v>64.17</v>
      </c>
      <c r="H779" t="str">
        <f>"ACCT#129200/PCT#4"</f>
        <v>ACCT#129200/PCT#4</v>
      </c>
    </row>
    <row r="780" spans="1:8" x14ac:dyDescent="0.25">
      <c r="E780" t="str">
        <f>"PIKP0097902"</f>
        <v>PIKP0097902</v>
      </c>
      <c r="F780" t="str">
        <f>"CUST#129200/PCT#4"</f>
        <v>CUST#129200/PCT#4</v>
      </c>
      <c r="G780" s="1">
        <v>774.95</v>
      </c>
      <c r="H780" t="str">
        <f>"CUST#129200/PCT#4"</f>
        <v>CUST#129200/PCT#4</v>
      </c>
    </row>
    <row r="781" spans="1:8" x14ac:dyDescent="0.25">
      <c r="E781" t="str">
        <f>"PIKP0097903"</f>
        <v>PIKP0097903</v>
      </c>
      <c r="F781" t="str">
        <f>"ACCT#129200/PCT#4"</f>
        <v>ACCT#129200/PCT#4</v>
      </c>
      <c r="G781" s="1">
        <v>71.3</v>
      </c>
      <c r="H781" t="str">
        <f>"ACCT#129200/PCT#4"</f>
        <v>ACCT#129200/PCT#4</v>
      </c>
    </row>
    <row r="782" spans="1:8" x14ac:dyDescent="0.25">
      <c r="E782" t="str">
        <f>"PIM60050582"</f>
        <v>PIM60050582</v>
      </c>
      <c r="F782" t="str">
        <f>"ACCT#0129050/PCT#1"</f>
        <v>ACCT#0129050/PCT#1</v>
      </c>
      <c r="G782" s="1">
        <v>41.21</v>
      </c>
      <c r="H782" t="str">
        <f>"ACCT#0129050/PCT#1"</f>
        <v>ACCT#0129050/PCT#1</v>
      </c>
    </row>
    <row r="783" spans="1:8" x14ac:dyDescent="0.25">
      <c r="E783" t="str">
        <f>"PIM60052633"</f>
        <v>PIM60052633</v>
      </c>
      <c r="F783" t="str">
        <f>"CUST#0129050/PCT#1"</f>
        <v>CUST#0129050/PCT#1</v>
      </c>
      <c r="G783" s="1">
        <v>89.45</v>
      </c>
      <c r="H783" t="str">
        <f>"CUST#0129050/PCT#1"</f>
        <v>CUST#0129050/PCT#1</v>
      </c>
    </row>
    <row r="784" spans="1:8" x14ac:dyDescent="0.25">
      <c r="E784" t="str">
        <f>"PIMA0351928"</f>
        <v>PIMA0351928</v>
      </c>
      <c r="F784" t="str">
        <f>"CUST#0129150/PCT#3"</f>
        <v>CUST#0129150/PCT#3</v>
      </c>
      <c r="G784" s="1">
        <v>1432.97</v>
      </c>
      <c r="H784" t="str">
        <f>"CUST#0129150/PCT#3"</f>
        <v>CUST#0129150/PCT#3</v>
      </c>
    </row>
    <row r="785" spans="1:8" x14ac:dyDescent="0.25">
      <c r="E785" t="str">
        <f>"WIM60020882"</f>
        <v>WIM60020882</v>
      </c>
      <c r="F785" t="str">
        <f>"ACCT#0129150/PCT#3"</f>
        <v>ACCT#0129150/PCT#3</v>
      </c>
      <c r="G785" s="1">
        <v>1333.11</v>
      </c>
      <c r="H785" t="str">
        <f>"ACCT#0129150/PCT#3"</f>
        <v>ACCT#0129150/PCT#3</v>
      </c>
    </row>
    <row r="786" spans="1:8" x14ac:dyDescent="0.25">
      <c r="A786" t="s">
        <v>162</v>
      </c>
      <c r="B786">
        <v>4379</v>
      </c>
      <c r="C786" s="1">
        <v>5878.22</v>
      </c>
      <c r="D786" s="6">
        <v>44313</v>
      </c>
      <c r="E786" t="str">
        <f>"PCKP0021633"</f>
        <v>PCKP0021633</v>
      </c>
      <c r="F786" t="str">
        <f>"CUST#0129200/PCT#4"</f>
        <v>CUST#0129200/PCT#4</v>
      </c>
      <c r="G786" s="1">
        <v>-262.12</v>
      </c>
      <c r="H786" t="str">
        <f>"CUST#0129200/PCT#4"</f>
        <v>CUST#0129200/PCT#4</v>
      </c>
    </row>
    <row r="787" spans="1:8" x14ac:dyDescent="0.25">
      <c r="E787" t="str">
        <f>"PCKP0021634"</f>
        <v>PCKP0021634</v>
      </c>
      <c r="F787" t="str">
        <f>"CUST#0129200/PCT#4"</f>
        <v>CUST#0129200/PCT#4</v>
      </c>
      <c r="G787" s="1">
        <v>-100</v>
      </c>
      <c r="H787" t="str">
        <f>"CUST#0129200/PCT#4"</f>
        <v>CUST#0129200/PCT#4</v>
      </c>
    </row>
    <row r="788" spans="1:8" x14ac:dyDescent="0.25">
      <c r="E788" t="str">
        <f>"PCM60011982"</f>
        <v>PCM60011982</v>
      </c>
      <c r="F788" t="str">
        <f>"CUST#0129050/PCT#1"</f>
        <v>CUST#0129050/PCT#1</v>
      </c>
      <c r="G788" s="1">
        <v>-6.87</v>
      </c>
      <c r="H788" t="str">
        <f>"CUST#0129050/PCT#1"</f>
        <v>CUST#0129050/PCT#1</v>
      </c>
    </row>
    <row r="789" spans="1:8" x14ac:dyDescent="0.25">
      <c r="E789" t="str">
        <f>"202104212789"</f>
        <v>202104212789</v>
      </c>
      <c r="F789" t="str">
        <f>"ACCT#0129150/PCT#3"</f>
        <v>ACCT#0129150/PCT#3</v>
      </c>
      <c r="G789" s="1">
        <v>2780.94</v>
      </c>
      <c r="H789" t="str">
        <f>"ACCT#0129150/PCT#3"</f>
        <v>ACCT#0129150/PCT#3</v>
      </c>
    </row>
    <row r="790" spans="1:8" x14ac:dyDescent="0.25">
      <c r="E790" t="str">
        <f>"PIM60054225"</f>
        <v>PIM60054225</v>
      </c>
      <c r="F790" t="str">
        <f>"CUST#0129050/PCT#1"</f>
        <v>CUST#0129050/PCT#1</v>
      </c>
      <c r="G790" s="1">
        <v>32.869999999999997</v>
      </c>
      <c r="H790" t="str">
        <f>"CUST#0129050/PCT#1"</f>
        <v>CUST#0129050/PCT#1</v>
      </c>
    </row>
    <row r="791" spans="1:8" x14ac:dyDescent="0.25">
      <c r="E791" t="str">
        <f>"PIMA0352511"</f>
        <v>PIMA0352511</v>
      </c>
      <c r="F791" t="str">
        <f>"CUST#0129050/PCT#1"</f>
        <v>CUST#0129050/PCT#1</v>
      </c>
      <c r="G791" s="1">
        <v>238.43</v>
      </c>
      <c r="H791" t="str">
        <f>"CUST#0129050/PCT#1"</f>
        <v>CUST#0129050/PCT#1</v>
      </c>
    </row>
    <row r="792" spans="1:8" x14ac:dyDescent="0.25">
      <c r="E792" t="str">
        <f>"WIKP0038121"</f>
        <v>WIKP0038121</v>
      </c>
      <c r="F792" t="str">
        <f>"CUST#0129200/PCT#4"</f>
        <v>CUST#0129200/PCT#4</v>
      </c>
      <c r="G792" s="1">
        <v>3194.97</v>
      </c>
      <c r="H792" t="str">
        <f>"CUST#0129200/PCT#4"</f>
        <v>CUST#0129200/PCT#4</v>
      </c>
    </row>
    <row r="793" spans="1:8" x14ac:dyDescent="0.25">
      <c r="A793" t="s">
        <v>163</v>
      </c>
      <c r="B793">
        <v>135176</v>
      </c>
      <c r="C793" s="1">
        <v>3599.12</v>
      </c>
      <c r="D793" s="6">
        <v>44298</v>
      </c>
      <c r="E793" t="str">
        <f>"202104052427"</f>
        <v>202104052427</v>
      </c>
      <c r="F793" t="str">
        <f>"Statement"</f>
        <v>Statement</v>
      </c>
      <c r="G793" s="1">
        <v>3599.12</v>
      </c>
      <c r="H793" t="str">
        <f>"2522719"</f>
        <v>2522719</v>
      </c>
    </row>
    <row r="794" spans="1:8" x14ac:dyDescent="0.25">
      <c r="E794" t="str">
        <f>""</f>
        <v/>
      </c>
      <c r="F794" t="str">
        <f>""</f>
        <v/>
      </c>
      <c r="H794" t="str">
        <f>"1513874"</f>
        <v>1513874</v>
      </c>
    </row>
    <row r="795" spans="1:8" x14ac:dyDescent="0.25">
      <c r="E795" t="str">
        <f>""</f>
        <v/>
      </c>
      <c r="F795" t="str">
        <f>""</f>
        <v/>
      </c>
      <c r="H795" t="str">
        <f>"1520580"</f>
        <v>1520580</v>
      </c>
    </row>
    <row r="796" spans="1:8" x14ac:dyDescent="0.25">
      <c r="E796" t="str">
        <f>""</f>
        <v/>
      </c>
      <c r="F796" t="str">
        <f>""</f>
        <v/>
      </c>
      <c r="H796" t="str">
        <f>"7022618"</f>
        <v>7022618</v>
      </c>
    </row>
    <row r="797" spans="1:8" x14ac:dyDescent="0.25">
      <c r="E797" t="str">
        <f>""</f>
        <v/>
      </c>
      <c r="F797" t="str">
        <f>""</f>
        <v/>
      </c>
      <c r="H797" t="str">
        <f>"13425"</f>
        <v>13425</v>
      </c>
    </row>
    <row r="798" spans="1:8" x14ac:dyDescent="0.25">
      <c r="E798" t="str">
        <f>""</f>
        <v/>
      </c>
      <c r="F798" t="str">
        <f>""</f>
        <v/>
      </c>
      <c r="H798" t="str">
        <f>"7022603"</f>
        <v>7022603</v>
      </c>
    </row>
    <row r="799" spans="1:8" x14ac:dyDescent="0.25">
      <c r="E799" t="str">
        <f>""</f>
        <v/>
      </c>
      <c r="F799" t="str">
        <f>""</f>
        <v/>
      </c>
      <c r="H799" t="str">
        <f>"5024423"</f>
        <v>5024423</v>
      </c>
    </row>
    <row r="800" spans="1:8" x14ac:dyDescent="0.25">
      <c r="E800" t="str">
        <f>""</f>
        <v/>
      </c>
      <c r="F800" t="str">
        <f>""</f>
        <v/>
      </c>
      <c r="H800" t="str">
        <f>"1043872"</f>
        <v>1043872</v>
      </c>
    </row>
    <row r="801" spans="5:8" x14ac:dyDescent="0.25">
      <c r="E801" t="str">
        <f>""</f>
        <v/>
      </c>
      <c r="F801" t="str">
        <f>""</f>
        <v/>
      </c>
      <c r="H801" t="str">
        <f>"5021944"</f>
        <v>5021944</v>
      </c>
    </row>
    <row r="802" spans="5:8" x14ac:dyDescent="0.25">
      <c r="E802" t="str">
        <f>""</f>
        <v/>
      </c>
      <c r="F802" t="str">
        <f>""</f>
        <v/>
      </c>
      <c r="H802" t="str">
        <f>"22401"</f>
        <v>22401</v>
      </c>
    </row>
    <row r="803" spans="5:8" x14ac:dyDescent="0.25">
      <c r="E803" t="str">
        <f>""</f>
        <v/>
      </c>
      <c r="F803" t="str">
        <f>""</f>
        <v/>
      </c>
      <c r="H803" t="str">
        <f>"5020340"</f>
        <v>5020340</v>
      </c>
    </row>
    <row r="804" spans="5:8" x14ac:dyDescent="0.25">
      <c r="E804" t="str">
        <f>""</f>
        <v/>
      </c>
      <c r="F804" t="str">
        <f>""</f>
        <v/>
      </c>
      <c r="H804" t="str">
        <f>"7150860"</f>
        <v>7150860</v>
      </c>
    </row>
    <row r="805" spans="5:8" x14ac:dyDescent="0.25">
      <c r="E805" t="str">
        <f>""</f>
        <v/>
      </c>
      <c r="F805" t="str">
        <f>""</f>
        <v/>
      </c>
      <c r="H805" t="str">
        <f>"141136"</f>
        <v>141136</v>
      </c>
    </row>
    <row r="806" spans="5:8" x14ac:dyDescent="0.25">
      <c r="E806" t="str">
        <f>""</f>
        <v/>
      </c>
      <c r="F806" t="str">
        <f>""</f>
        <v/>
      </c>
      <c r="H806" t="str">
        <f>"1141270"</f>
        <v>1141270</v>
      </c>
    </row>
    <row r="807" spans="5:8" x14ac:dyDescent="0.25">
      <c r="E807" t="str">
        <f>""</f>
        <v/>
      </c>
      <c r="F807" t="str">
        <f>""</f>
        <v/>
      </c>
      <c r="H807" t="str">
        <f>"2141301"</f>
        <v>2141301</v>
      </c>
    </row>
    <row r="808" spans="5:8" x14ac:dyDescent="0.25">
      <c r="E808" t="str">
        <f>""</f>
        <v/>
      </c>
      <c r="F808" t="str">
        <f>""</f>
        <v/>
      </c>
      <c r="H808" t="str">
        <f>"9522095"</f>
        <v>9522095</v>
      </c>
    </row>
    <row r="809" spans="5:8" x14ac:dyDescent="0.25">
      <c r="E809" t="str">
        <f>""</f>
        <v/>
      </c>
      <c r="F809" t="str">
        <f>""</f>
        <v/>
      </c>
      <c r="H809" t="str">
        <f>"2092432"</f>
        <v>2092432</v>
      </c>
    </row>
    <row r="810" spans="5:8" x14ac:dyDescent="0.25">
      <c r="E810" t="str">
        <f>""</f>
        <v/>
      </c>
      <c r="F810" t="str">
        <f>""</f>
        <v/>
      </c>
      <c r="H810" t="str">
        <f>"2141382"</f>
        <v>2141382</v>
      </c>
    </row>
    <row r="811" spans="5:8" x14ac:dyDescent="0.25">
      <c r="E811" t="str">
        <f>""</f>
        <v/>
      </c>
      <c r="F811" t="str">
        <f>""</f>
        <v/>
      </c>
      <c r="H811" t="str">
        <f>"1083135"</f>
        <v>1083135</v>
      </c>
    </row>
    <row r="812" spans="5:8" x14ac:dyDescent="0.25">
      <c r="E812" t="str">
        <f>""</f>
        <v/>
      </c>
      <c r="F812" t="str">
        <f>""</f>
        <v/>
      </c>
      <c r="H812" t="str">
        <f>"1541725"</f>
        <v>1541725</v>
      </c>
    </row>
    <row r="813" spans="5:8" x14ac:dyDescent="0.25">
      <c r="E813" t="str">
        <f>""</f>
        <v/>
      </c>
      <c r="F813" t="str">
        <f>""</f>
        <v/>
      </c>
      <c r="H813" t="str">
        <f>"10114"</f>
        <v>10114</v>
      </c>
    </row>
    <row r="814" spans="5:8" x14ac:dyDescent="0.25">
      <c r="E814" t="str">
        <f>""</f>
        <v/>
      </c>
      <c r="F814" t="str">
        <f>""</f>
        <v/>
      </c>
      <c r="H814" t="str">
        <f>"9150728"</f>
        <v>9150728</v>
      </c>
    </row>
    <row r="815" spans="5:8" x14ac:dyDescent="0.25">
      <c r="E815" t="str">
        <f>""</f>
        <v/>
      </c>
      <c r="F815" t="str">
        <f>""</f>
        <v/>
      </c>
      <c r="H815" t="str">
        <f>"9542254"</f>
        <v>9542254</v>
      </c>
    </row>
    <row r="816" spans="5:8" x14ac:dyDescent="0.25">
      <c r="E816" t="str">
        <f>""</f>
        <v/>
      </c>
      <c r="F816" t="str">
        <f>""</f>
        <v/>
      </c>
      <c r="H816" t="str">
        <f>"9542255"</f>
        <v>9542255</v>
      </c>
    </row>
    <row r="817" spans="5:8" x14ac:dyDescent="0.25">
      <c r="E817" t="str">
        <f>""</f>
        <v/>
      </c>
      <c r="F817" t="str">
        <f>""</f>
        <v/>
      </c>
      <c r="H817" t="str">
        <f>"1032445"</f>
        <v>1032445</v>
      </c>
    </row>
    <row r="818" spans="5:8" x14ac:dyDescent="0.25">
      <c r="E818" t="str">
        <f>""</f>
        <v/>
      </c>
      <c r="F818" t="str">
        <f>""</f>
        <v/>
      </c>
      <c r="H818" t="str">
        <f>"7092188"</f>
        <v>7092188</v>
      </c>
    </row>
    <row r="819" spans="5:8" x14ac:dyDescent="0.25">
      <c r="E819" t="str">
        <f>""</f>
        <v/>
      </c>
      <c r="F819" t="str">
        <f>""</f>
        <v/>
      </c>
      <c r="H819" t="str">
        <f>"1092467"</f>
        <v>1092467</v>
      </c>
    </row>
    <row r="820" spans="5:8" x14ac:dyDescent="0.25">
      <c r="E820" t="str">
        <f>""</f>
        <v/>
      </c>
      <c r="F820" t="str">
        <f>""</f>
        <v/>
      </c>
      <c r="H820" t="str">
        <f>"9014888"</f>
        <v>9014888</v>
      </c>
    </row>
    <row r="821" spans="5:8" x14ac:dyDescent="0.25">
      <c r="E821" t="str">
        <f>""</f>
        <v/>
      </c>
      <c r="F821" t="str">
        <f>""</f>
        <v/>
      </c>
      <c r="H821" t="str">
        <f>"9023366"</f>
        <v>9023366</v>
      </c>
    </row>
    <row r="822" spans="5:8" x14ac:dyDescent="0.25">
      <c r="E822" t="str">
        <f>""</f>
        <v/>
      </c>
      <c r="F822" t="str">
        <f>""</f>
        <v/>
      </c>
      <c r="H822" t="str">
        <f>"9105318"</f>
        <v>9105318</v>
      </c>
    </row>
    <row r="823" spans="5:8" x14ac:dyDescent="0.25">
      <c r="E823" t="str">
        <f>""</f>
        <v/>
      </c>
      <c r="F823" t="str">
        <f>""</f>
        <v/>
      </c>
      <c r="H823" t="str">
        <f>"2023971"</f>
        <v>2023971</v>
      </c>
    </row>
    <row r="824" spans="5:8" x14ac:dyDescent="0.25">
      <c r="E824" t="str">
        <f>""</f>
        <v/>
      </c>
      <c r="F824" t="str">
        <f>""</f>
        <v/>
      </c>
      <c r="H824" t="str">
        <f>"6020239"</f>
        <v>6020239</v>
      </c>
    </row>
    <row r="825" spans="5:8" x14ac:dyDescent="0.25">
      <c r="E825" t="str">
        <f>""</f>
        <v/>
      </c>
      <c r="F825" t="str">
        <f>""</f>
        <v/>
      </c>
      <c r="H825" t="str">
        <f>"7024340"</f>
        <v>7024340</v>
      </c>
    </row>
    <row r="826" spans="5:8" x14ac:dyDescent="0.25">
      <c r="E826" t="str">
        <f>""</f>
        <v/>
      </c>
      <c r="F826" t="str">
        <f>""</f>
        <v/>
      </c>
      <c r="H826" t="str">
        <f>"8022165"</f>
        <v>8022165</v>
      </c>
    </row>
    <row r="827" spans="5:8" x14ac:dyDescent="0.25">
      <c r="E827" t="str">
        <f>""</f>
        <v/>
      </c>
      <c r="F827" t="str">
        <f>""</f>
        <v/>
      </c>
      <c r="H827" t="str">
        <f>"8090406"</f>
        <v>8090406</v>
      </c>
    </row>
    <row r="828" spans="5:8" x14ac:dyDescent="0.25">
      <c r="E828" t="str">
        <f>""</f>
        <v/>
      </c>
      <c r="F828" t="str">
        <f>""</f>
        <v/>
      </c>
      <c r="H828" t="str">
        <f>"1024069"</f>
        <v>1024069</v>
      </c>
    </row>
    <row r="829" spans="5:8" x14ac:dyDescent="0.25">
      <c r="E829" t="str">
        <f>""</f>
        <v/>
      </c>
      <c r="F829" t="str">
        <f>""</f>
        <v/>
      </c>
      <c r="H829" t="str">
        <f>"6011253"</f>
        <v>6011253</v>
      </c>
    </row>
    <row r="830" spans="5:8" x14ac:dyDescent="0.25">
      <c r="E830" t="str">
        <f>""</f>
        <v/>
      </c>
      <c r="F830" t="str">
        <f>""</f>
        <v/>
      </c>
      <c r="H830" t="str">
        <f>"5021063"</f>
        <v>5021063</v>
      </c>
    </row>
    <row r="831" spans="5:8" x14ac:dyDescent="0.25">
      <c r="E831" t="str">
        <f>""</f>
        <v/>
      </c>
      <c r="F831" t="str">
        <f>""</f>
        <v/>
      </c>
      <c r="H831" t="str">
        <f>"2615352"</f>
        <v>2615352</v>
      </c>
    </row>
    <row r="832" spans="5:8" x14ac:dyDescent="0.25">
      <c r="E832" t="str">
        <f>""</f>
        <v/>
      </c>
      <c r="F832" t="str">
        <f>""</f>
        <v/>
      </c>
      <c r="H832" t="str">
        <f>"141279"</f>
        <v>141279</v>
      </c>
    </row>
    <row r="833" spans="1:8" x14ac:dyDescent="0.25">
      <c r="E833" t="str">
        <f>""</f>
        <v/>
      </c>
      <c r="F833" t="str">
        <f>""</f>
        <v/>
      </c>
      <c r="H833" t="str">
        <f>"8510324"</f>
        <v>8510324</v>
      </c>
    </row>
    <row r="834" spans="1:8" x14ac:dyDescent="0.25">
      <c r="E834" t="str">
        <f>""</f>
        <v/>
      </c>
      <c r="F834" t="str">
        <f>""</f>
        <v/>
      </c>
      <c r="H834" t="str">
        <f>"1011610"</f>
        <v>1011610</v>
      </c>
    </row>
    <row r="835" spans="1:8" x14ac:dyDescent="0.25">
      <c r="E835" t="str">
        <f>""</f>
        <v/>
      </c>
      <c r="F835" t="str">
        <f>""</f>
        <v/>
      </c>
      <c r="H835" t="str">
        <f>"20876"</f>
        <v>20876</v>
      </c>
    </row>
    <row r="836" spans="1:8" x14ac:dyDescent="0.25">
      <c r="E836" t="str">
        <f>""</f>
        <v/>
      </c>
      <c r="F836" t="str">
        <f>""</f>
        <v/>
      </c>
      <c r="H836" t="str">
        <f>"5021467"</f>
        <v>5021467</v>
      </c>
    </row>
    <row r="837" spans="1:8" x14ac:dyDescent="0.25">
      <c r="E837" t="str">
        <f>""</f>
        <v/>
      </c>
      <c r="F837" t="str">
        <f>""</f>
        <v/>
      </c>
      <c r="H837" t="str">
        <f>"3020437"</f>
        <v>3020437</v>
      </c>
    </row>
    <row r="838" spans="1:8" x14ac:dyDescent="0.25">
      <c r="E838" t="str">
        <f>""</f>
        <v/>
      </c>
      <c r="F838" t="str">
        <f>""</f>
        <v/>
      </c>
      <c r="H838" t="str">
        <f>"4021143"</f>
        <v>4021143</v>
      </c>
    </row>
    <row r="839" spans="1:8" x14ac:dyDescent="0.25">
      <c r="E839" t="str">
        <f>""</f>
        <v/>
      </c>
      <c r="F839" t="str">
        <f>""</f>
        <v/>
      </c>
      <c r="H839" t="str">
        <f>"4012252"</f>
        <v>4012252</v>
      </c>
    </row>
    <row r="840" spans="1:8" x14ac:dyDescent="0.25">
      <c r="E840" t="str">
        <f>""</f>
        <v/>
      </c>
      <c r="F840" t="str">
        <f>""</f>
        <v/>
      </c>
      <c r="H840" t="str">
        <f>"1532204"</f>
        <v>1532204</v>
      </c>
    </row>
    <row r="841" spans="1:8" x14ac:dyDescent="0.25">
      <c r="E841" t="str">
        <f>""</f>
        <v/>
      </c>
      <c r="F841" t="str">
        <f>""</f>
        <v/>
      </c>
      <c r="H841" t="str">
        <f>"7523188"</f>
        <v>7523188</v>
      </c>
    </row>
    <row r="842" spans="1:8" x14ac:dyDescent="0.25">
      <c r="E842" t="str">
        <f>""</f>
        <v/>
      </c>
      <c r="F842" t="str">
        <f>""</f>
        <v/>
      </c>
      <c r="H842" t="str">
        <f>"9023067"</f>
        <v>9023067</v>
      </c>
    </row>
    <row r="843" spans="1:8" x14ac:dyDescent="0.25">
      <c r="E843" t="str">
        <f>""</f>
        <v/>
      </c>
      <c r="F843" t="str">
        <f>""</f>
        <v/>
      </c>
      <c r="H843" t="str">
        <f>"9023113"</f>
        <v>9023113</v>
      </c>
    </row>
    <row r="844" spans="1:8" x14ac:dyDescent="0.25">
      <c r="A844" t="s">
        <v>164</v>
      </c>
      <c r="B844">
        <v>4367</v>
      </c>
      <c r="C844" s="1">
        <v>305</v>
      </c>
      <c r="D844" s="6">
        <v>44313</v>
      </c>
      <c r="E844" t="str">
        <f>"0552022234"</f>
        <v>0552022234</v>
      </c>
      <c r="F844" t="str">
        <f>"ACCT#21645/COOL WATER"</f>
        <v>ACCT#21645/COOL WATER</v>
      </c>
      <c r="G844" s="1">
        <v>90</v>
      </c>
      <c r="H844" t="str">
        <f>"ACCT#21645/COOL WATER"</f>
        <v>ACCT#21645/COOL WATER</v>
      </c>
    </row>
    <row r="845" spans="1:8" x14ac:dyDescent="0.25">
      <c r="E845" t="str">
        <f>"0552024674"</f>
        <v>0552024674</v>
      </c>
      <c r="F845" t="str">
        <f>"CUST#212645-0002/BOAT LAUNCH"</f>
        <v>CUST#212645-0002/BOAT LAUNCH</v>
      </c>
      <c r="G845" s="1">
        <v>215</v>
      </c>
      <c r="H845" t="str">
        <f>"CUST#212645-0002/BOAT LAUNCH"</f>
        <v>CUST#212645-0002/BOAT LAUNCH</v>
      </c>
    </row>
    <row r="846" spans="1:8" x14ac:dyDescent="0.25">
      <c r="A846" t="s">
        <v>165</v>
      </c>
      <c r="B846">
        <v>4364</v>
      </c>
      <c r="C846" s="1">
        <v>442.5</v>
      </c>
      <c r="D846" s="6">
        <v>44313</v>
      </c>
      <c r="E846" t="str">
        <f>"SL2021-03-00391"</f>
        <v>SL2021-03-00391</v>
      </c>
      <c r="F846" t="str">
        <f>"SHELTERLUV SOFTWARE/ANIMAL"</f>
        <v>SHELTERLUV SOFTWARE/ANIMAL</v>
      </c>
      <c r="G846" s="1">
        <v>442.5</v>
      </c>
      <c r="H846" t="str">
        <f>"SHELTERLUV SOFTWARE/ANIMAL"</f>
        <v>SHELTERLUV SOFTWARE/ANIMAL</v>
      </c>
    </row>
    <row r="847" spans="1:8" x14ac:dyDescent="0.25">
      <c r="A847" t="s">
        <v>166</v>
      </c>
      <c r="B847">
        <v>135177</v>
      </c>
      <c r="C847" s="1">
        <v>1758.18</v>
      </c>
      <c r="D847" s="6">
        <v>44298</v>
      </c>
      <c r="E847" t="str">
        <f>"WI-30684-H7Z8"</f>
        <v>WI-30684-H7Z8</v>
      </c>
      <c r="F847" t="str">
        <f>"MIKE FISHER BUILDING"</f>
        <v>MIKE FISHER BUILDING</v>
      </c>
      <c r="G847" s="1">
        <v>1020.68</v>
      </c>
      <c r="H847" t="str">
        <f>"MIKE FISHER BUILDING"</f>
        <v>MIKE FISHER BUILDING</v>
      </c>
    </row>
    <row r="848" spans="1:8" x14ac:dyDescent="0.25">
      <c r="E848" t="str">
        <f>"WI-30715-Q3J2"</f>
        <v>WI-30715-Q3J2</v>
      </c>
      <c r="F848" t="str">
        <f>"INV WI-30715-Q3J2"</f>
        <v>INV WI-30715-Q3J2</v>
      </c>
      <c r="G848" s="1">
        <v>737.5</v>
      </c>
      <c r="H848" t="str">
        <f>"INV WI-30715-Q3J2"</f>
        <v>INV WI-30715-Q3J2</v>
      </c>
    </row>
    <row r="849" spans="1:8" x14ac:dyDescent="0.25">
      <c r="A849" t="s">
        <v>167</v>
      </c>
      <c r="B849">
        <v>4270</v>
      </c>
      <c r="C849" s="1">
        <v>249.27</v>
      </c>
      <c r="D849" s="6">
        <v>44299</v>
      </c>
      <c r="E849" t="str">
        <f>"206156"</f>
        <v>206156</v>
      </c>
      <c r="F849" t="str">
        <f>"HIGH PRESSURE HOSE/PCT#3"</f>
        <v>HIGH PRESSURE HOSE/PCT#3</v>
      </c>
      <c r="G849" s="1">
        <v>40.5</v>
      </c>
      <c r="H849" t="str">
        <f>"HIGH PRESSURE HOSE/PCT#3"</f>
        <v>HIGH PRESSURE HOSE/PCT#3</v>
      </c>
    </row>
    <row r="850" spans="1:8" x14ac:dyDescent="0.25">
      <c r="E850" t="str">
        <f>"206289"</f>
        <v>206289</v>
      </c>
      <c r="F850" t="str">
        <f>"3 CAMLOCK CAP/PCT#1"</f>
        <v>3 CAMLOCK CAP/PCT#1</v>
      </c>
      <c r="G850" s="1">
        <v>13.91</v>
      </c>
      <c r="H850" t="str">
        <f>"3 CAMLOCK CAP/PCT#1"</f>
        <v>3 CAMLOCK CAP/PCT#1</v>
      </c>
    </row>
    <row r="851" spans="1:8" x14ac:dyDescent="0.25">
      <c r="E851" t="str">
        <f>"206315"</f>
        <v>206315</v>
      </c>
      <c r="F851" t="str">
        <f>"WIRE BRAIDED HOSE/#3"</f>
        <v>WIRE BRAIDED HOSE/#3</v>
      </c>
      <c r="G851" s="1">
        <v>194.86</v>
      </c>
      <c r="H851" t="str">
        <f>"WIRE BRAIDED HOSE/#3"</f>
        <v>WIRE BRAIDED HOSE/#3</v>
      </c>
    </row>
    <row r="852" spans="1:8" x14ac:dyDescent="0.25">
      <c r="A852" t="s">
        <v>167</v>
      </c>
      <c r="B852">
        <v>4345</v>
      </c>
      <c r="C852" s="1">
        <v>119.7</v>
      </c>
      <c r="D852" s="6">
        <v>44313</v>
      </c>
      <c r="E852" t="str">
        <f>"206237"</f>
        <v>206237</v>
      </c>
      <c r="F852" t="str">
        <f>"HIGH PRESSURE HOSE/WILD FIRE"</f>
        <v>HIGH PRESSURE HOSE/WILD FIRE</v>
      </c>
      <c r="G852" s="1">
        <v>119.7</v>
      </c>
      <c r="H852" t="str">
        <f>"HIGH PRESSURE HOSE/WILD FIRE"</f>
        <v>HIGH PRESSURE HOSE/WILD FIRE</v>
      </c>
    </row>
    <row r="853" spans="1:8" x14ac:dyDescent="0.25">
      <c r="A853" t="s">
        <v>168</v>
      </c>
      <c r="B853">
        <v>135329</v>
      </c>
      <c r="C853" s="1">
        <v>65</v>
      </c>
      <c r="D853" s="6">
        <v>44312</v>
      </c>
      <c r="E853" t="str">
        <f>"275014"</f>
        <v>275014</v>
      </c>
      <c r="F853" t="str">
        <f>"WORK ORDER#24368/PCT#4"</f>
        <v>WORK ORDER#24368/PCT#4</v>
      </c>
      <c r="G853" s="1">
        <v>65</v>
      </c>
      <c r="H853" t="str">
        <f>"WORK ORDER#24368/PCT#4"</f>
        <v>WORK ORDER#24368/PCT#4</v>
      </c>
    </row>
    <row r="854" spans="1:8" x14ac:dyDescent="0.25">
      <c r="A854" t="s">
        <v>169</v>
      </c>
      <c r="B854">
        <v>135330</v>
      </c>
      <c r="C854" s="1">
        <v>272</v>
      </c>
      <c r="D854" s="6">
        <v>44312</v>
      </c>
      <c r="E854" t="str">
        <f>"3081569107"</f>
        <v>3081569107</v>
      </c>
      <c r="F854" t="str">
        <f>"ACCT#187947/ANIMAL SHELTER"</f>
        <v>ACCT#187947/ANIMAL SHELTER</v>
      </c>
      <c r="G854" s="1">
        <v>272</v>
      </c>
      <c r="H854" t="str">
        <f>"ACCT#187947/ANIMAL SHELTER"</f>
        <v>ACCT#187947/ANIMAL SHELTER</v>
      </c>
    </row>
    <row r="855" spans="1:8" x14ac:dyDescent="0.25">
      <c r="A855" t="s">
        <v>170</v>
      </c>
      <c r="B855">
        <v>4384</v>
      </c>
      <c r="C855" s="1">
        <v>2430</v>
      </c>
      <c r="D855" s="6">
        <v>44313</v>
      </c>
      <c r="E855" t="str">
        <f>"71492"</f>
        <v>71492</v>
      </c>
      <c r="F855" t="str">
        <f>"PROFESSIONAL SVCS/MAY 2021"</f>
        <v>PROFESSIONAL SVCS/MAY 2021</v>
      </c>
      <c r="G855" s="1">
        <v>2430</v>
      </c>
      <c r="H855" t="str">
        <f>"PROFESSIONAL SVCS/MAY 2021"</f>
        <v>PROFESSIONAL SVCS/MAY 2021</v>
      </c>
    </row>
    <row r="856" spans="1:8" x14ac:dyDescent="0.25">
      <c r="E856" t="str">
        <f>""</f>
        <v/>
      </c>
      <c r="F856" t="str">
        <f>""</f>
        <v/>
      </c>
      <c r="H856" t="str">
        <f>"PROFESSIONAL SVCS/MAY 2021"</f>
        <v>PROFESSIONAL SVCS/MAY 2021</v>
      </c>
    </row>
    <row r="857" spans="1:8" x14ac:dyDescent="0.25">
      <c r="A857" t="s">
        <v>171</v>
      </c>
      <c r="B857">
        <v>135331</v>
      </c>
      <c r="C857" s="1">
        <v>308</v>
      </c>
      <c r="D857" s="6">
        <v>44312</v>
      </c>
      <c r="E857" t="str">
        <f>"202104212790"</f>
        <v>202104212790</v>
      </c>
      <c r="F857" t="str">
        <f>"ACCT#336320/PCT#3"</f>
        <v>ACCT#336320/PCT#3</v>
      </c>
      <c r="G857" s="1">
        <v>308</v>
      </c>
      <c r="H857" t="str">
        <f>"ACCT#336320/PCT#3"</f>
        <v>ACCT#336320/PCT#3</v>
      </c>
    </row>
    <row r="858" spans="1:8" x14ac:dyDescent="0.25">
      <c r="A858" t="s">
        <v>172</v>
      </c>
      <c r="B858">
        <v>135178</v>
      </c>
      <c r="C858" s="1">
        <v>171.04</v>
      </c>
      <c r="D858" s="6">
        <v>44298</v>
      </c>
      <c r="E858" t="str">
        <f>"DLTG319"</f>
        <v>DLTG319</v>
      </c>
      <c r="F858" t="str">
        <f>"CUST#AX773-BASTROP COUNTY CLRK"</f>
        <v>CUST#AX773-BASTROP COUNTY CLRK</v>
      </c>
      <c r="G858" s="1">
        <v>171.04</v>
      </c>
      <c r="H858" t="str">
        <f>"CUST#AX773-BASTROP COUNTY CLRK"</f>
        <v>CUST#AX773-BASTROP COUNTY CLRK</v>
      </c>
    </row>
    <row r="859" spans="1:8" x14ac:dyDescent="0.25">
      <c r="A859" t="s">
        <v>173</v>
      </c>
      <c r="B859">
        <v>135179</v>
      </c>
      <c r="C859" s="1">
        <v>54.86</v>
      </c>
      <c r="D859" s="6">
        <v>44298</v>
      </c>
      <c r="E859" t="str">
        <f>"36343"</f>
        <v>36343</v>
      </c>
      <c r="F859" t="str">
        <f>"1-1/2 SCH 160 PIPE/PCT#4"</f>
        <v>1-1/2 SCH 160 PIPE/PCT#4</v>
      </c>
      <c r="G859" s="1">
        <v>54.86</v>
      </c>
      <c r="H859" t="str">
        <f>"1-1/2 SCH 160 PIPE/PCT#4"</f>
        <v>1-1/2 SCH 160 PIPE/PCT#4</v>
      </c>
    </row>
    <row r="860" spans="1:8" x14ac:dyDescent="0.25">
      <c r="A860" t="s">
        <v>174</v>
      </c>
      <c r="B860">
        <v>135180</v>
      </c>
      <c r="C860" s="1">
        <v>250</v>
      </c>
      <c r="D860" s="6">
        <v>44298</v>
      </c>
      <c r="E860" t="str">
        <f>"202103312379"</f>
        <v>202103312379</v>
      </c>
      <c r="F860" t="str">
        <f>"57-076"</f>
        <v>57-076</v>
      </c>
      <c r="G860" s="1">
        <v>250</v>
      </c>
      <c r="H860" t="str">
        <f>"57-076"</f>
        <v>57-076</v>
      </c>
    </row>
    <row r="861" spans="1:8" x14ac:dyDescent="0.25">
      <c r="A861" t="s">
        <v>175</v>
      </c>
      <c r="B861">
        <v>4321</v>
      </c>
      <c r="C861" s="1">
        <v>2983.94</v>
      </c>
      <c r="D861" s="6">
        <v>44299</v>
      </c>
      <c r="E861" t="str">
        <f>"12245"</f>
        <v>12245</v>
      </c>
      <c r="F861" t="str">
        <f t="shared" ref="F861:F866" si="14">"AD LITEM FEE"</f>
        <v>AD LITEM FEE</v>
      </c>
      <c r="G861" s="1">
        <v>150</v>
      </c>
      <c r="H861" t="str">
        <f t="shared" ref="H861:H866" si="15">"AD LITEM FEE"</f>
        <v>AD LITEM FEE</v>
      </c>
    </row>
    <row r="862" spans="1:8" x14ac:dyDescent="0.25">
      <c r="E862" t="str">
        <f>"12374"</f>
        <v>12374</v>
      </c>
      <c r="F862" t="str">
        <f t="shared" si="14"/>
        <v>AD LITEM FEE</v>
      </c>
      <c r="G862" s="1">
        <v>150</v>
      </c>
      <c r="H862" t="str">
        <f t="shared" si="15"/>
        <v>AD LITEM FEE</v>
      </c>
    </row>
    <row r="863" spans="1:8" x14ac:dyDescent="0.25">
      <c r="E863" t="str">
        <f>"12494"</f>
        <v>12494</v>
      </c>
      <c r="F863" t="str">
        <f t="shared" si="14"/>
        <v>AD LITEM FEE</v>
      </c>
      <c r="G863" s="1">
        <v>258.94</v>
      </c>
      <c r="H863" t="str">
        <f t="shared" si="15"/>
        <v>AD LITEM FEE</v>
      </c>
    </row>
    <row r="864" spans="1:8" x14ac:dyDescent="0.25">
      <c r="E864" t="str">
        <f>"12553"</f>
        <v>12553</v>
      </c>
      <c r="F864" t="str">
        <f t="shared" si="14"/>
        <v>AD LITEM FEE</v>
      </c>
      <c r="G864" s="1">
        <v>150</v>
      </c>
      <c r="H864" t="str">
        <f t="shared" si="15"/>
        <v>AD LITEM FEE</v>
      </c>
    </row>
    <row r="865" spans="1:8" x14ac:dyDescent="0.25">
      <c r="E865" t="str">
        <f>"12768"</f>
        <v>12768</v>
      </c>
      <c r="F865" t="str">
        <f t="shared" si="14"/>
        <v>AD LITEM FEE</v>
      </c>
      <c r="G865" s="1">
        <v>150</v>
      </c>
      <c r="H865" t="str">
        <f t="shared" si="15"/>
        <v>AD LITEM FEE</v>
      </c>
    </row>
    <row r="866" spans="1:8" x14ac:dyDescent="0.25">
      <c r="E866" t="str">
        <f>"12826"</f>
        <v>12826</v>
      </c>
      <c r="F866" t="str">
        <f t="shared" si="14"/>
        <v>AD LITEM FEE</v>
      </c>
      <c r="G866" s="1">
        <v>150</v>
      </c>
      <c r="H866" t="str">
        <f t="shared" si="15"/>
        <v>AD LITEM FEE</v>
      </c>
    </row>
    <row r="867" spans="1:8" x14ac:dyDescent="0.25">
      <c r="E867" t="str">
        <f>"12980"</f>
        <v>12980</v>
      </c>
      <c r="F867" t="str">
        <f>"AD LITEM  FEE"</f>
        <v>AD LITEM  FEE</v>
      </c>
      <c r="G867" s="1">
        <v>150</v>
      </c>
      <c r="H867" t="str">
        <f>"AD LITEM  FEE"</f>
        <v>AD LITEM  FEE</v>
      </c>
    </row>
    <row r="868" spans="1:8" x14ac:dyDescent="0.25">
      <c r="E868" t="str">
        <f>"13029"</f>
        <v>13029</v>
      </c>
      <c r="F868" t="str">
        <f>"ATTORNEY AD LITEM"</f>
        <v>ATTORNEY AD LITEM</v>
      </c>
      <c r="G868" s="1">
        <v>150</v>
      </c>
      <c r="H868" t="str">
        <f>"ATTORNEY AD LITEM"</f>
        <v>ATTORNEY AD LITEM</v>
      </c>
    </row>
    <row r="869" spans="1:8" x14ac:dyDescent="0.25">
      <c r="E869" t="str">
        <f>"13048"</f>
        <v>13048</v>
      </c>
      <c r="F869" t="str">
        <f>"AD LITEM FEE"</f>
        <v>AD LITEM FEE</v>
      </c>
      <c r="G869" s="1">
        <v>150</v>
      </c>
      <c r="H869" t="str">
        <f>"AD LITEM FEE"</f>
        <v>AD LITEM FEE</v>
      </c>
    </row>
    <row r="870" spans="1:8" x14ac:dyDescent="0.25">
      <c r="E870" t="str">
        <f>"13163"</f>
        <v>13163</v>
      </c>
      <c r="F870" t="str">
        <f>"AD LITEM FEE"</f>
        <v>AD LITEM FEE</v>
      </c>
      <c r="G870" s="1">
        <v>150</v>
      </c>
      <c r="H870" t="str">
        <f>"AD LITEM FEE"</f>
        <v>AD LITEM FEE</v>
      </c>
    </row>
    <row r="871" spans="1:8" x14ac:dyDescent="0.25">
      <c r="E871" t="str">
        <f>"13335"</f>
        <v>13335</v>
      </c>
      <c r="F871" t="str">
        <f>"AD LITEM FEE"</f>
        <v>AD LITEM FEE</v>
      </c>
      <c r="G871" s="1">
        <v>150</v>
      </c>
      <c r="H871" t="str">
        <f>"AD LITEM FEE"</f>
        <v>AD LITEM FEE</v>
      </c>
    </row>
    <row r="872" spans="1:8" x14ac:dyDescent="0.25">
      <c r="E872" t="str">
        <f>"202103242287"</f>
        <v>202103242287</v>
      </c>
      <c r="F872" t="str">
        <f>"J-3241"</f>
        <v>J-3241</v>
      </c>
      <c r="G872" s="1">
        <v>250</v>
      </c>
      <c r="H872" t="str">
        <f>"J-3241"</f>
        <v>J-3241</v>
      </c>
    </row>
    <row r="873" spans="1:8" x14ac:dyDescent="0.25">
      <c r="E873" t="str">
        <f>"202103312381"</f>
        <v>202103312381</v>
      </c>
      <c r="F873" t="str">
        <f>"TRN-9253583207 20-5-05299"</f>
        <v>TRN-9253583207 20-5-05299</v>
      </c>
      <c r="G873" s="1">
        <v>250</v>
      </c>
      <c r="H873" t="str">
        <f>"TRN-9253583207 20-5-05299"</f>
        <v>TRN-9253583207 20-5-05299</v>
      </c>
    </row>
    <row r="874" spans="1:8" x14ac:dyDescent="0.25">
      <c r="E874" t="str">
        <f>"202103312384"</f>
        <v>202103312384</v>
      </c>
      <c r="F874" t="str">
        <f>"J-3244"</f>
        <v>J-3244</v>
      </c>
      <c r="G874" s="1">
        <v>250</v>
      </c>
      <c r="H874" t="str">
        <f>"J-3244"</f>
        <v>J-3244</v>
      </c>
    </row>
    <row r="875" spans="1:8" x14ac:dyDescent="0.25">
      <c r="E875" t="str">
        <f>"202104062456"</f>
        <v>202104062456</v>
      </c>
      <c r="F875" t="str">
        <f>"409229-1"</f>
        <v>409229-1</v>
      </c>
      <c r="G875" s="1">
        <v>375</v>
      </c>
      <c r="H875" t="str">
        <f>"409229-1"</f>
        <v>409229-1</v>
      </c>
    </row>
    <row r="876" spans="1:8" x14ac:dyDescent="0.25">
      <c r="E876" t="str">
        <f>"202104062457"</f>
        <v>202104062457</v>
      </c>
      <c r="F876" t="str">
        <f>"19-19954"</f>
        <v>19-19954</v>
      </c>
      <c r="G876" s="1">
        <v>100</v>
      </c>
      <c r="H876" t="str">
        <f>"19-19954"</f>
        <v>19-19954</v>
      </c>
    </row>
    <row r="877" spans="1:8" x14ac:dyDescent="0.25">
      <c r="A877" t="s">
        <v>175</v>
      </c>
      <c r="B877">
        <v>4392</v>
      </c>
      <c r="C877" s="1">
        <v>500</v>
      </c>
      <c r="D877" s="6">
        <v>44313</v>
      </c>
      <c r="E877" t="str">
        <f>"202104152684"</f>
        <v>202104152684</v>
      </c>
      <c r="F877" t="str">
        <f>"57-388"</f>
        <v>57-388</v>
      </c>
      <c r="G877" s="1">
        <v>250</v>
      </c>
      <c r="H877" t="str">
        <f>"57-388"</f>
        <v>57-388</v>
      </c>
    </row>
    <row r="878" spans="1:8" x14ac:dyDescent="0.25">
      <c r="E878" t="str">
        <f>"202104152685"</f>
        <v>202104152685</v>
      </c>
      <c r="F878" t="str">
        <f>"56-113"</f>
        <v>56-113</v>
      </c>
      <c r="G878" s="1">
        <v>250</v>
      </c>
      <c r="H878" t="str">
        <f>"56-113"</f>
        <v>56-113</v>
      </c>
    </row>
    <row r="879" spans="1:8" x14ac:dyDescent="0.25">
      <c r="A879" t="s">
        <v>176</v>
      </c>
      <c r="B879">
        <v>135333</v>
      </c>
      <c r="C879" s="1">
        <v>4075</v>
      </c>
      <c r="D879" s="6">
        <v>44312</v>
      </c>
      <c r="E879" t="str">
        <f>"202104152686"</f>
        <v>202104152686</v>
      </c>
      <c r="F879" t="str">
        <f>"4100920-2"</f>
        <v>4100920-2</v>
      </c>
      <c r="G879" s="1">
        <v>250</v>
      </c>
      <c r="H879" t="str">
        <f>"4100920-2"</f>
        <v>4100920-2</v>
      </c>
    </row>
    <row r="880" spans="1:8" x14ac:dyDescent="0.25">
      <c r="E880" t="str">
        <f>"202104152687"</f>
        <v>202104152687</v>
      </c>
      <c r="F880" t="str">
        <f>"57-303"</f>
        <v>57-303</v>
      </c>
      <c r="G880" s="1">
        <v>250</v>
      </c>
      <c r="H880" t="str">
        <f>"57-303"</f>
        <v>57-303</v>
      </c>
    </row>
    <row r="881" spans="1:8" x14ac:dyDescent="0.25">
      <c r="E881" t="str">
        <f>"202104152688"</f>
        <v>202104152688</v>
      </c>
      <c r="F881" t="str">
        <f>"57-324"</f>
        <v>57-324</v>
      </c>
      <c r="G881" s="1">
        <v>250</v>
      </c>
      <c r="H881" t="str">
        <f>"57-324"</f>
        <v>57-324</v>
      </c>
    </row>
    <row r="882" spans="1:8" x14ac:dyDescent="0.25">
      <c r="E882" t="str">
        <f>"202104152689"</f>
        <v>202104152689</v>
      </c>
      <c r="F882" t="str">
        <f>"57-330"</f>
        <v>57-330</v>
      </c>
      <c r="G882" s="1">
        <v>250</v>
      </c>
      <c r="H882" t="str">
        <f>"57-330"</f>
        <v>57-330</v>
      </c>
    </row>
    <row r="883" spans="1:8" x14ac:dyDescent="0.25">
      <c r="E883" t="str">
        <f>"202104152690"</f>
        <v>202104152690</v>
      </c>
      <c r="F883" t="str">
        <f>"19-19963"</f>
        <v>19-19963</v>
      </c>
      <c r="G883" s="1">
        <v>375</v>
      </c>
      <c r="H883" t="str">
        <f>"19-19963"</f>
        <v>19-19963</v>
      </c>
    </row>
    <row r="884" spans="1:8" x14ac:dyDescent="0.25">
      <c r="E884" t="str">
        <f>"202104152691"</f>
        <v>202104152691</v>
      </c>
      <c r="F884" t="str">
        <f>"20-20403"</f>
        <v>20-20403</v>
      </c>
      <c r="G884" s="1">
        <v>337.5</v>
      </c>
      <c r="H884" t="str">
        <f>"20-20403"</f>
        <v>20-20403</v>
      </c>
    </row>
    <row r="885" spans="1:8" x14ac:dyDescent="0.25">
      <c r="E885" t="str">
        <f>"202104152692"</f>
        <v>202104152692</v>
      </c>
      <c r="F885" t="str">
        <f>"20-20110"</f>
        <v>20-20110</v>
      </c>
      <c r="G885" s="1">
        <v>300</v>
      </c>
      <c r="H885" t="str">
        <f>"20-20110"</f>
        <v>20-20110</v>
      </c>
    </row>
    <row r="886" spans="1:8" x14ac:dyDescent="0.25">
      <c r="E886" t="str">
        <f>"202104152693"</f>
        <v>202104152693</v>
      </c>
      <c r="F886" t="str">
        <f>"20-20291"</f>
        <v>20-20291</v>
      </c>
      <c r="G886" s="1">
        <v>375</v>
      </c>
      <c r="H886" t="str">
        <f>"20-20291"</f>
        <v>20-20291</v>
      </c>
    </row>
    <row r="887" spans="1:8" x14ac:dyDescent="0.25">
      <c r="E887" t="str">
        <f>"202104152694"</f>
        <v>202104152694</v>
      </c>
      <c r="F887" t="str">
        <f>"21-20562"</f>
        <v>21-20562</v>
      </c>
      <c r="G887" s="1">
        <v>487.5</v>
      </c>
      <c r="H887" t="str">
        <f>"21-20562"</f>
        <v>21-20562</v>
      </c>
    </row>
    <row r="888" spans="1:8" x14ac:dyDescent="0.25">
      <c r="E888" t="str">
        <f>"202104152695"</f>
        <v>202104152695</v>
      </c>
      <c r="F888" t="str">
        <f>"19-19864"</f>
        <v>19-19864</v>
      </c>
      <c r="G888" s="1">
        <v>450</v>
      </c>
      <c r="H888" t="str">
        <f>"19-19864"</f>
        <v>19-19864</v>
      </c>
    </row>
    <row r="889" spans="1:8" x14ac:dyDescent="0.25">
      <c r="E889" t="str">
        <f>"202104152696"</f>
        <v>202104152696</v>
      </c>
      <c r="F889" t="str">
        <f>"19-19994"</f>
        <v>19-19994</v>
      </c>
      <c r="G889" s="1">
        <v>300</v>
      </c>
      <c r="H889" t="str">
        <f>"19-19994"</f>
        <v>19-19994</v>
      </c>
    </row>
    <row r="890" spans="1:8" x14ac:dyDescent="0.25">
      <c r="E890" t="str">
        <f>"202104152697"</f>
        <v>202104152697</v>
      </c>
      <c r="F890" t="str">
        <f>"19-19889"</f>
        <v>19-19889</v>
      </c>
      <c r="G890" s="1">
        <v>150</v>
      </c>
      <c r="H890" t="str">
        <f>"19-19889"</f>
        <v>19-19889</v>
      </c>
    </row>
    <row r="891" spans="1:8" x14ac:dyDescent="0.25">
      <c r="E891" t="str">
        <f>"202104152698"</f>
        <v>202104152698</v>
      </c>
      <c r="F891" t="str">
        <f>"20-202115"</f>
        <v>20-202115</v>
      </c>
      <c r="G891" s="1">
        <v>300</v>
      </c>
      <c r="H891" t="str">
        <f>"20-202115"</f>
        <v>20-202115</v>
      </c>
    </row>
    <row r="892" spans="1:8" x14ac:dyDescent="0.25">
      <c r="A892" t="s">
        <v>177</v>
      </c>
      <c r="B892">
        <v>4314</v>
      </c>
      <c r="C892" s="1">
        <v>2875</v>
      </c>
      <c r="D892" s="6">
        <v>44299</v>
      </c>
      <c r="E892" t="str">
        <f>"202103292353"</f>
        <v>202103292353</v>
      </c>
      <c r="F892" t="str">
        <f>"309132019C/209132019E"</f>
        <v>309132019C/209132019E</v>
      </c>
      <c r="G892" s="1">
        <v>375</v>
      </c>
      <c r="H892" t="str">
        <f>"309132019C/209132019E"</f>
        <v>309132019C/209132019E</v>
      </c>
    </row>
    <row r="893" spans="1:8" x14ac:dyDescent="0.25">
      <c r="E893" t="str">
        <f>"202103292354"</f>
        <v>202103292354</v>
      </c>
      <c r="F893" t="str">
        <f>"02-0527-1/02-0527-4"</f>
        <v>02-0527-1/02-0527-4</v>
      </c>
      <c r="G893" s="1">
        <v>375</v>
      </c>
      <c r="H893" t="str">
        <f>"02-0527-1/02-0527-4"</f>
        <v>02-0527-1/02-0527-4</v>
      </c>
    </row>
    <row r="894" spans="1:8" x14ac:dyDescent="0.25">
      <c r="E894" t="str">
        <f>"202103292355"</f>
        <v>202103292355</v>
      </c>
      <c r="F894" t="str">
        <f>"409028.16"</f>
        <v>409028.16</v>
      </c>
      <c r="G894" s="1">
        <v>250</v>
      </c>
      <c r="H894" t="str">
        <f>"409028.16"</f>
        <v>409028.16</v>
      </c>
    </row>
    <row r="895" spans="1:8" x14ac:dyDescent="0.25">
      <c r="E895" t="str">
        <f>"202103292356"</f>
        <v>202103292356</v>
      </c>
      <c r="F895" t="str">
        <f>"CH-201808228"</f>
        <v>CH-201808228</v>
      </c>
      <c r="G895" s="1">
        <v>250</v>
      </c>
      <c r="H895" t="str">
        <f>"CH-201808228"</f>
        <v>CH-201808228</v>
      </c>
    </row>
    <row r="896" spans="1:8" x14ac:dyDescent="0.25">
      <c r="E896" t="str">
        <f>"202103292357"</f>
        <v>202103292357</v>
      </c>
      <c r="F896" t="str">
        <f>"57809-57810"</f>
        <v>57809-57810</v>
      </c>
      <c r="G896" s="1">
        <v>375</v>
      </c>
      <c r="H896" t="str">
        <f>"57809-57810"</f>
        <v>57809-57810</v>
      </c>
    </row>
    <row r="897" spans="1:8" x14ac:dyDescent="0.25">
      <c r="E897" t="str">
        <f>"202103292358"</f>
        <v>202103292358</v>
      </c>
      <c r="F897" t="str">
        <f>"57159"</f>
        <v>57159</v>
      </c>
      <c r="G897" s="1">
        <v>250</v>
      </c>
      <c r="H897" t="str">
        <f>"57159"</f>
        <v>57159</v>
      </c>
    </row>
    <row r="898" spans="1:8" x14ac:dyDescent="0.25">
      <c r="E898" t="str">
        <f>"202104062464"</f>
        <v>202104062464</v>
      </c>
      <c r="F898" t="str">
        <f>"169991"</f>
        <v>169991</v>
      </c>
      <c r="G898" s="1">
        <v>1000</v>
      </c>
      <c r="H898" t="str">
        <f>"169991"</f>
        <v>169991</v>
      </c>
    </row>
    <row r="899" spans="1:8" x14ac:dyDescent="0.25">
      <c r="A899" t="s">
        <v>177</v>
      </c>
      <c r="B899">
        <v>4388</v>
      </c>
      <c r="C899" s="1">
        <v>3850</v>
      </c>
      <c r="D899" s="6">
        <v>44313</v>
      </c>
      <c r="E899" t="str">
        <f>"202104152670"</f>
        <v>202104152670</v>
      </c>
      <c r="F899" t="str">
        <f>"16991"</f>
        <v>16991</v>
      </c>
      <c r="G899" s="1">
        <v>1000</v>
      </c>
      <c r="H899" t="str">
        <f>"16991"</f>
        <v>16991</v>
      </c>
    </row>
    <row r="900" spans="1:8" x14ac:dyDescent="0.25">
      <c r="E900" t="str">
        <f>"202104152671"</f>
        <v>202104152671</v>
      </c>
      <c r="F900" t="str">
        <f>"17084"</f>
        <v>17084</v>
      </c>
      <c r="G900" s="1">
        <v>550</v>
      </c>
      <c r="H900" t="str">
        <f>"17084"</f>
        <v>17084</v>
      </c>
    </row>
    <row r="901" spans="1:8" x14ac:dyDescent="0.25">
      <c r="E901" t="str">
        <f>"202104152672"</f>
        <v>202104152672</v>
      </c>
      <c r="F901" t="str">
        <f>"16384"</f>
        <v>16384</v>
      </c>
      <c r="G901" s="1">
        <v>550</v>
      </c>
      <c r="H901" t="str">
        <f>"16384"</f>
        <v>16384</v>
      </c>
    </row>
    <row r="902" spans="1:8" x14ac:dyDescent="0.25">
      <c r="E902" t="str">
        <f>"202104152673"</f>
        <v>202104152673</v>
      </c>
      <c r="F902" t="str">
        <f>"CC2019022OC"</f>
        <v>CC2019022OC</v>
      </c>
      <c r="G902" s="1">
        <v>800</v>
      </c>
      <c r="H902" t="str">
        <f>"CC2019022OC"</f>
        <v>CC2019022OC</v>
      </c>
    </row>
    <row r="903" spans="1:8" x14ac:dyDescent="0.25">
      <c r="E903" t="str">
        <f>"202104152674"</f>
        <v>202104152674</v>
      </c>
      <c r="F903" t="str">
        <f>"17168/17168/310142019"</f>
        <v>17168/17168/310142019</v>
      </c>
      <c r="G903" s="1">
        <v>950</v>
      </c>
      <c r="H903" t="str">
        <f>"17168/17168/310142019"</f>
        <v>17168/17168/310142019</v>
      </c>
    </row>
    <row r="904" spans="1:8" x14ac:dyDescent="0.25">
      <c r="A904" t="s">
        <v>178</v>
      </c>
      <c r="B904">
        <v>135334</v>
      </c>
      <c r="C904" s="1">
        <v>296.10000000000002</v>
      </c>
      <c r="D904" s="6">
        <v>44312</v>
      </c>
      <c r="E904" t="str">
        <f>"202104152704"</f>
        <v>202104152704</v>
      </c>
      <c r="F904" t="str">
        <f>"REIMBURSEMENT-KATY LYYTINEN"</f>
        <v>REIMBURSEMENT-KATY LYYTINEN</v>
      </c>
      <c r="G904" s="1">
        <v>296.10000000000002</v>
      </c>
      <c r="H904" t="str">
        <f>"REIMBURSEMENT-KATY LYYTINEN"</f>
        <v>REIMBURSEMENT-KATY LYYTINEN</v>
      </c>
    </row>
    <row r="905" spans="1:8" x14ac:dyDescent="0.25">
      <c r="A905" t="s">
        <v>179</v>
      </c>
      <c r="B905">
        <v>135181</v>
      </c>
      <c r="C905" s="1">
        <v>2840</v>
      </c>
      <c r="D905" s="6">
        <v>44298</v>
      </c>
      <c r="E905" t="str">
        <f>"202104062445"</f>
        <v>202104062445</v>
      </c>
      <c r="F905" t="str">
        <f>"57-491"</f>
        <v>57-491</v>
      </c>
      <c r="G905" s="1">
        <v>250</v>
      </c>
      <c r="H905" t="str">
        <f>"57-491"</f>
        <v>57-491</v>
      </c>
    </row>
    <row r="906" spans="1:8" x14ac:dyDescent="0.25">
      <c r="E906" t="str">
        <f>"202104062446"</f>
        <v>202104062446</v>
      </c>
      <c r="F906" t="str">
        <f>"02-0829-4 20-04480"</f>
        <v>02-0829-4 20-04480</v>
      </c>
      <c r="G906" s="1">
        <v>175</v>
      </c>
      <c r="H906" t="str">
        <f>"02-0829-4 20-04480"</f>
        <v>02-0829-4 20-04480</v>
      </c>
    </row>
    <row r="907" spans="1:8" x14ac:dyDescent="0.25">
      <c r="E907" t="str">
        <f>"202104062447"</f>
        <v>202104062447</v>
      </c>
      <c r="F907" t="str">
        <f>"19-19967"</f>
        <v>19-19967</v>
      </c>
      <c r="G907" s="1">
        <v>247.5</v>
      </c>
      <c r="H907" t="str">
        <f>"19-19967"</f>
        <v>19-19967</v>
      </c>
    </row>
    <row r="908" spans="1:8" x14ac:dyDescent="0.25">
      <c r="E908" t="str">
        <f>"202104062448"</f>
        <v>202104062448</v>
      </c>
      <c r="F908" t="str">
        <f>"20-20227"</f>
        <v>20-20227</v>
      </c>
      <c r="G908" s="1">
        <v>215.25</v>
      </c>
      <c r="H908" t="str">
        <f>"20-20227"</f>
        <v>20-20227</v>
      </c>
    </row>
    <row r="909" spans="1:8" x14ac:dyDescent="0.25">
      <c r="E909" t="str">
        <f>"202104062449"</f>
        <v>202104062449</v>
      </c>
      <c r="F909" t="str">
        <f>"20-20482"</f>
        <v>20-20482</v>
      </c>
      <c r="G909" s="1">
        <v>256.5</v>
      </c>
      <c r="H909" t="str">
        <f>"20-20482"</f>
        <v>20-20482</v>
      </c>
    </row>
    <row r="910" spans="1:8" x14ac:dyDescent="0.25">
      <c r="E910" t="str">
        <f>"202104062450"</f>
        <v>202104062450</v>
      </c>
      <c r="F910" t="str">
        <f>"20-20060"</f>
        <v>20-20060</v>
      </c>
      <c r="G910" s="1">
        <v>263.25</v>
      </c>
      <c r="H910" t="str">
        <f>"20-20060"</f>
        <v>20-20060</v>
      </c>
    </row>
    <row r="911" spans="1:8" x14ac:dyDescent="0.25">
      <c r="E911" t="str">
        <f>"202104062451"</f>
        <v>202104062451</v>
      </c>
      <c r="F911" t="str">
        <f>"19-20022"</f>
        <v>19-20022</v>
      </c>
      <c r="G911" s="1">
        <v>491.25</v>
      </c>
      <c r="H911" t="str">
        <f>"19-20022"</f>
        <v>19-20022</v>
      </c>
    </row>
    <row r="912" spans="1:8" x14ac:dyDescent="0.25">
      <c r="E912" t="str">
        <f>"202104062452"</f>
        <v>202104062452</v>
      </c>
      <c r="F912" t="str">
        <f>"20-20454"</f>
        <v>20-20454</v>
      </c>
      <c r="G912" s="1">
        <v>153.75</v>
      </c>
      <c r="H912" t="str">
        <f>"20-20454"</f>
        <v>20-20454</v>
      </c>
    </row>
    <row r="913" spans="1:8" x14ac:dyDescent="0.25">
      <c r="E913" t="str">
        <f>"202104062470"</f>
        <v>202104062470</v>
      </c>
      <c r="F913" t="str">
        <f>"18-8836"</f>
        <v>18-8836</v>
      </c>
      <c r="G913" s="1">
        <v>386.25</v>
      </c>
      <c r="H913" t="str">
        <f>"18-8836"</f>
        <v>18-8836</v>
      </c>
    </row>
    <row r="914" spans="1:8" x14ac:dyDescent="0.25">
      <c r="E914" t="str">
        <f>"202104062471"</f>
        <v>202104062471</v>
      </c>
      <c r="F914" t="str">
        <f>"423-2327"</f>
        <v>423-2327</v>
      </c>
      <c r="G914" s="1">
        <v>401.25</v>
      </c>
      <c r="H914" t="str">
        <f>"423-2327"</f>
        <v>423-2327</v>
      </c>
    </row>
    <row r="915" spans="1:8" x14ac:dyDescent="0.25">
      <c r="A915" t="s">
        <v>180</v>
      </c>
      <c r="B915">
        <v>135182</v>
      </c>
      <c r="C915" s="1">
        <v>300</v>
      </c>
      <c r="D915" s="6">
        <v>44298</v>
      </c>
      <c r="E915" t="str">
        <f>"1114"</f>
        <v>1114</v>
      </c>
      <c r="F915" t="str">
        <f>"COUT AT LAW SPANISH INTERPRETA"</f>
        <v>COUT AT LAW SPANISH INTERPRETA</v>
      </c>
      <c r="G915" s="1">
        <v>300</v>
      </c>
      <c r="H915" t="str">
        <f>"COUT AT LAW SPANISH INTERPRETA"</f>
        <v>COUT AT LAW SPANISH INTERPRETA</v>
      </c>
    </row>
    <row r="916" spans="1:8" x14ac:dyDescent="0.25">
      <c r="A916" t="s">
        <v>180</v>
      </c>
      <c r="B916">
        <v>135335</v>
      </c>
      <c r="C916" s="1">
        <v>300</v>
      </c>
      <c r="D916" s="6">
        <v>44312</v>
      </c>
      <c r="E916" t="str">
        <f>"202104152676"</f>
        <v>202104152676</v>
      </c>
      <c r="F916" t="str">
        <f>"#1117"</f>
        <v>#1117</v>
      </c>
      <c r="G916" s="1">
        <v>300</v>
      </c>
      <c r="H916" t="str">
        <f>"#1117"</f>
        <v>#1117</v>
      </c>
    </row>
    <row r="917" spans="1:8" x14ac:dyDescent="0.25">
      <c r="A917" t="s">
        <v>181</v>
      </c>
      <c r="B917">
        <v>135183</v>
      </c>
      <c r="C917" s="1">
        <v>214.99</v>
      </c>
      <c r="D917" s="6">
        <v>44298</v>
      </c>
      <c r="E917" t="str">
        <f>"1520-00000177957"</f>
        <v>1520-00000177957</v>
      </c>
      <c r="F917" t="str">
        <f>"INV 1520-00000177957"</f>
        <v>INV 1520-00000177957</v>
      </c>
      <c r="G917" s="1">
        <v>214.99</v>
      </c>
      <c r="H917" t="str">
        <f>"INV 1520-00000177957"</f>
        <v>INV 1520-00000177957</v>
      </c>
    </row>
    <row r="918" spans="1:8" x14ac:dyDescent="0.25">
      <c r="A918" t="s">
        <v>182</v>
      </c>
      <c r="B918">
        <v>135184</v>
      </c>
      <c r="C918" s="1">
        <v>330</v>
      </c>
      <c r="D918" s="6">
        <v>44298</v>
      </c>
      <c r="E918" t="str">
        <f>"868439"</f>
        <v>868439</v>
      </c>
      <c r="F918" t="str">
        <f>"TRASH PICK UP/PCT#1"</f>
        <v>TRASH PICK UP/PCT#1</v>
      </c>
      <c r="G918" s="1">
        <v>330</v>
      </c>
      <c r="H918" t="str">
        <f>"TRASH PICK UP/PCT#1"</f>
        <v>TRASH PICK UP/PCT#1</v>
      </c>
    </row>
    <row r="919" spans="1:8" x14ac:dyDescent="0.25">
      <c r="A919" t="s">
        <v>183</v>
      </c>
      <c r="B919">
        <v>4306</v>
      </c>
      <c r="C919" s="1">
        <v>2717</v>
      </c>
      <c r="D919" s="6">
        <v>44299</v>
      </c>
      <c r="E919" t="str">
        <f>"419"</f>
        <v>419</v>
      </c>
      <c r="F919" t="str">
        <f>"TOWER RENTAL"</f>
        <v>TOWER RENTAL</v>
      </c>
      <c r="G919" s="1">
        <v>2717</v>
      </c>
      <c r="H919" t="str">
        <f>"TOWER RENTAL"</f>
        <v>TOWER RENTAL</v>
      </c>
    </row>
    <row r="920" spans="1:8" x14ac:dyDescent="0.25">
      <c r="A920" t="s">
        <v>184</v>
      </c>
      <c r="B920">
        <v>135336</v>
      </c>
      <c r="C920" s="1">
        <v>630</v>
      </c>
      <c r="D920" s="6">
        <v>44312</v>
      </c>
      <c r="E920" t="str">
        <f>"4899"</f>
        <v>4899</v>
      </c>
      <c r="F920" t="str">
        <f>"CONSTRUCTION UNIT RENTAL/PARK"</f>
        <v>CONSTRUCTION UNIT RENTAL/PARK</v>
      </c>
      <c r="G920" s="1">
        <v>210</v>
      </c>
      <c r="H920" t="str">
        <f>"CONSTRUCTION UNIT RENTAL/PARK"</f>
        <v>CONSTRUCTION UNIT RENTAL/PARK</v>
      </c>
    </row>
    <row r="921" spans="1:8" x14ac:dyDescent="0.25">
      <c r="E921" t="str">
        <f>"5142"</f>
        <v>5142</v>
      </c>
      <c r="F921" t="str">
        <f>"CONSTRUCTION UNIT RENTAL/PARK"</f>
        <v>CONSTRUCTION UNIT RENTAL/PARK</v>
      </c>
      <c r="G921" s="1">
        <v>210</v>
      </c>
      <c r="H921" t="str">
        <f>"CONSTRUCTION UNIT RENTAL/PARK"</f>
        <v>CONSTRUCTION UNIT RENTAL/PARK</v>
      </c>
    </row>
    <row r="922" spans="1:8" x14ac:dyDescent="0.25">
      <c r="E922" t="str">
        <f>"5435"</f>
        <v>5435</v>
      </c>
      <c r="F922" t="str">
        <f>"CONSTRUCTION UNIT RENTAL/PARK"</f>
        <v>CONSTRUCTION UNIT RENTAL/PARK</v>
      </c>
      <c r="G922" s="1">
        <v>210</v>
      </c>
      <c r="H922" t="str">
        <f>"CONSTRUCTION UNIT RENTAL"</f>
        <v>CONSTRUCTION UNIT RENTAL</v>
      </c>
    </row>
    <row r="923" spans="1:8" x14ac:dyDescent="0.25">
      <c r="A923" t="s">
        <v>185</v>
      </c>
      <c r="B923">
        <v>4263</v>
      </c>
      <c r="C923" s="1">
        <v>1089.18</v>
      </c>
      <c r="D923" s="6">
        <v>44299</v>
      </c>
      <c r="E923" t="str">
        <f>"23234"</f>
        <v>23234</v>
      </c>
      <c r="F923" t="str">
        <f>"Exacq Vision Camera"</f>
        <v>Exacq Vision Camera</v>
      </c>
      <c r="G923" s="1">
        <v>1089.18</v>
      </c>
      <c r="H923" t="str">
        <f>"DIR-SSA-EVIP-01SMITH"</f>
        <v>DIR-SSA-EVIP-01SMITH</v>
      </c>
    </row>
    <row r="924" spans="1:8" x14ac:dyDescent="0.25">
      <c r="E924" t="str">
        <f>""</f>
        <v/>
      </c>
      <c r="F924" t="str">
        <f>""</f>
        <v/>
      </c>
      <c r="H924" t="str">
        <f>"DIR-SSA-EVIP-01ELGIN"</f>
        <v>DIR-SSA-EVIP-01ELGIN</v>
      </c>
    </row>
    <row r="925" spans="1:8" x14ac:dyDescent="0.25">
      <c r="A925" t="s">
        <v>186</v>
      </c>
      <c r="B925">
        <v>4273</v>
      </c>
      <c r="C925" s="1">
        <v>1049</v>
      </c>
      <c r="D925" s="6">
        <v>44299</v>
      </c>
      <c r="E925" t="str">
        <f>"279920"</f>
        <v>279920</v>
      </c>
      <c r="F925" t="str">
        <f>"QUARTERLY FIRE PROTECTION"</f>
        <v>QUARTERLY FIRE PROTECTION</v>
      </c>
      <c r="G925" s="1">
        <v>99</v>
      </c>
      <c r="H925" t="str">
        <f>"QUARTERLY FIRE PROTECTION"</f>
        <v>QUARTERLY FIRE PROTECTION</v>
      </c>
    </row>
    <row r="926" spans="1:8" x14ac:dyDescent="0.25">
      <c r="E926" t="str">
        <f>"279984"</f>
        <v>279984</v>
      </c>
      <c r="F926" t="str">
        <f>"ORDER#20488139/ FISHER BULD."</f>
        <v>ORDER#20488139/ FISHER BULD.</v>
      </c>
      <c r="G926" s="1">
        <v>950</v>
      </c>
      <c r="H926" t="str">
        <f>"ORDER#20488139/ FISHER BULD."</f>
        <v>ORDER#20488139/ FISHER BULD.</v>
      </c>
    </row>
    <row r="927" spans="1:8" x14ac:dyDescent="0.25">
      <c r="A927" t="s">
        <v>187</v>
      </c>
      <c r="B927">
        <v>135337</v>
      </c>
      <c r="C927" s="1">
        <v>51</v>
      </c>
      <c r="D927" s="6">
        <v>44312</v>
      </c>
      <c r="E927" t="str">
        <f>"202104152706"</f>
        <v>202104152706</v>
      </c>
      <c r="F927" t="str">
        <f>"REFUND FEE/KRISTAL WILT"</f>
        <v>REFUND FEE/KRISTAL WILT</v>
      </c>
      <c r="G927" s="1">
        <v>51</v>
      </c>
      <c r="H927" t="str">
        <f>"REFUND FEE/KRISTAL WILT"</f>
        <v>REFUND FEE/KRISTAL WILT</v>
      </c>
    </row>
    <row r="928" spans="1:8" x14ac:dyDescent="0.25">
      <c r="A928" t="s">
        <v>188</v>
      </c>
      <c r="B928">
        <v>135185</v>
      </c>
      <c r="C928" s="1">
        <v>1185.69</v>
      </c>
      <c r="D928" s="6">
        <v>44298</v>
      </c>
      <c r="E928" t="str">
        <f>"R301014765:01"</f>
        <v>R301014765:01</v>
      </c>
      <c r="F928" t="str">
        <f>"ACCT#104992/PCT#1"</f>
        <v>ACCT#104992/PCT#1</v>
      </c>
      <c r="G928" s="1">
        <v>590.15</v>
      </c>
      <c r="H928" t="str">
        <f>"ACCT#104992/PCT#1"</f>
        <v>ACCT#104992/PCT#1</v>
      </c>
    </row>
    <row r="929" spans="1:8" x14ac:dyDescent="0.25">
      <c r="E929" t="str">
        <f>"R30101486:01"</f>
        <v>R30101486:01</v>
      </c>
      <c r="F929" t="str">
        <f>"ACCT#104992/PCT#1"</f>
        <v>ACCT#104992/PCT#1</v>
      </c>
      <c r="G929" s="1">
        <v>541.08000000000004</v>
      </c>
      <c r="H929" t="str">
        <f>"ACCT#104992/PCT#1"</f>
        <v>ACCT#104992/PCT#1</v>
      </c>
    </row>
    <row r="930" spans="1:8" x14ac:dyDescent="0.25">
      <c r="E930" t="str">
        <f>"X301102579"</f>
        <v>X301102579</v>
      </c>
      <c r="F930" t="str">
        <f>"ACCT#1-104992/PCT#1"</f>
        <v>ACCT#1-104992/PCT#1</v>
      </c>
      <c r="G930" s="1">
        <v>54.46</v>
      </c>
      <c r="H930" t="str">
        <f>"ACCT#1-104992/PCT#1"</f>
        <v>ACCT#1-104992/PCT#1</v>
      </c>
    </row>
    <row r="931" spans="1:8" x14ac:dyDescent="0.25">
      <c r="A931" t="s">
        <v>188</v>
      </c>
      <c r="B931">
        <v>135338</v>
      </c>
      <c r="C931" s="1">
        <v>3439.61</v>
      </c>
      <c r="D931" s="6">
        <v>44312</v>
      </c>
      <c r="E931" t="str">
        <f>"R301014846"</f>
        <v>R301014846</v>
      </c>
      <c r="F931" t="str">
        <f>"ACCT#104992/PCT#1"</f>
        <v>ACCT#104992/PCT#1</v>
      </c>
      <c r="G931" s="1">
        <v>3439.61</v>
      </c>
      <c r="H931" t="str">
        <f>"ACCT#104992/PCT#1"</f>
        <v>ACCT#104992/PCT#1</v>
      </c>
    </row>
    <row r="932" spans="1:8" x14ac:dyDescent="0.25">
      <c r="A932" t="s">
        <v>189</v>
      </c>
      <c r="B932">
        <v>135186</v>
      </c>
      <c r="C932" s="1">
        <v>4103.6099999999997</v>
      </c>
      <c r="D932" s="6">
        <v>44298</v>
      </c>
      <c r="E932" t="str">
        <f>"FOCS172957"</f>
        <v>FOCS172957</v>
      </c>
      <c r="F932" t="str">
        <f>"LA GRANGE FORD"</f>
        <v>LA GRANGE FORD</v>
      </c>
      <c r="G932" s="1">
        <v>4103.6099999999997</v>
      </c>
      <c r="H932" t="str">
        <f>"Truck Repair"</f>
        <v>Truck Repair</v>
      </c>
    </row>
    <row r="933" spans="1:8" x14ac:dyDescent="0.25">
      <c r="A933" t="s">
        <v>190</v>
      </c>
      <c r="B933">
        <v>135187</v>
      </c>
      <c r="C933" s="1">
        <v>2270.5300000000002</v>
      </c>
      <c r="D933" s="6">
        <v>44298</v>
      </c>
      <c r="E933" t="str">
        <f>"199911997"</f>
        <v>199911997</v>
      </c>
      <c r="F933" t="str">
        <f>"ACCT#1590/ANIMAL SHELTER"</f>
        <v>ACCT#1590/ANIMAL SHELTER</v>
      </c>
      <c r="G933" s="1">
        <v>27.49</v>
      </c>
      <c r="H933" t="str">
        <f>"ACCT#1590/ANIMAL SHELTER"</f>
        <v>ACCT#1590/ANIMAL SHELTER</v>
      </c>
    </row>
    <row r="934" spans="1:8" x14ac:dyDescent="0.25">
      <c r="E934" t="str">
        <f>"199912012"</f>
        <v>199912012</v>
      </c>
      <c r="F934" t="str">
        <f>"ACCT#1650/PCT#1"</f>
        <v>ACCT#1650/PCT#1</v>
      </c>
      <c r="G934" s="1">
        <v>306.52</v>
      </c>
      <c r="H934" t="str">
        <f>"ACCT#1650/PCT#1"</f>
        <v>ACCT#1650/PCT#1</v>
      </c>
    </row>
    <row r="935" spans="1:8" x14ac:dyDescent="0.25">
      <c r="E935" t="str">
        <f>"199912020"</f>
        <v>199912020</v>
      </c>
      <c r="F935" t="str">
        <f>"ACCT#1750/PCT#3"</f>
        <v>ACCT#1750/PCT#3</v>
      </c>
      <c r="G935" s="1">
        <v>684.42</v>
      </c>
      <c r="H935" t="str">
        <f>"ACCT#1750/PCT#3"</f>
        <v>ACCT#1750/PCT#3</v>
      </c>
    </row>
    <row r="936" spans="1:8" x14ac:dyDescent="0.25">
      <c r="E936" t="str">
        <f>"199912023"</f>
        <v>199912023</v>
      </c>
      <c r="F936" t="str">
        <f>"ACCT#1800/PCT#4"</f>
        <v>ACCT#1800/PCT#4</v>
      </c>
      <c r="G936" s="1">
        <v>1252.0999999999999</v>
      </c>
      <c r="H936" t="str">
        <f>"ACCT#1800/PCT#4"</f>
        <v>ACCT#1800/PCT#4</v>
      </c>
    </row>
    <row r="937" spans="1:8" x14ac:dyDescent="0.25">
      <c r="A937" t="s">
        <v>190</v>
      </c>
      <c r="B937">
        <v>135339</v>
      </c>
      <c r="C937" s="1">
        <v>391.08</v>
      </c>
      <c r="D937" s="6">
        <v>44312</v>
      </c>
      <c r="E937" t="str">
        <f>"199912011"</f>
        <v>199912011</v>
      </c>
      <c r="F937" t="str">
        <f>"ACCT#1645/WILDFIRE MIT"</f>
        <v>ACCT#1645/WILDFIRE MIT</v>
      </c>
      <c r="G937" s="1">
        <v>391.08</v>
      </c>
      <c r="H937" t="str">
        <f>"ACCT#1645/WILDFIRE MIT"</f>
        <v>ACCT#1645/WILDFIRE MIT</v>
      </c>
    </row>
    <row r="938" spans="1:8" x14ac:dyDescent="0.25">
      <c r="A938" t="s">
        <v>191</v>
      </c>
      <c r="B938">
        <v>4258</v>
      </c>
      <c r="C938" s="1">
        <v>2444.4</v>
      </c>
      <c r="D938" s="6">
        <v>44299</v>
      </c>
      <c r="E938" t="str">
        <f>"03177320"</f>
        <v>03177320</v>
      </c>
      <c r="F938" t="str">
        <f>"INV 03177320"</f>
        <v>INV 03177320</v>
      </c>
      <c r="G938" s="1">
        <v>2444.4</v>
      </c>
      <c r="H938" t="str">
        <f>"INV 03177320"</f>
        <v>INV 03177320</v>
      </c>
    </row>
    <row r="939" spans="1:8" x14ac:dyDescent="0.25">
      <c r="E939" t="str">
        <f>""</f>
        <v/>
      </c>
      <c r="F939" t="str">
        <f>""</f>
        <v/>
      </c>
      <c r="H939" t="str">
        <f>"INV 03243995"</f>
        <v>INV 03243995</v>
      </c>
    </row>
    <row r="940" spans="1:8" x14ac:dyDescent="0.25">
      <c r="E940" t="str">
        <f>""</f>
        <v/>
      </c>
      <c r="F940" t="str">
        <f>""</f>
        <v/>
      </c>
      <c r="H940" t="str">
        <f>"INV 03314168"</f>
        <v>INV 03314168</v>
      </c>
    </row>
    <row r="941" spans="1:8" x14ac:dyDescent="0.25">
      <c r="A941" t="s">
        <v>191</v>
      </c>
      <c r="B941">
        <v>4335</v>
      </c>
      <c r="C941" s="1">
        <v>2162.54</v>
      </c>
      <c r="D941" s="6">
        <v>44313</v>
      </c>
      <c r="E941" t="str">
        <f>"21-27338"</f>
        <v>21-27338</v>
      </c>
      <c r="F941" t="str">
        <f>"INV 04073278  04143723"</f>
        <v>INV 04073278  04143723</v>
      </c>
      <c r="G941" s="1">
        <v>2162.54</v>
      </c>
      <c r="H941" t="str">
        <f>"INV 04073278"</f>
        <v>INV 04073278</v>
      </c>
    </row>
    <row r="942" spans="1:8" x14ac:dyDescent="0.25">
      <c r="E942" t="str">
        <f>""</f>
        <v/>
      </c>
      <c r="F942" t="str">
        <f>""</f>
        <v/>
      </c>
      <c r="H942" t="str">
        <f>"INV 04143723"</f>
        <v>INV 04143723</v>
      </c>
    </row>
    <row r="943" spans="1:8" x14ac:dyDescent="0.25">
      <c r="A943" t="s">
        <v>192</v>
      </c>
      <c r="B943">
        <v>4313</v>
      </c>
      <c r="C943" s="1">
        <v>3500</v>
      </c>
      <c r="D943" s="6">
        <v>44299</v>
      </c>
      <c r="E943" t="str">
        <f>"4181"</f>
        <v>4181</v>
      </c>
      <c r="F943" t="str">
        <f>"STONY POINT SEWER #7219021"</f>
        <v>STONY POINT SEWER #7219021</v>
      </c>
      <c r="G943" s="1">
        <v>3500</v>
      </c>
      <c r="H943" t="str">
        <f>"STONY POINT SEWER #7219021"</f>
        <v>STONY POINT SEWER #7219021</v>
      </c>
    </row>
    <row r="944" spans="1:8" x14ac:dyDescent="0.25">
      <c r="A944" t="s">
        <v>193</v>
      </c>
      <c r="B944">
        <v>4363</v>
      </c>
      <c r="C944" s="1">
        <v>150</v>
      </c>
      <c r="D944" s="6">
        <v>44313</v>
      </c>
      <c r="E944" t="str">
        <f>"156911"</f>
        <v>156911</v>
      </c>
      <c r="F944" t="str">
        <f>"CLEANING SERVICE/PCT#2"</f>
        <v>CLEANING SERVICE/PCT#2</v>
      </c>
      <c r="G944" s="1">
        <v>150</v>
      </c>
      <c r="H944" t="str">
        <f>"CLEANING SERVICE/PCT#2"</f>
        <v>CLEANING SERVICE/PCT#2</v>
      </c>
    </row>
    <row r="945" spans="1:8" x14ac:dyDescent="0.25">
      <c r="A945" t="s">
        <v>194</v>
      </c>
      <c r="B945">
        <v>135340</v>
      </c>
      <c r="C945" s="1">
        <v>547.44000000000005</v>
      </c>
      <c r="D945" s="6">
        <v>44312</v>
      </c>
      <c r="E945" t="str">
        <f>"202104192724"</f>
        <v>202104192724</v>
      </c>
      <c r="F945" t="str">
        <f>"CASE #423-6246/BLAS COY JR."</f>
        <v>CASE #423-6246/BLAS COY JR.</v>
      </c>
      <c r="G945" s="1">
        <v>547.44000000000005</v>
      </c>
      <c r="H945" t="str">
        <f>"CASE #423-6246/BLAS COY JR."</f>
        <v>CASE #423-6246/BLAS COY JR.</v>
      </c>
    </row>
    <row r="946" spans="1:8" x14ac:dyDescent="0.25">
      <c r="A946" t="s">
        <v>195</v>
      </c>
      <c r="B946">
        <v>135188</v>
      </c>
      <c r="C946" s="1">
        <v>6737.48</v>
      </c>
      <c r="D946" s="6">
        <v>44298</v>
      </c>
      <c r="E946" t="str">
        <f>"371509"</f>
        <v>371509</v>
      </c>
      <c r="F946" t="str">
        <f>"CUST#BARRCON/PCT#1"</f>
        <v>CUST#BARRCON/PCT#1</v>
      </c>
      <c r="G946" s="1">
        <v>6737.48</v>
      </c>
      <c r="H946" t="str">
        <f>"CUST#BARRCON/PCT#1"</f>
        <v>CUST#BARRCON/PCT#1</v>
      </c>
    </row>
    <row r="947" spans="1:8" x14ac:dyDescent="0.25">
      <c r="A947" t="s">
        <v>196</v>
      </c>
      <c r="B947">
        <v>135189</v>
      </c>
      <c r="C947" s="1">
        <v>250</v>
      </c>
      <c r="D947" s="6">
        <v>44298</v>
      </c>
      <c r="E947" t="str">
        <f>"1"</f>
        <v>1</v>
      </c>
      <c r="F947" t="str">
        <f>"ACCT#2021106-0"</f>
        <v>ACCT#2021106-0</v>
      </c>
      <c r="G947" s="1">
        <v>250</v>
      </c>
      <c r="H947" t="str">
        <f>"ACCT#2021106-0"</f>
        <v>ACCT#2021106-0</v>
      </c>
    </row>
    <row r="948" spans="1:8" x14ac:dyDescent="0.25">
      <c r="A948" t="s">
        <v>197</v>
      </c>
      <c r="B948">
        <v>135190</v>
      </c>
      <c r="C948" s="1">
        <v>1400</v>
      </c>
      <c r="D948" s="6">
        <v>44298</v>
      </c>
      <c r="E948" t="str">
        <f>"202103242260"</f>
        <v>202103242260</v>
      </c>
      <c r="F948" t="str">
        <f>"TRAINING/RACHEL ETHEREDGE"</f>
        <v>TRAINING/RACHEL ETHEREDGE</v>
      </c>
      <c r="G948" s="1">
        <v>320</v>
      </c>
      <c r="H948" t="str">
        <f>"TRAINING/RACHEL ETHEREDGE"</f>
        <v>TRAINING/RACHEL ETHEREDGE</v>
      </c>
    </row>
    <row r="949" spans="1:8" x14ac:dyDescent="0.25">
      <c r="E949" t="str">
        <f>"202104072504"</f>
        <v>202104072504</v>
      </c>
      <c r="F949" t="str">
        <f>"TRAINING/VANESSA FUENTES"</f>
        <v>TRAINING/VANESSA FUENTES</v>
      </c>
      <c r="G949" s="1">
        <v>220</v>
      </c>
      <c r="H949" t="str">
        <f>"3/25/21 TR4375-00011-000077"</f>
        <v>3/25/21 TR4375-00011-000077</v>
      </c>
    </row>
    <row r="950" spans="1:8" x14ac:dyDescent="0.25">
      <c r="E950" t="str">
        <f>"202104072505"</f>
        <v>202104072505</v>
      </c>
      <c r="F950" t="str">
        <f>"TRAINING/DEANNA CARTER"</f>
        <v>TRAINING/DEANNA CARTER</v>
      </c>
      <c r="G950" s="1">
        <v>220</v>
      </c>
      <c r="H950" t="str">
        <f>"3/22/21 TR4375-00011-00035 FEE"</f>
        <v>3/22/21 TR4375-00011-00035 FEE</v>
      </c>
    </row>
    <row r="951" spans="1:8" x14ac:dyDescent="0.25">
      <c r="E951" t="str">
        <f>"202104072506"</f>
        <v>202104072506</v>
      </c>
      <c r="F951" t="str">
        <f>"MELISSA KINCAID"</f>
        <v>MELISSA KINCAID</v>
      </c>
      <c r="G951" s="1">
        <v>320</v>
      </c>
      <c r="H951" t="str">
        <f>"MELISSA KINCAID"</f>
        <v>MELISSA KINCAID</v>
      </c>
    </row>
    <row r="952" spans="1:8" x14ac:dyDescent="0.25">
      <c r="E952" t="str">
        <f>"202104072507"</f>
        <v>202104072507</v>
      </c>
      <c r="F952" t="str">
        <f>"AMBER QUINLEY"</f>
        <v>AMBER QUINLEY</v>
      </c>
      <c r="G952" s="1">
        <v>320</v>
      </c>
      <c r="H952" t="str">
        <f>"AMBER QUINLEY"</f>
        <v>AMBER QUINLEY</v>
      </c>
    </row>
    <row r="953" spans="1:8" x14ac:dyDescent="0.25">
      <c r="A953" t="s">
        <v>197</v>
      </c>
      <c r="B953">
        <v>135341</v>
      </c>
      <c r="C953" s="1">
        <v>540</v>
      </c>
      <c r="D953" s="6">
        <v>44312</v>
      </c>
      <c r="E953" t="str">
        <f>"00011-000046"</f>
        <v>00011-000046</v>
      </c>
      <c r="F953" t="str">
        <f>"TRAINING/BROOKE EXNER"</f>
        <v>TRAINING/BROOKE EXNER</v>
      </c>
      <c r="G953" s="1">
        <v>220</v>
      </c>
      <c r="H953" t="str">
        <f>"TRAINING/BROOKE EXNER"</f>
        <v>TRAINING/BROOKE EXNER</v>
      </c>
    </row>
    <row r="954" spans="1:8" x14ac:dyDescent="0.25">
      <c r="E954" t="str">
        <f>"00012-000227"</f>
        <v>00012-000227</v>
      </c>
      <c r="F954" t="str">
        <f>"TRAINING/JENNIFER PACHECO"</f>
        <v>TRAINING/JENNIFER PACHECO</v>
      </c>
      <c r="G954" s="1">
        <v>320</v>
      </c>
      <c r="H954" t="str">
        <f>"TRAINING/JENNIFER PACHECO"</f>
        <v>TRAINING/JENNIFER PACHECO</v>
      </c>
    </row>
    <row r="955" spans="1:8" x14ac:dyDescent="0.25">
      <c r="A955" t="s">
        <v>198</v>
      </c>
      <c r="B955">
        <v>135342</v>
      </c>
      <c r="C955" s="1">
        <v>150</v>
      </c>
      <c r="D955" s="6">
        <v>44312</v>
      </c>
      <c r="E955" t="str">
        <f>"13541"</f>
        <v>13541</v>
      </c>
      <c r="F955" t="str">
        <f>"SERVICE"</f>
        <v>SERVICE</v>
      </c>
      <c r="G955" s="1">
        <v>150</v>
      </c>
      <c r="H955" t="str">
        <f>"SERVICE"</f>
        <v>SERVICE</v>
      </c>
    </row>
    <row r="956" spans="1:8" x14ac:dyDescent="0.25">
      <c r="A956" t="s">
        <v>199</v>
      </c>
      <c r="B956">
        <v>135343</v>
      </c>
      <c r="C956" s="1">
        <v>25</v>
      </c>
      <c r="D956" s="6">
        <v>44312</v>
      </c>
      <c r="E956" t="str">
        <f>"202104152701"</f>
        <v>202104152701</v>
      </c>
      <c r="F956" t="str">
        <f>"PROJECT#2021-830/LENNAR HOMES"</f>
        <v>PROJECT#2021-830/LENNAR HOMES</v>
      </c>
      <c r="G956" s="1">
        <v>25</v>
      </c>
      <c r="H956" t="str">
        <f>"PROJECT#2021-830/LENNAR HOMES"</f>
        <v>PROJECT#2021-830/LENNAR HOMES</v>
      </c>
    </row>
    <row r="957" spans="1:8" x14ac:dyDescent="0.25">
      <c r="A957" t="s">
        <v>200</v>
      </c>
      <c r="B957">
        <v>135191</v>
      </c>
      <c r="C957" s="1">
        <v>603.83000000000004</v>
      </c>
      <c r="D957" s="6">
        <v>44298</v>
      </c>
      <c r="E957" t="str">
        <f>"0561412035"</f>
        <v>0561412035</v>
      </c>
      <c r="F957" t="str">
        <f>"INV 0561412035"</f>
        <v>INV 0561412035</v>
      </c>
      <c r="G957" s="1">
        <v>603.83000000000004</v>
      </c>
      <c r="H957" t="str">
        <f>"INV 0561412035"</f>
        <v>INV 0561412035</v>
      </c>
    </row>
    <row r="958" spans="1:8" x14ac:dyDescent="0.25">
      <c r="E958" t="str">
        <f>""</f>
        <v/>
      </c>
      <c r="F958" t="str">
        <f>""</f>
        <v/>
      </c>
      <c r="H958" t="str">
        <f>"INV 134162 (CREDIT)"</f>
        <v>INV 134162 (CREDIT)</v>
      </c>
    </row>
    <row r="959" spans="1:8" x14ac:dyDescent="0.25">
      <c r="A959" t="s">
        <v>201</v>
      </c>
      <c r="B959">
        <v>135344</v>
      </c>
      <c r="C959" s="1">
        <v>150</v>
      </c>
      <c r="D959" s="6">
        <v>44312</v>
      </c>
      <c r="E959" t="str">
        <f>"21289"</f>
        <v>21289</v>
      </c>
      <c r="F959" t="str">
        <f>"CAUSE#1SC-0002-21/INTERPRETING"</f>
        <v>CAUSE#1SC-0002-21/INTERPRETING</v>
      </c>
      <c r="G959" s="1">
        <v>150</v>
      </c>
      <c r="H959" t="str">
        <f>"CAUSE#1SC-0002-21/INTERPRETING"</f>
        <v>CAUSE#1SC-0002-21/INTERPRETING</v>
      </c>
    </row>
    <row r="960" spans="1:8" x14ac:dyDescent="0.25">
      <c r="A960" t="s">
        <v>202</v>
      </c>
      <c r="B960">
        <v>135192</v>
      </c>
      <c r="C960" s="1">
        <v>497.5</v>
      </c>
      <c r="D960" s="6">
        <v>44298</v>
      </c>
      <c r="E960" t="str">
        <f>"1211621-20210331"</f>
        <v>1211621-20210331</v>
      </c>
      <c r="F960" t="str">
        <f>"ACCT#1211621/HEALTH SRVS"</f>
        <v>ACCT#1211621/HEALTH SRVS</v>
      </c>
      <c r="G960" s="1">
        <v>148.5</v>
      </c>
      <c r="H960" t="str">
        <f>"ACCT#1211621/HEALTH SRVS"</f>
        <v>ACCT#1211621/HEALTH SRVS</v>
      </c>
    </row>
    <row r="961" spans="1:8" x14ac:dyDescent="0.25">
      <c r="E961" t="str">
        <f>"1394645-20210331"</f>
        <v>1394645-20210331</v>
      </c>
      <c r="F961" t="str">
        <f>"BILL ID#1394645/COUNTY CLERK"</f>
        <v>BILL ID#1394645/COUNTY CLERK</v>
      </c>
      <c r="G961" s="1">
        <v>50</v>
      </c>
      <c r="H961" t="str">
        <f>"BILL ID#1394645/COUNTY CLERK"</f>
        <v>BILL ID#1394645/COUNTY CLERK</v>
      </c>
    </row>
    <row r="962" spans="1:8" x14ac:dyDescent="0.25">
      <c r="E962" t="str">
        <f>"1420944-20210331"</f>
        <v>1420944-20210331</v>
      </c>
      <c r="F962" t="str">
        <f>"BILL ID#1420944/S.O."</f>
        <v>BILL ID#1420944/S.O.</v>
      </c>
      <c r="G962" s="1">
        <v>299</v>
      </c>
      <c r="H962" t="str">
        <f>"BILL ID#1420944/S.O."</f>
        <v>BILL ID#1420944/S.O.</v>
      </c>
    </row>
    <row r="963" spans="1:8" x14ac:dyDescent="0.25">
      <c r="A963" t="s">
        <v>202</v>
      </c>
      <c r="B963">
        <v>135345</v>
      </c>
      <c r="C963" s="1">
        <v>50</v>
      </c>
      <c r="D963" s="6">
        <v>44312</v>
      </c>
      <c r="E963" t="str">
        <f>"1489870-20210331"</f>
        <v>1489870-20210331</v>
      </c>
      <c r="F963" t="str">
        <f>"BILL ID#1489870/DISTRICT CLERK"</f>
        <v>BILL ID#1489870/DISTRICT CLERK</v>
      </c>
      <c r="G963" s="1">
        <v>50</v>
      </c>
      <c r="H963" t="str">
        <f>"BILL ID#1489870/DISTRICT CLERK"</f>
        <v>BILL ID#1489870/DISTRICT CLERK</v>
      </c>
    </row>
    <row r="964" spans="1:8" x14ac:dyDescent="0.25">
      <c r="A964" t="s">
        <v>203</v>
      </c>
      <c r="B964">
        <v>135346</v>
      </c>
      <c r="C964" s="1">
        <v>965.75</v>
      </c>
      <c r="D964" s="6">
        <v>44312</v>
      </c>
      <c r="E964" t="str">
        <f>"20115697"</f>
        <v>20115697</v>
      </c>
      <c r="F964" t="str">
        <f>"ACCT#15717"</f>
        <v>ACCT#15717</v>
      </c>
      <c r="G964" s="1">
        <v>965.75</v>
      </c>
      <c r="H964" t="str">
        <f>"ACCT#15717"</f>
        <v>ACCT#15717</v>
      </c>
    </row>
    <row r="965" spans="1:8" x14ac:dyDescent="0.25">
      <c r="A965" t="s">
        <v>204</v>
      </c>
      <c r="B965">
        <v>135193</v>
      </c>
      <c r="C965" s="1">
        <v>75</v>
      </c>
      <c r="D965" s="6">
        <v>44298</v>
      </c>
      <c r="E965" t="str">
        <f>"13299"</f>
        <v>13299</v>
      </c>
      <c r="F965" t="str">
        <f>"REFUND TAX FEES/LINDA CONNER"</f>
        <v>REFUND TAX FEES/LINDA CONNER</v>
      </c>
      <c r="G965" s="1">
        <v>75</v>
      </c>
      <c r="H965" t="str">
        <f>"REFUND TAX FEES/LINDA CONNER"</f>
        <v>REFUND TAX FEES/LINDA CONNER</v>
      </c>
    </row>
    <row r="966" spans="1:8" x14ac:dyDescent="0.25">
      <c r="A966" t="s">
        <v>205</v>
      </c>
      <c r="B966">
        <v>135347</v>
      </c>
      <c r="C966" s="1">
        <v>60</v>
      </c>
      <c r="D966" s="6">
        <v>44312</v>
      </c>
      <c r="E966" t="str">
        <f>"202104202779"</f>
        <v>202104202779</v>
      </c>
      <c r="F966" t="str">
        <f>"LISA BARRIGA"</f>
        <v>LISA BARRIGA</v>
      </c>
      <c r="G966" s="1">
        <v>60</v>
      </c>
      <c r="H966" t="str">
        <f>""</f>
        <v/>
      </c>
    </row>
    <row r="967" spans="1:8" x14ac:dyDescent="0.25">
      <c r="A967" t="s">
        <v>206</v>
      </c>
      <c r="B967">
        <v>4280</v>
      </c>
      <c r="C967" s="1">
        <v>18264.060000000001</v>
      </c>
      <c r="D967" s="6">
        <v>44299</v>
      </c>
      <c r="E967" t="str">
        <f>"202103242263"</f>
        <v>202103242263</v>
      </c>
      <c r="F967" t="str">
        <f>"HOME VIST GRANT REIMBURSEMENT"</f>
        <v>HOME VIST GRANT REIMBURSEMENT</v>
      </c>
      <c r="G967" s="1">
        <v>18264.060000000001</v>
      </c>
      <c r="H967" t="str">
        <f>"HOME VIST GRANT REIMBURSEMENT"</f>
        <v>HOME VIST GRANT REIMBURSEMENT</v>
      </c>
    </row>
    <row r="968" spans="1:8" x14ac:dyDescent="0.25">
      <c r="A968" t="s">
        <v>206</v>
      </c>
      <c r="B968">
        <v>4355</v>
      </c>
      <c r="C968" s="1">
        <v>18732.990000000002</v>
      </c>
      <c r="D968" s="6">
        <v>44313</v>
      </c>
      <c r="E968" t="str">
        <f>"202104152707"</f>
        <v>202104152707</v>
      </c>
      <c r="F968" t="str">
        <f>"HOME VISIST GRANT/FEB"</f>
        <v>HOME VISIST GRANT/FEB</v>
      </c>
      <c r="G968" s="1">
        <v>18081.12</v>
      </c>
      <c r="H968" t="str">
        <f>"HOME VISIST GRANT/FEB"</f>
        <v>HOME VISIST GRANT/FEB</v>
      </c>
    </row>
    <row r="969" spans="1:8" x14ac:dyDescent="0.25">
      <c r="E969" t="str">
        <f>"202104212810"</f>
        <v>202104212810</v>
      </c>
      <c r="F969" t="str">
        <f>"INDIGENT HEALTH"</f>
        <v>INDIGENT HEALTH</v>
      </c>
      <c r="G969" s="1">
        <v>651.87</v>
      </c>
      <c r="H969" t="str">
        <f>"INDIGENT HEALTH"</f>
        <v>INDIGENT HEALTH</v>
      </c>
    </row>
    <row r="970" spans="1:8" x14ac:dyDescent="0.25">
      <c r="E970" t="str">
        <f>""</f>
        <v/>
      </c>
      <c r="F970" t="str">
        <f>""</f>
        <v/>
      </c>
      <c r="H970" t="str">
        <f>"INDIGENT HEALTH"</f>
        <v>INDIGENT HEALTH</v>
      </c>
    </row>
    <row r="971" spans="1:8" x14ac:dyDescent="0.25">
      <c r="A971" t="s">
        <v>207</v>
      </c>
      <c r="B971">
        <v>4353</v>
      </c>
      <c r="C971" s="1">
        <v>590</v>
      </c>
      <c r="D971" s="6">
        <v>44313</v>
      </c>
      <c r="E971" t="str">
        <f>"2021-1266"</f>
        <v>2021-1266</v>
      </c>
      <c r="F971" t="str">
        <f>"INV 2021-1266"</f>
        <v>INV 2021-1266</v>
      </c>
      <c r="G971" s="1">
        <v>590</v>
      </c>
      <c r="H971" t="str">
        <f>"INV 2021-1266"</f>
        <v>INV 2021-1266</v>
      </c>
    </row>
    <row r="972" spans="1:8" x14ac:dyDescent="0.25">
      <c r="A972" t="s">
        <v>208</v>
      </c>
      <c r="B972">
        <v>135348</v>
      </c>
      <c r="C972" s="1">
        <v>54.41</v>
      </c>
      <c r="D972" s="6">
        <v>44312</v>
      </c>
      <c r="E972" t="str">
        <f>"202104212802"</f>
        <v>202104212802</v>
      </c>
      <c r="F972" t="str">
        <f>"JAIL MEDICAL"</f>
        <v>JAIL MEDICAL</v>
      </c>
      <c r="G972" s="1">
        <v>54.41</v>
      </c>
      <c r="H972" t="str">
        <f>"JAIL MEDICAL"</f>
        <v>JAIL MEDICAL</v>
      </c>
    </row>
    <row r="973" spans="1:8" x14ac:dyDescent="0.25">
      <c r="A973" t="s">
        <v>209</v>
      </c>
      <c r="B973">
        <v>135194</v>
      </c>
      <c r="C973" s="1">
        <v>289.95</v>
      </c>
      <c r="D973" s="6">
        <v>44298</v>
      </c>
      <c r="E973" t="str">
        <f>"108879"</f>
        <v>108879</v>
      </c>
      <c r="F973" t="str">
        <f>"ACCT#237/PCT#2"</f>
        <v>ACCT#237/PCT#2</v>
      </c>
      <c r="G973" s="1">
        <v>289.95</v>
      </c>
      <c r="H973" t="str">
        <f>"ACCT#237/PCT#2"</f>
        <v>ACCT#237/PCT#2</v>
      </c>
    </row>
    <row r="974" spans="1:8" x14ac:dyDescent="0.25">
      <c r="A974" t="s">
        <v>210</v>
      </c>
      <c r="B974">
        <v>4286</v>
      </c>
      <c r="C974" s="1">
        <v>325</v>
      </c>
      <c r="D974" s="6">
        <v>44299</v>
      </c>
      <c r="E974" t="str">
        <f>"202104062439"</f>
        <v>202104062439</v>
      </c>
      <c r="F974" t="str">
        <f>"TRASH REMOVAL/ STEVE GRANADO"</f>
        <v>TRASH REMOVAL/ STEVE GRANADO</v>
      </c>
      <c r="G974" s="1">
        <v>292.5</v>
      </c>
      <c r="H974" t="str">
        <f>"TRASH REMOVAL/ STEVE GRANADO"</f>
        <v>TRASH REMOVAL/ STEVE GRANADO</v>
      </c>
    </row>
    <row r="975" spans="1:8" x14ac:dyDescent="0.25">
      <c r="E975" t="str">
        <f>"202104062444"</f>
        <v>202104062444</v>
      </c>
      <c r="F975" t="str">
        <f>"TRASH REMOVAL/LONNIE LAWRENCE"</f>
        <v>TRASH REMOVAL/LONNIE LAWRENCE</v>
      </c>
      <c r="G975" s="1">
        <v>32.5</v>
      </c>
      <c r="H975" t="str">
        <f>"TRASH REMOVAL/LONNIE LAWRENCE"</f>
        <v>TRASH REMOVAL/LONNIE LAWRENCE</v>
      </c>
    </row>
    <row r="976" spans="1:8" x14ac:dyDescent="0.25">
      <c r="A976" t="s">
        <v>210</v>
      </c>
      <c r="B976">
        <v>4359</v>
      </c>
      <c r="C976" s="1">
        <v>676</v>
      </c>
      <c r="D976" s="6">
        <v>44313</v>
      </c>
      <c r="E976" t="str">
        <f>"202104202769"</f>
        <v>202104202769</v>
      </c>
      <c r="F976" t="str">
        <f>"TRASH REMOVAL/LONNIE DAVIS JR"</f>
        <v>TRASH REMOVAL/LONNIE DAVIS JR</v>
      </c>
      <c r="G976" s="1">
        <v>676</v>
      </c>
      <c r="H976" t="str">
        <f>"TRASH REMOVAL/LONNIE DAVIS JR"</f>
        <v>TRASH REMOVAL/LONNIE DAVIS JR</v>
      </c>
    </row>
    <row r="977" spans="1:8" x14ac:dyDescent="0.25">
      <c r="A977" t="s">
        <v>211</v>
      </c>
      <c r="B977">
        <v>4312</v>
      </c>
      <c r="C977" s="1">
        <v>90</v>
      </c>
      <c r="D977" s="6">
        <v>44299</v>
      </c>
      <c r="E977" t="str">
        <f>"10-0113215"</f>
        <v>10-0113215</v>
      </c>
      <c r="F977" t="str">
        <f>"INV 10-0113215/0114358/.."</f>
        <v>INV 10-0113215/0114358/..</v>
      </c>
      <c r="G977" s="1">
        <v>90</v>
      </c>
      <c r="H977" t="str">
        <f>"INV 10-0113215"</f>
        <v>INV 10-0113215</v>
      </c>
    </row>
    <row r="978" spans="1:8" x14ac:dyDescent="0.25">
      <c r="E978" t="str">
        <f>""</f>
        <v/>
      </c>
      <c r="F978" t="str">
        <f>""</f>
        <v/>
      </c>
      <c r="H978" t="str">
        <f>"INV 10-0114358"</f>
        <v>INV 10-0114358</v>
      </c>
    </row>
    <row r="979" spans="1:8" x14ac:dyDescent="0.25">
      <c r="E979" t="str">
        <f>""</f>
        <v/>
      </c>
      <c r="F979" t="str">
        <f>""</f>
        <v/>
      </c>
      <c r="H979" t="str">
        <f>"INV10-0114850"</f>
        <v>INV10-0114850</v>
      </c>
    </row>
    <row r="980" spans="1:8" x14ac:dyDescent="0.25">
      <c r="A980" t="s">
        <v>212</v>
      </c>
      <c r="B980">
        <v>135195</v>
      </c>
      <c r="C980" s="1">
        <v>969.06</v>
      </c>
      <c r="D980" s="6">
        <v>44298</v>
      </c>
      <c r="E980" t="str">
        <f>"910921"</f>
        <v>910921</v>
      </c>
      <c r="F980" t="str">
        <f>"Statement"</f>
        <v>Statement</v>
      </c>
      <c r="G980" s="1">
        <v>969.06</v>
      </c>
      <c r="H980" t="str">
        <f>"910921"</f>
        <v>910921</v>
      </c>
    </row>
    <row r="981" spans="1:8" x14ac:dyDescent="0.25">
      <c r="E981" t="str">
        <f>""</f>
        <v/>
      </c>
      <c r="F981" t="str">
        <f>""</f>
        <v/>
      </c>
      <c r="H981" t="str">
        <f>"913245"</f>
        <v>913245</v>
      </c>
    </row>
    <row r="982" spans="1:8" x14ac:dyDescent="0.25">
      <c r="E982" t="str">
        <f>""</f>
        <v/>
      </c>
      <c r="F982" t="str">
        <f>""</f>
        <v/>
      </c>
      <c r="H982" t="str">
        <f>"910178"</f>
        <v>910178</v>
      </c>
    </row>
    <row r="983" spans="1:8" x14ac:dyDescent="0.25">
      <c r="E983" t="str">
        <f>""</f>
        <v/>
      </c>
      <c r="F983" t="str">
        <f>""</f>
        <v/>
      </c>
      <c r="H983" t="str">
        <f>"912465"</f>
        <v>912465</v>
      </c>
    </row>
    <row r="984" spans="1:8" x14ac:dyDescent="0.25">
      <c r="E984" t="str">
        <f>""</f>
        <v/>
      </c>
      <c r="F984" t="str">
        <f>""</f>
        <v/>
      </c>
      <c r="H984" t="str">
        <f>"907697"</f>
        <v>907697</v>
      </c>
    </row>
    <row r="985" spans="1:8" x14ac:dyDescent="0.25">
      <c r="E985" t="str">
        <f>""</f>
        <v/>
      </c>
      <c r="F985" t="str">
        <f>""</f>
        <v/>
      </c>
      <c r="H985" t="str">
        <f>"910640"</f>
        <v>910640</v>
      </c>
    </row>
    <row r="986" spans="1:8" x14ac:dyDescent="0.25">
      <c r="E986" t="str">
        <f>""</f>
        <v/>
      </c>
      <c r="F986" t="str">
        <f>""</f>
        <v/>
      </c>
      <c r="H986" t="str">
        <f>"917280"</f>
        <v>917280</v>
      </c>
    </row>
    <row r="987" spans="1:8" x14ac:dyDescent="0.25">
      <c r="E987" t="str">
        <f>""</f>
        <v/>
      </c>
      <c r="F987" t="str">
        <f>""</f>
        <v/>
      </c>
      <c r="H987" t="str">
        <f>"918551"</f>
        <v>918551</v>
      </c>
    </row>
    <row r="988" spans="1:8" x14ac:dyDescent="0.25">
      <c r="A988" t="s">
        <v>213</v>
      </c>
      <c r="B988">
        <v>4371</v>
      </c>
      <c r="C988" s="1">
        <v>62710.45</v>
      </c>
      <c r="D988" s="6">
        <v>44313</v>
      </c>
      <c r="E988" t="str">
        <f>"202104202762"</f>
        <v>202104202762</v>
      </c>
      <c r="F988" t="str">
        <f>"STONY POINT PHASE 7-PAYMENT 2"</f>
        <v>STONY POINT PHASE 7-PAYMENT 2</v>
      </c>
      <c r="G988" s="1">
        <v>38874</v>
      </c>
      <c r="H988" t="str">
        <f>"STONY POINT PHASE 7-PAYMENT 2"</f>
        <v>STONY POINT PHASE 7-PAYMENT 2</v>
      </c>
    </row>
    <row r="989" spans="1:8" x14ac:dyDescent="0.25">
      <c r="E989" t="str">
        <f>"202104202763"</f>
        <v>202104202763</v>
      </c>
      <c r="F989" t="str">
        <f>"STONY POINT PHASE 7-PAYMENT 3"</f>
        <v>STONY POINT PHASE 7-PAYMENT 3</v>
      </c>
      <c r="G989" s="1">
        <v>23836.45</v>
      </c>
      <c r="H989" t="str">
        <f>"STONY POINT PHASE 7-PAYMENT 3"</f>
        <v>STONY POINT PHASE 7-PAYMENT 3</v>
      </c>
    </row>
    <row r="990" spans="1:8" x14ac:dyDescent="0.25">
      <c r="A990" t="s">
        <v>214</v>
      </c>
      <c r="B990">
        <v>135349</v>
      </c>
      <c r="C990" s="1">
        <v>115</v>
      </c>
      <c r="D990" s="6">
        <v>44312</v>
      </c>
      <c r="E990" t="str">
        <f>"14-108"</f>
        <v>14-108</v>
      </c>
      <c r="F990" t="str">
        <f>"RESTITUTION/LANCE SADECKY"</f>
        <v>RESTITUTION/LANCE SADECKY</v>
      </c>
      <c r="G990" s="1">
        <v>115</v>
      </c>
      <c r="H990" t="str">
        <f>"RESTITUTION/LANCE SADECKY"</f>
        <v>RESTITUTION/LANCE SADECKY</v>
      </c>
    </row>
    <row r="991" spans="1:8" x14ac:dyDescent="0.25">
      <c r="A991" t="s">
        <v>215</v>
      </c>
      <c r="B991">
        <v>4348</v>
      </c>
      <c r="C991" s="1">
        <v>251.23</v>
      </c>
      <c r="D991" s="6">
        <v>44313</v>
      </c>
      <c r="E991" t="str">
        <f>"202104212784"</f>
        <v>202104212784</v>
      </c>
      <c r="F991" t="str">
        <f>"INTERPRETER"</f>
        <v>INTERPRETER</v>
      </c>
      <c r="G991" s="1">
        <v>251.23</v>
      </c>
      <c r="H991" t="str">
        <f>"INTERPRETER"</f>
        <v>INTERPRETER</v>
      </c>
    </row>
    <row r="992" spans="1:8" x14ac:dyDescent="0.25">
      <c r="A992" t="s">
        <v>216</v>
      </c>
      <c r="B992">
        <v>135350</v>
      </c>
      <c r="C992" s="1">
        <v>135</v>
      </c>
      <c r="D992" s="6">
        <v>44312</v>
      </c>
      <c r="E992" t="str">
        <f>"202104202774"</f>
        <v>202104202774</v>
      </c>
      <c r="F992" t="str">
        <f>"PER DIEM FOR TRAINING"</f>
        <v>PER DIEM FOR TRAINING</v>
      </c>
      <c r="G992" s="1">
        <v>135</v>
      </c>
      <c r="H992" t="str">
        <f>"PER DIEM FOR TRAINING"</f>
        <v>PER DIEM FOR TRAINING</v>
      </c>
    </row>
    <row r="993" spans="1:8" x14ac:dyDescent="0.25">
      <c r="A993" t="s">
        <v>217</v>
      </c>
      <c r="B993">
        <v>4281</v>
      </c>
      <c r="C993" s="1">
        <v>250</v>
      </c>
      <c r="D993" s="6">
        <v>44299</v>
      </c>
      <c r="E993" t="str">
        <f>"202103312389"</f>
        <v>202103312389</v>
      </c>
      <c r="F993" t="str">
        <f>"REIMBURSEMENT/ MARK MEUTH"</f>
        <v>REIMBURSEMENT/ MARK MEUTH</v>
      </c>
      <c r="G993" s="1">
        <v>250</v>
      </c>
      <c r="H993" t="str">
        <f>"REIMBURSEMENT/ MARK MEUTH"</f>
        <v>REIMBURSEMENT/ MARK MEUTH</v>
      </c>
    </row>
    <row r="994" spans="1:8" x14ac:dyDescent="0.25">
      <c r="A994" t="s">
        <v>218</v>
      </c>
      <c r="B994">
        <v>135351</v>
      </c>
      <c r="C994" s="1">
        <v>267.98</v>
      </c>
      <c r="D994" s="6">
        <v>44312</v>
      </c>
      <c r="E994" t="str">
        <f>"202104212811"</f>
        <v>202104212811</v>
      </c>
      <c r="F994" t="str">
        <f>"INDIGENT HEALTH"</f>
        <v>INDIGENT HEALTH</v>
      </c>
      <c r="G994" s="1">
        <v>267.98</v>
      </c>
      <c r="H994" t="str">
        <f>"INDIGENT HEALTH"</f>
        <v>INDIGENT HEALTH</v>
      </c>
    </row>
    <row r="995" spans="1:8" x14ac:dyDescent="0.25">
      <c r="E995" t="str">
        <f>""</f>
        <v/>
      </c>
      <c r="F995" t="str">
        <f>""</f>
        <v/>
      </c>
      <c r="H995" t="str">
        <f>"INDIGENT HEALTH"</f>
        <v>INDIGENT HEALTH</v>
      </c>
    </row>
    <row r="996" spans="1:8" x14ac:dyDescent="0.25">
      <c r="A996" t="s">
        <v>219</v>
      </c>
      <c r="B996">
        <v>135196</v>
      </c>
      <c r="C996" s="1">
        <v>2684.2</v>
      </c>
      <c r="D996" s="6">
        <v>44298</v>
      </c>
      <c r="E996" t="str">
        <f>"INV001936180"</f>
        <v>INV001936180</v>
      </c>
      <c r="F996" t="str">
        <f>"INV001936180"</f>
        <v>INV001936180</v>
      </c>
      <c r="G996" s="1">
        <v>2684.2</v>
      </c>
      <c r="H996" t="str">
        <f>"INV001936180"</f>
        <v>INV001936180</v>
      </c>
    </row>
    <row r="997" spans="1:8" x14ac:dyDescent="0.25">
      <c r="A997" t="s">
        <v>220</v>
      </c>
      <c r="B997">
        <v>4275</v>
      </c>
      <c r="C997" s="1">
        <v>3556.25</v>
      </c>
      <c r="D997" s="6">
        <v>44299</v>
      </c>
      <c r="E997" t="str">
        <f>"202104062453"</f>
        <v>202104062453</v>
      </c>
      <c r="F997" t="str">
        <f>"19-19954"</f>
        <v>19-19954</v>
      </c>
      <c r="G997" s="1">
        <v>381.25</v>
      </c>
      <c r="H997" t="str">
        <f>"19-19954"</f>
        <v>19-19954</v>
      </c>
    </row>
    <row r="998" spans="1:8" x14ac:dyDescent="0.25">
      <c r="E998" t="str">
        <f>"202104062454"</f>
        <v>202104062454</v>
      </c>
      <c r="F998" t="str">
        <f>"20-20056"</f>
        <v>20-20056</v>
      </c>
      <c r="G998" s="1">
        <v>1575</v>
      </c>
      <c r="H998" t="str">
        <f>"20-20056"</f>
        <v>20-20056</v>
      </c>
    </row>
    <row r="999" spans="1:8" x14ac:dyDescent="0.25">
      <c r="E999" t="str">
        <f>"202104062455"</f>
        <v>202104062455</v>
      </c>
      <c r="F999" t="str">
        <f>"20-20207"</f>
        <v>20-20207</v>
      </c>
      <c r="G999" s="1">
        <v>700</v>
      </c>
      <c r="H999" t="str">
        <f>"20-20207"</f>
        <v>20-20207</v>
      </c>
    </row>
    <row r="1000" spans="1:8" x14ac:dyDescent="0.25">
      <c r="E1000" t="str">
        <f>"202104062474"</f>
        <v>202104062474</v>
      </c>
      <c r="F1000" t="str">
        <f>"17-18443"</f>
        <v>17-18443</v>
      </c>
      <c r="G1000" s="1">
        <v>900</v>
      </c>
      <c r="H1000" t="str">
        <f>"17-18443"</f>
        <v>17-18443</v>
      </c>
    </row>
    <row r="1001" spans="1:8" x14ac:dyDescent="0.25">
      <c r="A1001" t="s">
        <v>220</v>
      </c>
      <c r="B1001">
        <v>4350</v>
      </c>
      <c r="C1001" s="1">
        <v>1406.25</v>
      </c>
      <c r="D1001" s="6">
        <v>44313</v>
      </c>
      <c r="E1001" t="str">
        <f>"202104202751"</f>
        <v>202104202751</v>
      </c>
      <c r="F1001" t="str">
        <f>"21-20627"</f>
        <v>21-20627</v>
      </c>
      <c r="G1001" s="1">
        <v>100</v>
      </c>
      <c r="H1001" t="str">
        <f>"21-20627"</f>
        <v>21-20627</v>
      </c>
    </row>
    <row r="1002" spans="1:8" x14ac:dyDescent="0.25">
      <c r="E1002" t="str">
        <f>"202104202752"</f>
        <v>202104202752</v>
      </c>
      <c r="F1002" t="str">
        <f>"20-20531"</f>
        <v>20-20531</v>
      </c>
      <c r="G1002" s="1">
        <v>100</v>
      </c>
      <c r="H1002" t="str">
        <f>"20-20531"</f>
        <v>20-20531</v>
      </c>
    </row>
    <row r="1003" spans="1:8" x14ac:dyDescent="0.25">
      <c r="E1003" t="str">
        <f>"202104202753"</f>
        <v>202104202753</v>
      </c>
      <c r="F1003" t="str">
        <f>"20-20372"</f>
        <v>20-20372</v>
      </c>
      <c r="G1003" s="1">
        <v>100</v>
      </c>
      <c r="H1003" t="str">
        <f>"20-20372"</f>
        <v>20-20372</v>
      </c>
    </row>
    <row r="1004" spans="1:8" x14ac:dyDescent="0.25">
      <c r="E1004" t="str">
        <f>"202104202754"</f>
        <v>202104202754</v>
      </c>
      <c r="F1004" t="str">
        <f>"21-20565"</f>
        <v>21-20565</v>
      </c>
      <c r="G1004" s="1">
        <v>100</v>
      </c>
      <c r="H1004" t="str">
        <f>"21-20565"</f>
        <v>21-20565</v>
      </c>
    </row>
    <row r="1005" spans="1:8" x14ac:dyDescent="0.25">
      <c r="E1005" t="str">
        <f>"202104202755"</f>
        <v>202104202755</v>
      </c>
      <c r="F1005" t="str">
        <f>"20-20454"</f>
        <v>20-20454</v>
      </c>
      <c r="G1005" s="1">
        <v>100</v>
      </c>
      <c r="H1005" t="str">
        <f>"20-20454"</f>
        <v>20-20454</v>
      </c>
    </row>
    <row r="1006" spans="1:8" x14ac:dyDescent="0.25">
      <c r="E1006" t="str">
        <f>"202104202757"</f>
        <v>202104202757</v>
      </c>
      <c r="F1006" t="str">
        <f>"19-19967"</f>
        <v>19-19967</v>
      </c>
      <c r="G1006" s="1">
        <v>100</v>
      </c>
      <c r="H1006" t="str">
        <f>"19-19967"</f>
        <v>19-19967</v>
      </c>
    </row>
    <row r="1007" spans="1:8" x14ac:dyDescent="0.25">
      <c r="E1007" t="str">
        <f>"202104202758"</f>
        <v>202104202758</v>
      </c>
      <c r="F1007" t="str">
        <f>"21-20565"</f>
        <v>21-20565</v>
      </c>
      <c r="G1007" s="1">
        <v>806.25</v>
      </c>
      <c r="H1007" t="str">
        <f>"21-20565"</f>
        <v>21-20565</v>
      </c>
    </row>
    <row r="1008" spans="1:8" x14ac:dyDescent="0.25">
      <c r="A1008" t="s">
        <v>221</v>
      </c>
      <c r="B1008">
        <v>135352</v>
      </c>
      <c r="C1008" s="1">
        <v>329.08</v>
      </c>
      <c r="D1008" s="6">
        <v>44312</v>
      </c>
      <c r="E1008" t="str">
        <f>"23329145"</f>
        <v>23329145</v>
      </c>
      <c r="F1008" t="str">
        <f>"CUST#45057/PCT#4"</f>
        <v>CUST#45057/PCT#4</v>
      </c>
      <c r="G1008" s="1">
        <v>54.73</v>
      </c>
      <c r="H1008" t="str">
        <f>"CUST#45057/PCT#4"</f>
        <v>CUST#45057/PCT#4</v>
      </c>
    </row>
    <row r="1009" spans="1:8" x14ac:dyDescent="0.25">
      <c r="E1009" t="str">
        <f>"23329190"</f>
        <v>23329190</v>
      </c>
      <c r="F1009" t="str">
        <f>"INV 23329190"</f>
        <v>INV 23329190</v>
      </c>
      <c r="G1009" s="1">
        <v>64.62</v>
      </c>
      <c r="H1009" t="str">
        <f>"INV 23329190"</f>
        <v>INV 23329190</v>
      </c>
    </row>
    <row r="1010" spans="1:8" x14ac:dyDescent="0.25">
      <c r="E1010" t="str">
        <f>"233329078"</f>
        <v>233329078</v>
      </c>
      <c r="F1010" t="str">
        <f>"ACCT#41472/PCT#1"</f>
        <v>ACCT#41472/PCT#1</v>
      </c>
      <c r="G1010" s="1">
        <v>29.73</v>
      </c>
      <c r="H1010" t="str">
        <f>"ACCT#41472/PCT#1"</f>
        <v>ACCT#41472/PCT#1</v>
      </c>
    </row>
    <row r="1011" spans="1:8" x14ac:dyDescent="0.25">
      <c r="E1011" t="str">
        <f>"23336366"</f>
        <v>23336366</v>
      </c>
      <c r="F1011" t="str">
        <f>"ACCT#S9549/PCT#1"</f>
        <v>ACCT#S9549/PCT#1</v>
      </c>
      <c r="G1011" s="1">
        <v>180</v>
      </c>
      <c r="H1011" t="str">
        <f>"ACCT#S9549/PCT#1"</f>
        <v>ACCT#S9549/PCT#1</v>
      </c>
    </row>
    <row r="1012" spans="1:8" x14ac:dyDescent="0.25">
      <c r="A1012" t="s">
        <v>222</v>
      </c>
      <c r="B1012">
        <v>135197</v>
      </c>
      <c r="C1012" s="1">
        <v>31477.18</v>
      </c>
      <c r="D1012" s="6">
        <v>44298</v>
      </c>
      <c r="E1012" t="str">
        <f>"11389"</f>
        <v>11389</v>
      </c>
      <c r="F1012" t="str">
        <f>"SERVICE"</f>
        <v>SERVICE</v>
      </c>
      <c r="G1012" s="1">
        <v>250</v>
      </c>
      <c r="H1012" t="str">
        <f>"SERVICE"</f>
        <v>SERVICE</v>
      </c>
    </row>
    <row r="1013" spans="1:8" x14ac:dyDescent="0.25">
      <c r="E1013" t="str">
        <f>"12245"</f>
        <v>12245</v>
      </c>
      <c r="F1013" t="str">
        <f>"ABST FEE"</f>
        <v>ABST FEE</v>
      </c>
      <c r="G1013" s="1">
        <v>175</v>
      </c>
      <c r="H1013" t="str">
        <f>"ABST FEE"</f>
        <v>ABST FEE</v>
      </c>
    </row>
    <row r="1014" spans="1:8" x14ac:dyDescent="0.25">
      <c r="E1014" t="str">
        <f>"12374"</f>
        <v>12374</v>
      </c>
      <c r="F1014" t="str">
        <f>"ABST FEE/SERVICE"</f>
        <v>ABST FEE/SERVICE</v>
      </c>
      <c r="G1014" s="1">
        <v>230</v>
      </c>
      <c r="H1014" t="str">
        <f>"ABST FEE/SERVICE"</f>
        <v>ABST FEE/SERVICE</v>
      </c>
    </row>
    <row r="1015" spans="1:8" x14ac:dyDescent="0.25">
      <c r="E1015" t="str">
        <f>"12494"</f>
        <v>12494</v>
      </c>
      <c r="F1015" t="str">
        <f>"ABST FEE/ SERVICE FEE"</f>
        <v>ABST FEE/ SERVICE FEE</v>
      </c>
      <c r="G1015" s="1">
        <v>230</v>
      </c>
      <c r="H1015" t="str">
        <f>"ABST FEE/ SERVICE FEE"</f>
        <v>ABST FEE/ SERVICE FEE</v>
      </c>
    </row>
    <row r="1016" spans="1:8" x14ac:dyDescent="0.25">
      <c r="E1016" t="str">
        <f>"12553"</f>
        <v>12553</v>
      </c>
      <c r="F1016" t="str">
        <f>"ABST FEE"</f>
        <v>ABST FEE</v>
      </c>
      <c r="G1016" s="1">
        <v>175</v>
      </c>
      <c r="H1016" t="str">
        <f>"ABST FEE"</f>
        <v>ABST FEE</v>
      </c>
    </row>
    <row r="1017" spans="1:8" x14ac:dyDescent="0.25">
      <c r="E1017" t="str">
        <f>"12759"</f>
        <v>12759</v>
      </c>
      <c r="F1017" t="str">
        <f>"ABST FEE"</f>
        <v>ABST FEE</v>
      </c>
      <c r="G1017" s="1">
        <v>225</v>
      </c>
      <c r="H1017" t="str">
        <f>"ABST FEE"</f>
        <v>ABST FEE</v>
      </c>
    </row>
    <row r="1018" spans="1:8" x14ac:dyDescent="0.25">
      <c r="E1018" t="str">
        <f>"12768"</f>
        <v>12768</v>
      </c>
      <c r="F1018" t="str">
        <f>"ABST FEE"</f>
        <v>ABST FEE</v>
      </c>
      <c r="G1018" s="1">
        <v>225</v>
      </c>
      <c r="H1018" t="str">
        <f>"ABST FEE"</f>
        <v>ABST FEE</v>
      </c>
    </row>
    <row r="1019" spans="1:8" x14ac:dyDescent="0.25">
      <c r="E1019" t="str">
        <f>"12921"</f>
        <v>12921</v>
      </c>
      <c r="F1019" t="str">
        <f>"ABST FEE"</f>
        <v>ABST FEE</v>
      </c>
      <c r="G1019" s="1">
        <v>225</v>
      </c>
      <c r="H1019" t="str">
        <f>"ABST FEE"</f>
        <v>ABST FEE</v>
      </c>
    </row>
    <row r="1020" spans="1:8" x14ac:dyDescent="0.25">
      <c r="E1020" t="str">
        <f>"12940"</f>
        <v>12940</v>
      </c>
      <c r="F1020" t="str">
        <f>"ABST FEE"</f>
        <v>ABST FEE</v>
      </c>
      <c r="G1020" s="1">
        <v>25</v>
      </c>
      <c r="H1020" t="str">
        <f>"ABST FEE"</f>
        <v>ABST FEE</v>
      </c>
    </row>
    <row r="1021" spans="1:8" x14ac:dyDescent="0.25">
      <c r="E1021" t="str">
        <f>"12980"</f>
        <v>12980</v>
      </c>
      <c r="F1021" t="str">
        <f>"ABST FEE/SERVICE"</f>
        <v>ABST FEE/SERVICE</v>
      </c>
      <c r="G1021" s="1">
        <v>280</v>
      </c>
      <c r="H1021" t="str">
        <f>"ABST FEE/SERVICE"</f>
        <v>ABST FEE/SERVICE</v>
      </c>
    </row>
    <row r="1022" spans="1:8" x14ac:dyDescent="0.25">
      <c r="E1022" t="str">
        <f>"13029"</f>
        <v>13029</v>
      </c>
      <c r="F1022" t="str">
        <f t="shared" ref="F1022:F1032" si="16">"ABST FEE"</f>
        <v>ABST FEE</v>
      </c>
      <c r="G1022" s="1">
        <v>225</v>
      </c>
      <c r="H1022" t="str">
        <f t="shared" ref="H1022:H1032" si="17">"ABST FEE"</f>
        <v>ABST FEE</v>
      </c>
    </row>
    <row r="1023" spans="1:8" x14ac:dyDescent="0.25">
      <c r="E1023" t="str">
        <f>"13048"</f>
        <v>13048</v>
      </c>
      <c r="F1023" t="str">
        <f t="shared" si="16"/>
        <v>ABST FEE</v>
      </c>
      <c r="G1023" s="1">
        <v>225</v>
      </c>
      <c r="H1023" t="str">
        <f t="shared" si="17"/>
        <v>ABST FEE</v>
      </c>
    </row>
    <row r="1024" spans="1:8" x14ac:dyDescent="0.25">
      <c r="E1024" t="str">
        <f>"13088"</f>
        <v>13088</v>
      </c>
      <c r="F1024" t="str">
        <f t="shared" si="16"/>
        <v>ABST FEE</v>
      </c>
      <c r="G1024" s="1">
        <v>225</v>
      </c>
      <c r="H1024" t="str">
        <f t="shared" si="17"/>
        <v>ABST FEE</v>
      </c>
    </row>
    <row r="1025" spans="1:8" x14ac:dyDescent="0.25">
      <c r="E1025" t="str">
        <f>"13163"</f>
        <v>13163</v>
      </c>
      <c r="F1025" t="str">
        <f t="shared" si="16"/>
        <v>ABST FEE</v>
      </c>
      <c r="G1025" s="1">
        <v>225</v>
      </c>
      <c r="H1025" t="str">
        <f t="shared" si="17"/>
        <v>ABST FEE</v>
      </c>
    </row>
    <row r="1026" spans="1:8" x14ac:dyDescent="0.25">
      <c r="E1026" t="str">
        <f>"13299"</f>
        <v>13299</v>
      </c>
      <c r="F1026" t="str">
        <f t="shared" si="16"/>
        <v>ABST FEE</v>
      </c>
      <c r="G1026" s="1">
        <v>225</v>
      </c>
      <c r="H1026" t="str">
        <f t="shared" si="17"/>
        <v>ABST FEE</v>
      </c>
    </row>
    <row r="1027" spans="1:8" x14ac:dyDescent="0.25">
      <c r="E1027" t="str">
        <f>"13335"</f>
        <v>13335</v>
      </c>
      <c r="F1027" t="str">
        <f t="shared" si="16"/>
        <v>ABST FEE</v>
      </c>
      <c r="G1027" s="1">
        <v>225</v>
      </c>
      <c r="H1027" t="str">
        <f t="shared" si="17"/>
        <v>ABST FEE</v>
      </c>
    </row>
    <row r="1028" spans="1:8" x14ac:dyDescent="0.25">
      <c r="E1028" t="str">
        <f>"13395"</f>
        <v>13395</v>
      </c>
      <c r="F1028" t="str">
        <f t="shared" si="16"/>
        <v>ABST FEE</v>
      </c>
      <c r="G1028" s="1">
        <v>225</v>
      </c>
      <c r="H1028" t="str">
        <f t="shared" si="17"/>
        <v>ABST FEE</v>
      </c>
    </row>
    <row r="1029" spans="1:8" x14ac:dyDescent="0.25">
      <c r="E1029" t="str">
        <f>"13403-1/22/21"</f>
        <v>13403-1/22/21</v>
      </c>
      <c r="F1029" t="str">
        <f t="shared" si="16"/>
        <v>ABST FEE</v>
      </c>
      <c r="G1029" s="1">
        <v>80</v>
      </c>
      <c r="H1029" t="str">
        <f t="shared" si="17"/>
        <v>ABST FEE</v>
      </c>
    </row>
    <row r="1030" spans="1:8" x14ac:dyDescent="0.25">
      <c r="E1030" t="str">
        <f>"13463-3-3-21"</f>
        <v>13463-3-3-21</v>
      </c>
      <c r="F1030" t="str">
        <f t="shared" si="16"/>
        <v>ABST FEE</v>
      </c>
      <c r="G1030" s="1">
        <v>50</v>
      </c>
      <c r="H1030" t="str">
        <f t="shared" si="17"/>
        <v>ABST FEE</v>
      </c>
    </row>
    <row r="1031" spans="1:8" x14ac:dyDescent="0.25">
      <c r="E1031" t="str">
        <f>"13470"</f>
        <v>13470</v>
      </c>
      <c r="F1031" t="str">
        <f t="shared" si="16"/>
        <v>ABST FEE</v>
      </c>
      <c r="G1031" s="1">
        <v>225</v>
      </c>
      <c r="H1031" t="str">
        <f t="shared" si="17"/>
        <v>ABST FEE</v>
      </c>
    </row>
    <row r="1032" spans="1:8" x14ac:dyDescent="0.25">
      <c r="E1032" t="str">
        <f>"13556"</f>
        <v>13556</v>
      </c>
      <c r="F1032" t="str">
        <f t="shared" si="16"/>
        <v>ABST FEE</v>
      </c>
      <c r="G1032" s="1">
        <v>225</v>
      </c>
      <c r="H1032" t="str">
        <f t="shared" si="17"/>
        <v>ABST FEE</v>
      </c>
    </row>
    <row r="1033" spans="1:8" x14ac:dyDescent="0.25">
      <c r="E1033" t="str">
        <f>"13573"</f>
        <v>13573</v>
      </c>
      <c r="F1033" t="str">
        <f>"SERVICE"</f>
        <v>SERVICE</v>
      </c>
      <c r="G1033" s="1">
        <v>46.68</v>
      </c>
      <c r="H1033" t="str">
        <f>"SERVICE"</f>
        <v>SERVICE</v>
      </c>
    </row>
    <row r="1034" spans="1:8" x14ac:dyDescent="0.25">
      <c r="E1034" t="str">
        <f>"13581"</f>
        <v>13581</v>
      </c>
      <c r="F1034" t="str">
        <f>"ABST FEE"</f>
        <v>ABST FEE</v>
      </c>
      <c r="G1034" s="1">
        <v>225</v>
      </c>
      <c r="H1034" t="str">
        <f>"ABST FEE"</f>
        <v>ABST FEE</v>
      </c>
    </row>
    <row r="1035" spans="1:8" x14ac:dyDescent="0.25">
      <c r="E1035" t="str">
        <f>"202104052421"</f>
        <v>202104052421</v>
      </c>
      <c r="F1035" t="str">
        <f>"MARCH 2021 DELINQUENT TAXES"</f>
        <v>MARCH 2021 DELINQUENT TAXES</v>
      </c>
      <c r="G1035" s="1">
        <v>27010.5</v>
      </c>
      <c r="H1035" t="str">
        <f>"MARCH 2021 DELINQUENT TAXES"</f>
        <v>MARCH 2021 DELINQUENT TAXES</v>
      </c>
    </row>
    <row r="1036" spans="1:8" x14ac:dyDescent="0.25">
      <c r="A1036" t="s">
        <v>222</v>
      </c>
      <c r="B1036">
        <v>135353</v>
      </c>
      <c r="C1036" s="1">
        <v>1671</v>
      </c>
      <c r="D1036" s="6">
        <v>44312</v>
      </c>
      <c r="E1036" t="str">
        <f>"12354"</f>
        <v>12354</v>
      </c>
      <c r="F1036" t="str">
        <f>"ABST FEE"</f>
        <v>ABST FEE</v>
      </c>
      <c r="G1036" s="1">
        <v>175</v>
      </c>
      <c r="H1036" t="str">
        <f>"ABST FEE"</f>
        <v>ABST FEE</v>
      </c>
    </row>
    <row r="1037" spans="1:8" x14ac:dyDescent="0.25">
      <c r="E1037" t="str">
        <f>"13128"</f>
        <v>13128</v>
      </c>
      <c r="F1037" t="str">
        <f>"ABST FEE"</f>
        <v>ABST FEE</v>
      </c>
      <c r="G1037" s="1">
        <v>225</v>
      </c>
      <c r="H1037" t="str">
        <f>"ABST FEE"</f>
        <v>ABST FEE</v>
      </c>
    </row>
    <row r="1038" spans="1:8" x14ac:dyDescent="0.25">
      <c r="E1038" t="str">
        <f>"13222"</f>
        <v>13222</v>
      </c>
      <c r="F1038" t="str">
        <f>"SERVICE"</f>
        <v>SERVICE</v>
      </c>
      <c r="G1038" s="1">
        <v>225</v>
      </c>
      <c r="H1038" t="str">
        <f>"SERVICE"</f>
        <v>SERVICE</v>
      </c>
    </row>
    <row r="1039" spans="1:8" x14ac:dyDescent="0.25">
      <c r="E1039" t="str">
        <f>"13276"</f>
        <v>13276</v>
      </c>
      <c r="F1039" t="str">
        <f t="shared" ref="F1039:F1044" si="18">"ABST FEE"</f>
        <v>ABST FEE</v>
      </c>
      <c r="G1039" s="1">
        <v>225</v>
      </c>
      <c r="H1039" t="str">
        <f t="shared" ref="H1039:H1044" si="19">"ABST FEE"</f>
        <v>ABST FEE</v>
      </c>
    </row>
    <row r="1040" spans="1:8" x14ac:dyDescent="0.25">
      <c r="E1040" t="str">
        <f>"13540"</f>
        <v>13540</v>
      </c>
      <c r="F1040" t="str">
        <f t="shared" si="18"/>
        <v>ABST FEE</v>
      </c>
      <c r="G1040" s="1">
        <v>225</v>
      </c>
      <c r="H1040" t="str">
        <f t="shared" si="19"/>
        <v>ABST FEE</v>
      </c>
    </row>
    <row r="1041" spans="1:8" x14ac:dyDescent="0.25">
      <c r="E1041" t="str">
        <f>"13541"</f>
        <v>13541</v>
      </c>
      <c r="F1041" t="str">
        <f t="shared" si="18"/>
        <v>ABST FEE</v>
      </c>
      <c r="G1041" s="1">
        <v>225</v>
      </c>
      <c r="H1041" t="str">
        <f t="shared" si="19"/>
        <v>ABST FEE</v>
      </c>
    </row>
    <row r="1042" spans="1:8" x14ac:dyDescent="0.25">
      <c r="E1042" t="str">
        <f>"13567-3-12-21"</f>
        <v>13567-3-12-21</v>
      </c>
      <c r="F1042" t="str">
        <f t="shared" si="18"/>
        <v>ABST FEE</v>
      </c>
      <c r="G1042" s="1">
        <v>144</v>
      </c>
      <c r="H1042" t="str">
        <f t="shared" si="19"/>
        <v>ABST FEE</v>
      </c>
    </row>
    <row r="1043" spans="1:8" x14ac:dyDescent="0.25">
      <c r="E1043" t="str">
        <f>"13595"</f>
        <v>13595</v>
      </c>
      <c r="F1043" t="str">
        <f t="shared" si="18"/>
        <v>ABST FEE</v>
      </c>
      <c r="G1043" s="1">
        <v>2</v>
      </c>
      <c r="H1043" t="str">
        <f t="shared" si="19"/>
        <v>ABST FEE</v>
      </c>
    </row>
    <row r="1044" spans="1:8" x14ac:dyDescent="0.25">
      <c r="E1044" t="str">
        <f>"13637"</f>
        <v>13637</v>
      </c>
      <c r="F1044" t="str">
        <f t="shared" si="18"/>
        <v>ABST FEE</v>
      </c>
      <c r="G1044" s="1">
        <v>225</v>
      </c>
      <c r="H1044" t="str">
        <f t="shared" si="19"/>
        <v>ABST FEE</v>
      </c>
    </row>
    <row r="1045" spans="1:8" x14ac:dyDescent="0.25">
      <c r="A1045" t="s">
        <v>223</v>
      </c>
      <c r="B1045">
        <v>135198</v>
      </c>
      <c r="C1045" s="1">
        <v>463.69</v>
      </c>
      <c r="D1045" s="6">
        <v>44298</v>
      </c>
      <c r="E1045" t="str">
        <f>"18060687"</f>
        <v>18060687</v>
      </c>
      <c r="F1045" t="str">
        <f>"INV 18060687  18081721"</f>
        <v>INV 18060687  18081721</v>
      </c>
      <c r="G1045" s="1">
        <v>463.69</v>
      </c>
      <c r="H1045" t="str">
        <f>"INV 18060687"</f>
        <v>INV 18060687</v>
      </c>
    </row>
    <row r="1046" spans="1:8" x14ac:dyDescent="0.25">
      <c r="E1046" t="str">
        <f>""</f>
        <v/>
      </c>
      <c r="F1046" t="str">
        <f>""</f>
        <v/>
      </c>
      <c r="H1046" t="str">
        <f>"INV 18081721"</f>
        <v>INV 18081721</v>
      </c>
    </row>
    <row r="1047" spans="1:8" x14ac:dyDescent="0.25">
      <c r="A1047" t="s">
        <v>224</v>
      </c>
      <c r="B1047">
        <v>135354</v>
      </c>
      <c r="C1047" s="1">
        <v>2182.15</v>
      </c>
      <c r="D1047" s="6">
        <v>44312</v>
      </c>
      <c r="E1047" t="str">
        <f>"202104212803"</f>
        <v>202104212803</v>
      </c>
      <c r="F1047" t="str">
        <f>"INDIGENT HEALTH"</f>
        <v>INDIGENT HEALTH</v>
      </c>
      <c r="G1047" s="1">
        <v>2182.15</v>
      </c>
      <c r="H1047" t="str">
        <f>"INDIGENT HEALTH"</f>
        <v>INDIGENT HEALTH</v>
      </c>
    </row>
    <row r="1048" spans="1:8" x14ac:dyDescent="0.25">
      <c r="E1048" t="str">
        <f>""</f>
        <v/>
      </c>
      <c r="F1048" t="str">
        <f>""</f>
        <v/>
      </c>
      <c r="H1048" t="str">
        <f>"INDIGENT HEALTH"</f>
        <v>INDIGENT HEALTH</v>
      </c>
    </row>
    <row r="1049" spans="1:8" x14ac:dyDescent="0.25">
      <c r="A1049" t="s">
        <v>225</v>
      </c>
      <c r="B1049">
        <v>4365</v>
      </c>
      <c r="C1049" s="1">
        <v>3265.83</v>
      </c>
      <c r="D1049" s="6">
        <v>44313</v>
      </c>
      <c r="E1049" t="str">
        <f>"202104192727"</f>
        <v>202104192727</v>
      </c>
      <c r="F1049" t="str">
        <f>"REIMBURSE/MELLANIE MICKELSON"</f>
        <v>REIMBURSE/MELLANIE MICKELSON</v>
      </c>
      <c r="G1049" s="1">
        <v>514.39</v>
      </c>
      <c r="H1049" t="str">
        <f>"REIMBURSE/MELLANIE MICKELSON"</f>
        <v>REIMBURSE/MELLANIE MICKELSON</v>
      </c>
    </row>
    <row r="1050" spans="1:8" x14ac:dyDescent="0.25">
      <c r="E1050" t="str">
        <f>"202104192728"</f>
        <v>202104192728</v>
      </c>
      <c r="F1050" t="str">
        <f>"REIMBURSE/MELLANIE MICKELSON"</f>
        <v>REIMBURSE/MELLANIE MICKELSON</v>
      </c>
      <c r="G1050" s="1">
        <v>648.64</v>
      </c>
      <c r="H1050" t="str">
        <f>"REIMBURSE/MELLANIE MICKELSON"</f>
        <v>REIMBURSE/MELLANIE MICKELSON</v>
      </c>
    </row>
    <row r="1051" spans="1:8" x14ac:dyDescent="0.25">
      <c r="E1051" t="str">
        <f>"202104192729"</f>
        <v>202104192729</v>
      </c>
      <c r="F1051" t="str">
        <f>"MILEAGE/MELLANIE MICKELSON"</f>
        <v>MILEAGE/MELLANIE MICKELSON</v>
      </c>
      <c r="G1051" s="1">
        <v>38.64</v>
      </c>
      <c r="H1051" t="str">
        <f>"MILEAGE/MELLANIE MICKELSON"</f>
        <v>MILEAGE/MELLANIE MICKELSON</v>
      </c>
    </row>
    <row r="1052" spans="1:8" x14ac:dyDescent="0.25">
      <c r="E1052" t="str">
        <f>"202104192730"</f>
        <v>202104192730</v>
      </c>
      <c r="F1052" t="str">
        <f>"MILEAGE/MELLANIE MICKELSON"</f>
        <v>MILEAGE/MELLANIE MICKELSON</v>
      </c>
      <c r="G1052" s="1">
        <v>222.88</v>
      </c>
      <c r="H1052" t="str">
        <f>"MILEAGE/MELLANIE MICKELSON"</f>
        <v>MILEAGE/MELLANIE MICKELSON</v>
      </c>
    </row>
    <row r="1053" spans="1:8" x14ac:dyDescent="0.25">
      <c r="E1053" t="str">
        <f>"202104192731"</f>
        <v>202104192731</v>
      </c>
      <c r="F1053" t="str">
        <f>"REIMBURSE/MELLANIE MICKELSON"</f>
        <v>REIMBURSE/MELLANIE MICKELSON</v>
      </c>
      <c r="G1053" s="1">
        <v>1643.6</v>
      </c>
      <c r="H1053" t="str">
        <f>"REIMBURSE/MELLANIE MICKELSON"</f>
        <v>REIMBURSE/MELLANIE MICKELSON</v>
      </c>
    </row>
    <row r="1054" spans="1:8" x14ac:dyDescent="0.25">
      <c r="E1054" t="str">
        <f>"202104192732"</f>
        <v>202104192732</v>
      </c>
      <c r="F1054" t="str">
        <f>"MILEAGE/MELLANIE MICKELSON"</f>
        <v>MILEAGE/MELLANIE MICKELSON</v>
      </c>
      <c r="G1054" s="1">
        <v>197.68</v>
      </c>
      <c r="H1054" t="str">
        <f>"MILEAGE/MELLANIE MICKELSON"</f>
        <v>MILEAGE/MELLANIE MICKELSON</v>
      </c>
    </row>
    <row r="1055" spans="1:8" x14ac:dyDescent="0.25">
      <c r="A1055" t="s">
        <v>226</v>
      </c>
      <c r="B1055">
        <v>135332</v>
      </c>
      <c r="C1055" s="1">
        <v>480</v>
      </c>
      <c r="D1055" s="6">
        <v>44312</v>
      </c>
      <c r="E1055" t="str">
        <f>"242260175"</f>
        <v>242260175</v>
      </c>
      <c r="F1055" t="str">
        <f>"CUST#10004926/ANIMAL SHELTER"</f>
        <v>CUST#10004926/ANIMAL SHELTER</v>
      </c>
      <c r="G1055" s="1">
        <v>480</v>
      </c>
      <c r="H1055" t="str">
        <f>"CUST#10004926/ANIMAL SHELTER"</f>
        <v>CUST#10004926/ANIMAL SHELTER</v>
      </c>
    </row>
    <row r="1056" spans="1:8" x14ac:dyDescent="0.25">
      <c r="A1056" t="s">
        <v>227</v>
      </c>
      <c r="B1056">
        <v>4265</v>
      </c>
      <c r="C1056" s="1">
        <v>468.3</v>
      </c>
      <c r="D1056" s="6">
        <v>44299</v>
      </c>
      <c r="E1056" t="str">
        <f>"24249"</f>
        <v>24249</v>
      </c>
      <c r="F1056" t="str">
        <f>"FREIGHT SALES/PCT#2"</f>
        <v>FREIGHT SALES/PCT#2</v>
      </c>
      <c r="G1056" s="1">
        <v>118.55</v>
      </c>
      <c r="H1056" t="str">
        <f>"FREIGHT SALES/PCT#2"</f>
        <v>FREIGHT SALES/PCT#2</v>
      </c>
    </row>
    <row r="1057" spans="1:8" x14ac:dyDescent="0.25">
      <c r="E1057" t="str">
        <f>"24309"</f>
        <v>24309</v>
      </c>
      <c r="F1057" t="str">
        <f>"FREIGHT SALES"</f>
        <v>FREIGHT SALES</v>
      </c>
      <c r="G1057" s="1">
        <v>349.75</v>
      </c>
      <c r="H1057" t="str">
        <f>"FREIGHT SALES"</f>
        <v>FREIGHT SALES</v>
      </c>
    </row>
    <row r="1058" spans="1:8" x14ac:dyDescent="0.25">
      <c r="A1058" t="s">
        <v>227</v>
      </c>
      <c r="B1058">
        <v>4341</v>
      </c>
      <c r="C1058" s="1">
        <v>938.55</v>
      </c>
      <c r="D1058" s="6">
        <v>44313</v>
      </c>
      <c r="E1058" t="str">
        <f>"24360"</f>
        <v>24360</v>
      </c>
      <c r="F1058" t="str">
        <f>"FREIGHT SALES/PCT#2"</f>
        <v>FREIGHT SALES/PCT#2</v>
      </c>
      <c r="G1058" s="1">
        <v>467.6</v>
      </c>
      <c r="H1058" t="str">
        <f>"FREIGHT SALES/PCT#2"</f>
        <v>FREIGHT SALES/PCT#2</v>
      </c>
    </row>
    <row r="1059" spans="1:8" x14ac:dyDescent="0.25">
      <c r="E1059" t="str">
        <f>"24422"</f>
        <v>24422</v>
      </c>
      <c r="F1059" t="str">
        <f>"FREIGHT SALES/PCT#2"</f>
        <v>FREIGHT SALES/PCT#2</v>
      </c>
      <c r="G1059" s="1">
        <v>470.95</v>
      </c>
      <c r="H1059" t="str">
        <f>"FREIGHT SALES/PCT#2"</f>
        <v>FREIGHT SALES/PCT#2</v>
      </c>
    </row>
    <row r="1060" spans="1:8" x14ac:dyDescent="0.25">
      <c r="A1060" t="s">
        <v>228</v>
      </c>
      <c r="B1060">
        <v>135355</v>
      </c>
      <c r="C1060" s="1">
        <v>17500</v>
      </c>
      <c r="D1060" s="6">
        <v>44312</v>
      </c>
      <c r="E1060" t="str">
        <f>"202104192716"</f>
        <v>202104192716</v>
      </c>
      <c r="F1060" t="str">
        <f>"MONITORING/JAN-FEB-MARCH2021"</f>
        <v>MONITORING/JAN-FEB-MARCH2021</v>
      </c>
      <c r="G1060" s="1">
        <v>17500</v>
      </c>
      <c r="H1060" t="str">
        <f>"MONITORING/JAN-FEB-MARCH2021"</f>
        <v>MONITORING/JAN-FEB-MARCH2021</v>
      </c>
    </row>
    <row r="1061" spans="1:8" x14ac:dyDescent="0.25">
      <c r="A1061" t="s">
        <v>229</v>
      </c>
      <c r="B1061">
        <v>135199</v>
      </c>
      <c r="C1061" s="1">
        <v>25</v>
      </c>
      <c r="D1061" s="6">
        <v>44298</v>
      </c>
      <c r="E1061" t="str">
        <f>"202104062434"</f>
        <v>202104062434</v>
      </c>
      <c r="F1061" t="str">
        <f>"REFUND/DRIVEWAY PERMIT FEE"</f>
        <v>REFUND/DRIVEWAY PERMIT FEE</v>
      </c>
      <c r="G1061" s="1">
        <v>25</v>
      </c>
      <c r="H1061" t="str">
        <f>"REFUND/DRIVEWAY PERMIT FEE"</f>
        <v>REFUND/DRIVEWAY PERMIT FEE</v>
      </c>
    </row>
    <row r="1062" spans="1:8" x14ac:dyDescent="0.25">
      <c r="A1062" t="s">
        <v>230</v>
      </c>
      <c r="B1062">
        <v>135422</v>
      </c>
      <c r="C1062" s="1">
        <v>40</v>
      </c>
      <c r="D1062" s="6">
        <v>44313</v>
      </c>
      <c r="E1062" t="str">
        <f>"202104272833"</f>
        <v>202104272833</v>
      </c>
      <c r="F1062" t="str">
        <f>"Miscella"</f>
        <v>Miscella</v>
      </c>
      <c r="G1062" s="1">
        <v>40</v>
      </c>
      <c r="H1062" t="str">
        <f>"ADAM HAROLD STAGMAN"</f>
        <v>ADAM HAROLD STAGMAN</v>
      </c>
    </row>
    <row r="1063" spans="1:8" x14ac:dyDescent="0.25">
      <c r="A1063" t="s">
        <v>231</v>
      </c>
      <c r="B1063">
        <v>135423</v>
      </c>
      <c r="C1063" s="1">
        <v>40</v>
      </c>
      <c r="D1063" s="6">
        <v>44313</v>
      </c>
      <c r="E1063" t="str">
        <f>"202104272834"</f>
        <v>202104272834</v>
      </c>
      <c r="F1063" t="str">
        <f>"Miscel"</f>
        <v>Miscel</v>
      </c>
      <c r="G1063" s="1">
        <v>40</v>
      </c>
      <c r="H1063" t="str">
        <f>"GREGORY N BICKWERMERT"</f>
        <v>GREGORY N BICKWERMERT</v>
      </c>
    </row>
    <row r="1064" spans="1:8" x14ac:dyDescent="0.25">
      <c r="A1064" t="s">
        <v>232</v>
      </c>
      <c r="B1064">
        <v>135424</v>
      </c>
      <c r="C1064" s="1">
        <v>40</v>
      </c>
      <c r="D1064" s="6">
        <v>44313</v>
      </c>
      <c r="E1064" t="str">
        <f>"202104272835"</f>
        <v>202104272835</v>
      </c>
      <c r="F1064" t="str">
        <f>"Miscell"</f>
        <v>Miscell</v>
      </c>
      <c r="G1064" s="1">
        <v>40</v>
      </c>
      <c r="H1064" t="str">
        <f>"GAIL BELLAH MCDONALD"</f>
        <v>GAIL BELLAH MCDONALD</v>
      </c>
    </row>
    <row r="1065" spans="1:8" x14ac:dyDescent="0.25">
      <c r="A1065" t="s">
        <v>233</v>
      </c>
      <c r="B1065">
        <v>135425</v>
      </c>
      <c r="C1065" s="1">
        <v>40</v>
      </c>
      <c r="D1065" s="6">
        <v>44313</v>
      </c>
      <c r="E1065" t="str">
        <f>"202104272836"</f>
        <v>202104272836</v>
      </c>
      <c r="F1065" t="str">
        <f>"Miscel"</f>
        <v>Miscel</v>
      </c>
      <c r="G1065" s="1">
        <v>40</v>
      </c>
      <c r="H1065" t="str">
        <f>"JEANNIE MARIE RICHTER"</f>
        <v>JEANNIE MARIE RICHTER</v>
      </c>
    </row>
    <row r="1066" spans="1:8" x14ac:dyDescent="0.25">
      <c r="A1066" t="s">
        <v>234</v>
      </c>
      <c r="B1066">
        <v>135426</v>
      </c>
      <c r="C1066" s="1">
        <v>40</v>
      </c>
      <c r="D1066" s="6">
        <v>44313</v>
      </c>
      <c r="E1066" t="str">
        <f>"202104272837"</f>
        <v>202104272837</v>
      </c>
      <c r="F1066" t="str">
        <f>"Miscell"</f>
        <v>Miscell</v>
      </c>
      <c r="G1066" s="1">
        <v>40</v>
      </c>
      <c r="H1066" t="str">
        <f>"BRAD MARTIN LINDGREN"</f>
        <v>BRAD MARTIN LINDGREN</v>
      </c>
    </row>
    <row r="1067" spans="1:8" x14ac:dyDescent="0.25">
      <c r="A1067" t="s">
        <v>235</v>
      </c>
      <c r="B1067">
        <v>135427</v>
      </c>
      <c r="C1067" s="1">
        <v>40</v>
      </c>
      <c r="D1067" s="6">
        <v>44313</v>
      </c>
      <c r="E1067" t="str">
        <f>"202104272838"</f>
        <v>202104272838</v>
      </c>
      <c r="F1067" t="str">
        <f>"Miscel"</f>
        <v>Miscel</v>
      </c>
      <c r="G1067" s="1">
        <v>40</v>
      </c>
      <c r="H1067" t="str">
        <f>"RONALD DWAYNE DANIELS"</f>
        <v>RONALD DWAYNE DANIELS</v>
      </c>
    </row>
    <row r="1068" spans="1:8" x14ac:dyDescent="0.25">
      <c r="A1068" t="s">
        <v>236</v>
      </c>
      <c r="B1068">
        <v>135428</v>
      </c>
      <c r="C1068" s="1">
        <v>40</v>
      </c>
      <c r="D1068" s="6">
        <v>44313</v>
      </c>
      <c r="E1068" t="str">
        <f>"202104272839"</f>
        <v>202104272839</v>
      </c>
      <c r="F1068" t="str">
        <f>"Miscel"</f>
        <v>Miscel</v>
      </c>
      <c r="G1068" s="1">
        <v>40</v>
      </c>
      <c r="H1068" t="str">
        <f>"RONALD DALE BLACKMORE"</f>
        <v>RONALD DALE BLACKMORE</v>
      </c>
    </row>
    <row r="1069" spans="1:8" x14ac:dyDescent="0.25">
      <c r="A1069" t="s">
        <v>237</v>
      </c>
      <c r="B1069">
        <v>135429</v>
      </c>
      <c r="C1069" s="1">
        <v>40</v>
      </c>
      <c r="D1069" s="6">
        <v>44313</v>
      </c>
      <c r="E1069" t="str">
        <f>"202104272840"</f>
        <v>202104272840</v>
      </c>
      <c r="F1069" t="str">
        <f>"Miscella"</f>
        <v>Miscella</v>
      </c>
      <c r="G1069" s="1">
        <v>40</v>
      </c>
      <c r="H1069" t="str">
        <f>"THOMAS EDWARD WHITE"</f>
        <v>THOMAS EDWARD WHITE</v>
      </c>
    </row>
    <row r="1070" spans="1:8" x14ac:dyDescent="0.25">
      <c r="A1070" t="s">
        <v>238</v>
      </c>
      <c r="B1070">
        <v>135430</v>
      </c>
      <c r="C1070" s="1">
        <v>40</v>
      </c>
      <c r="D1070" s="6">
        <v>44313</v>
      </c>
      <c r="E1070" t="str">
        <f>"202104272841"</f>
        <v>202104272841</v>
      </c>
      <c r="F1070" t="str">
        <f>"Miscel"</f>
        <v>Miscel</v>
      </c>
      <c r="G1070" s="1">
        <v>40</v>
      </c>
      <c r="H1070" t="str">
        <f>"RONA MICHELLE SHEERAN"</f>
        <v>RONA MICHELLE SHEERAN</v>
      </c>
    </row>
    <row r="1071" spans="1:8" x14ac:dyDescent="0.25">
      <c r="A1071" t="s">
        <v>239</v>
      </c>
      <c r="B1071">
        <v>135431</v>
      </c>
      <c r="C1071" s="1">
        <v>40</v>
      </c>
      <c r="D1071" s="6">
        <v>44313</v>
      </c>
      <c r="E1071" t="str">
        <f>"202104272842"</f>
        <v>202104272842</v>
      </c>
      <c r="F1071" t="str">
        <f>"Mi"</f>
        <v>Mi</v>
      </c>
      <c r="G1071" s="1">
        <v>40</v>
      </c>
      <c r="H1071" t="str">
        <f>"SAMELLA THOMPSON WILLIAMS"</f>
        <v>SAMELLA THOMPSON WILLIAMS</v>
      </c>
    </row>
    <row r="1072" spans="1:8" x14ac:dyDescent="0.25">
      <c r="A1072" t="s">
        <v>240</v>
      </c>
      <c r="B1072">
        <v>135432</v>
      </c>
      <c r="C1072" s="1">
        <v>40</v>
      </c>
      <c r="D1072" s="6">
        <v>44313</v>
      </c>
      <c r="E1072" t="str">
        <f>"202104272843"</f>
        <v>202104272843</v>
      </c>
      <c r="F1072" t="str">
        <f>"Miscel"</f>
        <v>Miscel</v>
      </c>
      <c r="G1072" s="1">
        <v>40</v>
      </c>
      <c r="H1072" t="str">
        <f>"STEVE RAY CHAMBERLAIN"</f>
        <v>STEVE RAY CHAMBERLAIN</v>
      </c>
    </row>
    <row r="1073" spans="1:8" x14ac:dyDescent="0.25">
      <c r="A1073" t="s">
        <v>241</v>
      </c>
      <c r="B1073">
        <v>135200</v>
      </c>
      <c r="C1073" s="1">
        <v>75</v>
      </c>
      <c r="D1073" s="6">
        <v>44298</v>
      </c>
      <c r="E1073" t="str">
        <f>"12494"</f>
        <v>12494</v>
      </c>
      <c r="F1073" t="str">
        <f>"SERVICE"</f>
        <v>SERVICE</v>
      </c>
      <c r="G1073" s="1">
        <v>75</v>
      </c>
      <c r="H1073" t="str">
        <f>"SERVICE"</f>
        <v>SERVICE</v>
      </c>
    </row>
    <row r="1074" spans="1:8" x14ac:dyDescent="0.25">
      <c r="A1074" t="s">
        <v>242</v>
      </c>
      <c r="B1074">
        <v>135356</v>
      </c>
      <c r="C1074" s="1">
        <v>75</v>
      </c>
      <c r="D1074" s="6">
        <v>44312</v>
      </c>
      <c r="E1074" t="str">
        <f>"12354"</f>
        <v>12354</v>
      </c>
      <c r="F1074" t="str">
        <f>"SERVICE"</f>
        <v>SERVICE</v>
      </c>
      <c r="G1074" s="1">
        <v>75</v>
      </c>
      <c r="H1074" t="str">
        <f>"SERVICE"</f>
        <v>SERVICE</v>
      </c>
    </row>
    <row r="1075" spans="1:8" x14ac:dyDescent="0.25">
      <c r="A1075" t="s">
        <v>243</v>
      </c>
      <c r="B1075">
        <v>135357</v>
      </c>
      <c r="C1075" s="1">
        <v>20769.310000000001</v>
      </c>
      <c r="D1075" s="6">
        <v>44312</v>
      </c>
      <c r="E1075" t="str">
        <f>"202104152700"</f>
        <v>202104152700</v>
      </c>
      <c r="F1075" t="str">
        <f>"CUST#1036215277"</f>
        <v>CUST#1036215277</v>
      </c>
      <c r="G1075" s="1">
        <v>20769.310000000001</v>
      </c>
      <c r="H1075" t="str">
        <f>"CUST#1036215277"</f>
        <v>CUST#1036215277</v>
      </c>
    </row>
    <row r="1076" spans="1:8" x14ac:dyDescent="0.25">
      <c r="A1076" t="s">
        <v>244</v>
      </c>
      <c r="B1076">
        <v>135358</v>
      </c>
      <c r="C1076" s="1">
        <v>102.02</v>
      </c>
      <c r="D1076" s="6">
        <v>44312</v>
      </c>
      <c r="E1076" t="str">
        <f>"202104212812"</f>
        <v>202104212812</v>
      </c>
      <c r="F1076" t="str">
        <f>"INDIGENT HEALTH"</f>
        <v>INDIGENT HEALTH</v>
      </c>
      <c r="G1076" s="1">
        <v>102.02</v>
      </c>
      <c r="H1076" t="str">
        <f>"INDIGENT HEALTH"</f>
        <v>INDIGENT HEALTH</v>
      </c>
    </row>
    <row r="1077" spans="1:8" x14ac:dyDescent="0.25">
      <c r="A1077" t="s">
        <v>245</v>
      </c>
      <c r="B1077">
        <v>135201</v>
      </c>
      <c r="C1077" s="1">
        <v>435</v>
      </c>
      <c r="D1077" s="6">
        <v>44298</v>
      </c>
      <c r="E1077" t="str">
        <f>"202103242269"</f>
        <v>202103242269</v>
      </c>
      <c r="F1077" t="str">
        <f>"REIMBURSE FOR COUPONS #23788"</f>
        <v>REIMBURSE FOR COUPONS #23788</v>
      </c>
      <c r="G1077" s="1">
        <v>435</v>
      </c>
      <c r="H1077" t="str">
        <f>"REIMBURSE FOR COUPONS #23788"</f>
        <v>REIMBURSE FOR COUPONS #23788</v>
      </c>
    </row>
    <row r="1078" spans="1:8" x14ac:dyDescent="0.25">
      <c r="A1078" t="s">
        <v>246</v>
      </c>
      <c r="B1078">
        <v>4277</v>
      </c>
      <c r="C1078" s="1">
        <v>347</v>
      </c>
      <c r="D1078" s="6">
        <v>44299</v>
      </c>
      <c r="E1078" t="str">
        <f>"PART5529922"</f>
        <v>PART5529922</v>
      </c>
      <c r="F1078" t="str">
        <f>"CUST#1006635/OEM"</f>
        <v>CUST#1006635/OEM</v>
      </c>
      <c r="G1078" s="1">
        <v>347</v>
      </c>
      <c r="H1078" t="str">
        <f>"CUST#1006635/OEM"</f>
        <v>CUST#1006635/OEM</v>
      </c>
    </row>
    <row r="1079" spans="1:8" x14ac:dyDescent="0.25">
      <c r="A1079" t="s">
        <v>247</v>
      </c>
      <c r="B1079">
        <v>135359</v>
      </c>
      <c r="C1079" s="1">
        <v>957.12</v>
      </c>
      <c r="D1079" s="6">
        <v>44312</v>
      </c>
      <c r="E1079" t="str">
        <f>"9265402"</f>
        <v>9265402</v>
      </c>
      <c r="F1079" t="str">
        <f>"ACCT#150344157/GENERAL SVCS"</f>
        <v>ACCT#150344157/GENERAL SVCS</v>
      </c>
      <c r="G1079" s="1">
        <v>957.12</v>
      </c>
      <c r="H1079" t="str">
        <f>"ACCT#150344157/GENERAL SVCS"</f>
        <v>ACCT#150344157/GENERAL SVCS</v>
      </c>
    </row>
    <row r="1080" spans="1:8" x14ac:dyDescent="0.25">
      <c r="A1080" t="s">
        <v>248</v>
      </c>
      <c r="B1080">
        <v>135360</v>
      </c>
      <c r="C1080" s="1">
        <v>180</v>
      </c>
      <c r="D1080" s="6">
        <v>44312</v>
      </c>
      <c r="E1080" t="str">
        <f>"202104202764"</f>
        <v>202104202764</v>
      </c>
      <c r="F1080" t="str">
        <f>"RELIEF WELLNESS SVCS/ANIMAL"</f>
        <v>RELIEF WELLNESS SVCS/ANIMAL</v>
      </c>
      <c r="G1080" s="1">
        <v>180</v>
      </c>
      <c r="H1080" t="str">
        <f>"RELIEF WELLNESS SVCS/ANIMAL"</f>
        <v>RELIEF WELLNESS SVCS/ANIMAL</v>
      </c>
    </row>
    <row r="1081" spans="1:8" x14ac:dyDescent="0.25">
      <c r="A1081" t="s">
        <v>249</v>
      </c>
      <c r="B1081">
        <v>4290</v>
      </c>
      <c r="C1081" s="1">
        <v>433.6</v>
      </c>
      <c r="D1081" s="6">
        <v>44299</v>
      </c>
      <c r="E1081" t="str">
        <f>"108006"</f>
        <v>108006</v>
      </c>
      <c r="F1081" t="str">
        <f>"ACCT#24367/ANIMAL SHELTER"</f>
        <v>ACCT#24367/ANIMAL SHELTER</v>
      </c>
      <c r="G1081" s="1">
        <v>433.6</v>
      </c>
      <c r="H1081" t="str">
        <f>"ACCT#24367/ANIMAL SHELTER"</f>
        <v>ACCT#24367/ANIMAL SHELTER</v>
      </c>
    </row>
    <row r="1082" spans="1:8" x14ac:dyDescent="0.25">
      <c r="A1082" t="s">
        <v>250</v>
      </c>
      <c r="B1082">
        <v>4253</v>
      </c>
      <c r="C1082" s="1">
        <v>13913.62</v>
      </c>
      <c r="D1082" s="6">
        <v>44299</v>
      </c>
      <c r="E1082" t="str">
        <f>"INV0855969"</f>
        <v>INV0855969</v>
      </c>
      <c r="F1082" t="str">
        <f>"INV IN0855969  IN0856790"</f>
        <v>INV IN0855969  IN0856790</v>
      </c>
      <c r="G1082" s="1">
        <v>4600.8</v>
      </c>
      <c r="H1082" t="str">
        <f>"INV IN0855969"</f>
        <v>INV IN0855969</v>
      </c>
    </row>
    <row r="1083" spans="1:8" x14ac:dyDescent="0.25">
      <c r="E1083" t="str">
        <f>""</f>
        <v/>
      </c>
      <c r="F1083" t="str">
        <f>""</f>
        <v/>
      </c>
      <c r="H1083" t="str">
        <f>"INV IN0856790"</f>
        <v>INV IN0856790</v>
      </c>
    </row>
    <row r="1084" spans="1:8" x14ac:dyDescent="0.25">
      <c r="E1084" t="str">
        <f>"INV0856689"</f>
        <v>INV0856689</v>
      </c>
      <c r="F1084" t="str">
        <f>"INV IN0856689"</f>
        <v>INV IN0856689</v>
      </c>
      <c r="G1084" s="1">
        <v>4653.6000000000004</v>
      </c>
      <c r="H1084" t="str">
        <f>"INV IN0856689"</f>
        <v>INV IN0856689</v>
      </c>
    </row>
    <row r="1085" spans="1:8" x14ac:dyDescent="0.25">
      <c r="E1085" t="str">
        <f>"INV0856872"</f>
        <v>INV0856872</v>
      </c>
      <c r="F1085" t="str">
        <f>"INV IN0856872"</f>
        <v>INV IN0856872</v>
      </c>
      <c r="G1085" s="1">
        <v>4659.22</v>
      </c>
      <c r="H1085" t="str">
        <f>"INV IN0856872"</f>
        <v>INV IN0856872</v>
      </c>
    </row>
    <row r="1086" spans="1:8" x14ac:dyDescent="0.25">
      <c r="A1086" t="s">
        <v>251</v>
      </c>
      <c r="B1086">
        <v>4318</v>
      </c>
      <c r="C1086" s="1">
        <v>572.29</v>
      </c>
      <c r="D1086" s="6">
        <v>44299</v>
      </c>
      <c r="E1086" t="str">
        <f>"0581-258786"</f>
        <v>0581-258786</v>
      </c>
      <c r="F1086" t="str">
        <f>"CUST#1772018/PCT#1"</f>
        <v>CUST#1772018/PCT#1</v>
      </c>
      <c r="G1086" s="1">
        <v>111.15</v>
      </c>
      <c r="H1086" t="str">
        <f>"CUST#1772018/PCT#1"</f>
        <v>CUST#1772018/PCT#1</v>
      </c>
    </row>
    <row r="1087" spans="1:8" x14ac:dyDescent="0.25">
      <c r="E1087" t="str">
        <f>"0605-379651"</f>
        <v>0605-379651</v>
      </c>
      <c r="F1087" t="str">
        <f>"ACCT#99088/PCT#4"</f>
        <v>ACCT#99088/PCT#4</v>
      </c>
      <c r="G1087" s="1">
        <v>461.14</v>
      </c>
      <c r="H1087" t="str">
        <f>"ACCT#99088/PCT#4"</f>
        <v>ACCT#99088/PCT#4</v>
      </c>
    </row>
    <row r="1088" spans="1:8" x14ac:dyDescent="0.25">
      <c r="A1088" t="s">
        <v>252</v>
      </c>
      <c r="B1088">
        <v>135202</v>
      </c>
      <c r="C1088" s="1">
        <v>2272.9</v>
      </c>
      <c r="D1088" s="6">
        <v>44298</v>
      </c>
      <c r="E1088" t="str">
        <f>"17746420"</f>
        <v>17746420</v>
      </c>
      <c r="F1088" t="str">
        <f>"Bill"</f>
        <v>Bill</v>
      </c>
      <c r="G1088" s="1">
        <v>628.03</v>
      </c>
      <c r="H1088" t="str">
        <f>"157814829001"</f>
        <v>157814829001</v>
      </c>
    </row>
    <row r="1089" spans="5:8" x14ac:dyDescent="0.25">
      <c r="E1089" t="str">
        <f>""</f>
        <v/>
      </c>
      <c r="F1089" t="str">
        <f>""</f>
        <v/>
      </c>
      <c r="H1089" t="str">
        <f>"157820019001"</f>
        <v>157820019001</v>
      </c>
    </row>
    <row r="1090" spans="5:8" x14ac:dyDescent="0.25">
      <c r="E1090" t="str">
        <f>""</f>
        <v/>
      </c>
      <c r="F1090" t="str">
        <f>""</f>
        <v/>
      </c>
      <c r="H1090" t="str">
        <f>"159221600001"</f>
        <v>159221600001</v>
      </c>
    </row>
    <row r="1091" spans="5:8" x14ac:dyDescent="0.25">
      <c r="E1091" t="str">
        <f>""</f>
        <v/>
      </c>
      <c r="F1091" t="str">
        <f>""</f>
        <v/>
      </c>
      <c r="H1091" t="str">
        <f>"159226700001"</f>
        <v>159226700001</v>
      </c>
    </row>
    <row r="1092" spans="5:8" x14ac:dyDescent="0.25">
      <c r="E1092" t="str">
        <f>""</f>
        <v/>
      </c>
      <c r="F1092" t="str">
        <f>""</f>
        <v/>
      </c>
      <c r="H1092" t="str">
        <f>"160915451001"</f>
        <v>160915451001</v>
      </c>
    </row>
    <row r="1093" spans="5:8" x14ac:dyDescent="0.25">
      <c r="E1093" t="str">
        <f>""</f>
        <v/>
      </c>
      <c r="F1093" t="str">
        <f>""</f>
        <v/>
      </c>
      <c r="H1093" t="str">
        <f>"160917729001"</f>
        <v>160917729001</v>
      </c>
    </row>
    <row r="1094" spans="5:8" x14ac:dyDescent="0.25">
      <c r="E1094" t="str">
        <f>""</f>
        <v/>
      </c>
      <c r="F1094" t="str">
        <f>""</f>
        <v/>
      </c>
      <c r="H1094" t="str">
        <f>"160581629001"</f>
        <v>160581629001</v>
      </c>
    </row>
    <row r="1095" spans="5:8" x14ac:dyDescent="0.25">
      <c r="E1095" t="str">
        <f>""</f>
        <v/>
      </c>
      <c r="F1095" t="str">
        <f>""</f>
        <v/>
      </c>
      <c r="H1095" t="str">
        <f>"160658649001"</f>
        <v>160658649001</v>
      </c>
    </row>
    <row r="1096" spans="5:8" x14ac:dyDescent="0.25">
      <c r="E1096" t="str">
        <f>""</f>
        <v/>
      </c>
      <c r="F1096" t="str">
        <f>""</f>
        <v/>
      </c>
      <c r="H1096" t="str">
        <f>"155684723001"</f>
        <v>155684723001</v>
      </c>
    </row>
    <row r="1097" spans="5:8" x14ac:dyDescent="0.25">
      <c r="E1097" t="str">
        <f>""</f>
        <v/>
      </c>
      <c r="F1097" t="str">
        <f>""</f>
        <v/>
      </c>
      <c r="H1097" t="str">
        <f>"164066863001"</f>
        <v>164066863001</v>
      </c>
    </row>
    <row r="1098" spans="5:8" x14ac:dyDescent="0.25">
      <c r="E1098" t="str">
        <f>"17932107"</f>
        <v>17932107</v>
      </c>
      <c r="F1098" t="str">
        <f>"Bill"</f>
        <v>Bill</v>
      </c>
      <c r="G1098" s="1">
        <v>1644.87</v>
      </c>
      <c r="H1098" t="str">
        <f>"165884568001"</f>
        <v>165884568001</v>
      </c>
    </row>
    <row r="1099" spans="5:8" x14ac:dyDescent="0.25">
      <c r="E1099" t="str">
        <f>""</f>
        <v/>
      </c>
      <c r="F1099" t="str">
        <f>""</f>
        <v/>
      </c>
      <c r="H1099" t="str">
        <f>"165915208001"</f>
        <v>165915208001</v>
      </c>
    </row>
    <row r="1100" spans="5:8" x14ac:dyDescent="0.25">
      <c r="E1100" t="str">
        <f>""</f>
        <v/>
      </c>
      <c r="F1100" t="str">
        <f>""</f>
        <v/>
      </c>
      <c r="H1100" t="str">
        <f>"155801515001"</f>
        <v>155801515001</v>
      </c>
    </row>
    <row r="1101" spans="5:8" x14ac:dyDescent="0.25">
      <c r="E1101" t="str">
        <f>""</f>
        <v/>
      </c>
      <c r="F1101" t="str">
        <f>""</f>
        <v/>
      </c>
      <c r="H1101" t="str">
        <f>"157701689001"</f>
        <v>157701689001</v>
      </c>
    </row>
    <row r="1102" spans="5:8" x14ac:dyDescent="0.25">
      <c r="E1102" t="str">
        <f>""</f>
        <v/>
      </c>
      <c r="F1102" t="str">
        <f>""</f>
        <v/>
      </c>
      <c r="H1102" t="str">
        <f>"157701716001"</f>
        <v>157701716001</v>
      </c>
    </row>
    <row r="1103" spans="5:8" x14ac:dyDescent="0.25">
      <c r="E1103" t="str">
        <f>""</f>
        <v/>
      </c>
      <c r="F1103" t="str">
        <f>""</f>
        <v/>
      </c>
      <c r="H1103" t="str">
        <f>"157701870001"</f>
        <v>157701870001</v>
      </c>
    </row>
    <row r="1104" spans="5:8" x14ac:dyDescent="0.25">
      <c r="E1104" t="str">
        <f>""</f>
        <v/>
      </c>
      <c r="F1104" t="str">
        <f>""</f>
        <v/>
      </c>
      <c r="H1104" t="str">
        <f>"157701876001"</f>
        <v>157701876001</v>
      </c>
    </row>
    <row r="1105" spans="1:8" x14ac:dyDescent="0.25">
      <c r="E1105" t="str">
        <f>""</f>
        <v/>
      </c>
      <c r="F1105" t="str">
        <f>""</f>
        <v/>
      </c>
      <c r="H1105" t="str">
        <f>"157702227001"</f>
        <v>157702227001</v>
      </c>
    </row>
    <row r="1106" spans="1:8" x14ac:dyDescent="0.25">
      <c r="E1106" t="str">
        <f>""</f>
        <v/>
      </c>
      <c r="F1106" t="str">
        <f>""</f>
        <v/>
      </c>
      <c r="H1106" t="str">
        <f>"164983138001"</f>
        <v>164983138001</v>
      </c>
    </row>
    <row r="1107" spans="1:8" x14ac:dyDescent="0.25">
      <c r="E1107" t="str">
        <f>""</f>
        <v/>
      </c>
      <c r="F1107" t="str">
        <f>""</f>
        <v/>
      </c>
      <c r="H1107" t="str">
        <f>"165677503001"</f>
        <v>165677503001</v>
      </c>
    </row>
    <row r="1108" spans="1:8" x14ac:dyDescent="0.25">
      <c r="E1108" t="str">
        <f>""</f>
        <v/>
      </c>
      <c r="F1108" t="str">
        <f>""</f>
        <v/>
      </c>
      <c r="H1108" t="str">
        <f>"165678463001"</f>
        <v>165678463001</v>
      </c>
    </row>
    <row r="1109" spans="1:8" x14ac:dyDescent="0.25">
      <c r="E1109" t="str">
        <f>""</f>
        <v/>
      </c>
      <c r="F1109" t="str">
        <f>""</f>
        <v/>
      </c>
      <c r="H1109" t="str">
        <f>"162579533001"</f>
        <v>162579533001</v>
      </c>
    </row>
    <row r="1110" spans="1:8" x14ac:dyDescent="0.25">
      <c r="E1110" t="str">
        <f>""</f>
        <v/>
      </c>
      <c r="F1110" t="str">
        <f>""</f>
        <v/>
      </c>
      <c r="H1110" t="str">
        <f>"164728184001"</f>
        <v>164728184001</v>
      </c>
    </row>
    <row r="1111" spans="1:8" x14ac:dyDescent="0.25">
      <c r="E1111" t="str">
        <f>""</f>
        <v/>
      </c>
      <c r="F1111" t="str">
        <f>""</f>
        <v/>
      </c>
      <c r="H1111" t="str">
        <f>"165292885001"</f>
        <v>165292885001</v>
      </c>
    </row>
    <row r="1112" spans="1:8" x14ac:dyDescent="0.25">
      <c r="E1112" t="str">
        <f>""</f>
        <v/>
      </c>
      <c r="F1112" t="str">
        <f>""</f>
        <v/>
      </c>
      <c r="H1112" t="str">
        <f>"166362048001"</f>
        <v>166362048001</v>
      </c>
    </row>
    <row r="1113" spans="1:8" x14ac:dyDescent="0.25">
      <c r="A1113" t="s">
        <v>252</v>
      </c>
      <c r="B1113">
        <v>135361</v>
      </c>
      <c r="C1113" s="1">
        <v>1336.25</v>
      </c>
      <c r="D1113" s="6">
        <v>44312</v>
      </c>
      <c r="E1113" t="str">
        <f>"18059387"</f>
        <v>18059387</v>
      </c>
      <c r="F1113" t="str">
        <f>"Statement"</f>
        <v>Statement</v>
      </c>
      <c r="G1113" s="1">
        <v>1336.25</v>
      </c>
      <c r="H1113" t="str">
        <f>"167024258001"</f>
        <v>167024258001</v>
      </c>
    </row>
    <row r="1114" spans="1:8" x14ac:dyDescent="0.25">
      <c r="E1114" t="str">
        <f>""</f>
        <v/>
      </c>
      <c r="F1114" t="str">
        <f>""</f>
        <v/>
      </c>
      <c r="H1114" t="str">
        <f>"166720110001"</f>
        <v>166720110001</v>
      </c>
    </row>
    <row r="1115" spans="1:8" x14ac:dyDescent="0.25">
      <c r="E1115" t="str">
        <f>""</f>
        <v/>
      </c>
      <c r="F1115" t="str">
        <f>""</f>
        <v/>
      </c>
      <c r="H1115" t="str">
        <f>"166744410001"</f>
        <v>166744410001</v>
      </c>
    </row>
    <row r="1116" spans="1:8" x14ac:dyDescent="0.25">
      <c r="E1116" t="str">
        <f>""</f>
        <v/>
      </c>
      <c r="F1116" t="str">
        <f>""</f>
        <v/>
      </c>
      <c r="H1116" t="str">
        <f>"164953588001"</f>
        <v>164953588001</v>
      </c>
    </row>
    <row r="1117" spans="1:8" x14ac:dyDescent="0.25">
      <c r="E1117" t="str">
        <f>""</f>
        <v/>
      </c>
      <c r="F1117" t="str">
        <f>""</f>
        <v/>
      </c>
      <c r="H1117" t="str">
        <f>"167030993001"</f>
        <v>167030993001</v>
      </c>
    </row>
    <row r="1118" spans="1:8" x14ac:dyDescent="0.25">
      <c r="E1118" t="str">
        <f>""</f>
        <v/>
      </c>
      <c r="F1118" t="str">
        <f>""</f>
        <v/>
      </c>
      <c r="H1118" t="str">
        <f>"167030994001"</f>
        <v>167030994001</v>
      </c>
    </row>
    <row r="1119" spans="1:8" x14ac:dyDescent="0.25">
      <c r="E1119" t="str">
        <f>""</f>
        <v/>
      </c>
      <c r="F1119" t="str">
        <f>""</f>
        <v/>
      </c>
      <c r="H1119" t="str">
        <f>"167030995001"</f>
        <v>167030995001</v>
      </c>
    </row>
    <row r="1120" spans="1:8" x14ac:dyDescent="0.25">
      <c r="E1120" t="str">
        <f>""</f>
        <v/>
      </c>
      <c r="F1120" t="str">
        <f>""</f>
        <v/>
      </c>
      <c r="H1120" t="str">
        <f>"166860931001"</f>
        <v>166860931001</v>
      </c>
    </row>
    <row r="1121" spans="1:8" x14ac:dyDescent="0.25">
      <c r="E1121" t="str">
        <f>""</f>
        <v/>
      </c>
      <c r="F1121" t="str">
        <f>""</f>
        <v/>
      </c>
      <c r="H1121" t="str">
        <f>"166860931002"</f>
        <v>166860931002</v>
      </c>
    </row>
    <row r="1122" spans="1:8" x14ac:dyDescent="0.25">
      <c r="E1122" t="str">
        <f>""</f>
        <v/>
      </c>
      <c r="F1122" t="str">
        <f>""</f>
        <v/>
      </c>
      <c r="H1122" t="str">
        <f>"165529891001"</f>
        <v>165529891001</v>
      </c>
    </row>
    <row r="1123" spans="1:8" x14ac:dyDescent="0.25">
      <c r="E1123" t="str">
        <f>""</f>
        <v/>
      </c>
      <c r="F1123" t="str">
        <f>""</f>
        <v/>
      </c>
      <c r="H1123" t="str">
        <f>"165551513001"</f>
        <v>165551513001</v>
      </c>
    </row>
    <row r="1124" spans="1:8" x14ac:dyDescent="0.25">
      <c r="E1124" t="str">
        <f>""</f>
        <v/>
      </c>
      <c r="F1124" t="str">
        <f>""</f>
        <v/>
      </c>
      <c r="H1124" t="str">
        <f>"165551514001"</f>
        <v>165551514001</v>
      </c>
    </row>
    <row r="1125" spans="1:8" x14ac:dyDescent="0.25">
      <c r="E1125" t="str">
        <f>""</f>
        <v/>
      </c>
      <c r="F1125" t="str">
        <f>""</f>
        <v/>
      </c>
      <c r="H1125" t="str">
        <f>"167469991001"</f>
        <v>167469991001</v>
      </c>
    </row>
    <row r="1126" spans="1:8" x14ac:dyDescent="0.25">
      <c r="E1126" t="str">
        <f>""</f>
        <v/>
      </c>
      <c r="F1126" t="str">
        <f>""</f>
        <v/>
      </c>
      <c r="H1126" t="str">
        <f>"167502627001"</f>
        <v>167502627001</v>
      </c>
    </row>
    <row r="1127" spans="1:8" x14ac:dyDescent="0.25">
      <c r="E1127" t="str">
        <f>""</f>
        <v/>
      </c>
      <c r="F1127" t="str">
        <f>""</f>
        <v/>
      </c>
      <c r="H1127" t="str">
        <f>"167502628001"</f>
        <v>167502628001</v>
      </c>
    </row>
    <row r="1128" spans="1:8" x14ac:dyDescent="0.25">
      <c r="E1128" t="str">
        <f>""</f>
        <v/>
      </c>
      <c r="F1128" t="str">
        <f>""</f>
        <v/>
      </c>
      <c r="H1128" t="str">
        <f>"167014153001"</f>
        <v>167014153001</v>
      </c>
    </row>
    <row r="1129" spans="1:8" x14ac:dyDescent="0.25">
      <c r="E1129" t="str">
        <f>""</f>
        <v/>
      </c>
      <c r="F1129" t="str">
        <f>""</f>
        <v/>
      </c>
      <c r="H1129" t="str">
        <f>"167020724001"</f>
        <v>167020724001</v>
      </c>
    </row>
    <row r="1130" spans="1:8" x14ac:dyDescent="0.25">
      <c r="E1130" t="str">
        <f>""</f>
        <v/>
      </c>
      <c r="F1130" t="str">
        <f>""</f>
        <v/>
      </c>
      <c r="H1130" t="str">
        <f>"168052833001"</f>
        <v>168052833001</v>
      </c>
    </row>
    <row r="1131" spans="1:8" x14ac:dyDescent="0.25">
      <c r="E1131" t="str">
        <f>""</f>
        <v/>
      </c>
      <c r="F1131" t="str">
        <f>""</f>
        <v/>
      </c>
      <c r="H1131" t="str">
        <f>"168055318001"</f>
        <v>168055318001</v>
      </c>
    </row>
    <row r="1132" spans="1:8" x14ac:dyDescent="0.25">
      <c r="E1132" t="str">
        <f>""</f>
        <v/>
      </c>
      <c r="F1132" t="str">
        <f>""</f>
        <v/>
      </c>
      <c r="H1132" t="str">
        <f>"168055320001"</f>
        <v>168055320001</v>
      </c>
    </row>
    <row r="1133" spans="1:8" x14ac:dyDescent="0.25">
      <c r="A1133" t="s">
        <v>253</v>
      </c>
      <c r="B1133">
        <v>135362</v>
      </c>
      <c r="C1133" s="1">
        <v>3456</v>
      </c>
      <c r="D1133" s="6">
        <v>44312</v>
      </c>
      <c r="E1133" t="str">
        <f>"202104152705"</f>
        <v>202104152705</v>
      </c>
      <c r="F1133" t="str">
        <f>"1ST QTR ACTIVITY/PCT4"</f>
        <v>1ST QTR ACTIVITY/PCT4</v>
      </c>
      <c r="G1133" s="1">
        <v>630</v>
      </c>
      <c r="H1133" t="str">
        <f>"1ST QTR ACTIVITY/PCT4"</f>
        <v>1ST QTR ACTIVITY/PCT4</v>
      </c>
    </row>
    <row r="1134" spans="1:8" x14ac:dyDescent="0.25">
      <c r="E1134" t="str">
        <f>"202104152710"</f>
        <v>202104152710</v>
      </c>
      <c r="F1134" t="str">
        <f>"1ST QTR ACTIVITY/JP3"</f>
        <v>1ST QTR ACTIVITY/JP3</v>
      </c>
      <c r="G1134" s="1">
        <v>828</v>
      </c>
      <c r="H1134" t="str">
        <f>"1ST QTR ACTIVITY/JP3"</f>
        <v>1ST QTR ACTIVITY/JP3</v>
      </c>
    </row>
    <row r="1135" spans="1:8" x14ac:dyDescent="0.25">
      <c r="E1135" t="str">
        <f>"202104152711"</f>
        <v>202104152711</v>
      </c>
      <c r="F1135" t="str">
        <f>"1ST QTR ACTIVITY/ JP2"</f>
        <v>1ST QTR ACTIVITY/ JP2</v>
      </c>
      <c r="G1135" s="1">
        <v>1218</v>
      </c>
      <c r="H1135" t="str">
        <f>"1ST QTR ACTIVITY/ JP2"</f>
        <v>1ST QTR ACTIVITY/ JP2</v>
      </c>
    </row>
    <row r="1136" spans="1:8" x14ac:dyDescent="0.25">
      <c r="E1136" t="str">
        <f>"202104192733"</f>
        <v>202104192733</v>
      </c>
      <c r="F1136" t="str">
        <f>"1ST QTR ACTIVITY/JP1"</f>
        <v>1ST QTR ACTIVITY/JP1</v>
      </c>
      <c r="G1136" s="1">
        <v>774</v>
      </c>
      <c r="H1136" t="str">
        <f>"1ST QTR ACTIVITY/JP1"</f>
        <v>1ST QTR ACTIVITY/JP1</v>
      </c>
    </row>
    <row r="1137" spans="1:8" x14ac:dyDescent="0.25">
      <c r="E1137" t="str">
        <f>"202104202759"</f>
        <v>202104202759</v>
      </c>
      <c r="F1137" t="str">
        <f>"1ST QTR ACTIVITY/DISTRICT CLRK"</f>
        <v>1ST QTR ACTIVITY/DISTRICT CLRK</v>
      </c>
      <c r="G1137" s="1">
        <v>6</v>
      </c>
      <c r="H1137" t="str">
        <f>"1ST QTR ACTIVITY/DISTRICT CLRK"</f>
        <v>1ST QTR ACTIVITY/DISTRICT CLRK</v>
      </c>
    </row>
    <row r="1138" spans="1:8" x14ac:dyDescent="0.25">
      <c r="A1138" t="s">
        <v>254</v>
      </c>
      <c r="B1138">
        <v>135203</v>
      </c>
      <c r="C1138" s="1">
        <v>105</v>
      </c>
      <c r="D1138" s="6">
        <v>44298</v>
      </c>
      <c r="E1138" t="str">
        <f>"288768"</f>
        <v>288768</v>
      </c>
      <c r="F1138" t="str">
        <f>"CUST#BASCOU/HUMAN RES."</f>
        <v>CUST#BASCOU/HUMAN RES.</v>
      </c>
      <c r="G1138" s="1">
        <v>105</v>
      </c>
      <c r="H1138" t="str">
        <f>"CUST#BASCOU/HUMAN RES."</f>
        <v>CUST#BASCOU/HUMAN RES.</v>
      </c>
    </row>
    <row r="1139" spans="1:8" x14ac:dyDescent="0.25">
      <c r="E1139" t="str">
        <f>""</f>
        <v/>
      </c>
      <c r="F1139" t="str">
        <f>""</f>
        <v/>
      </c>
      <c r="H1139" t="str">
        <f>"CUST#BASCOU/HUMAN RES."</f>
        <v>CUST#BASCOU/HUMAN RES.</v>
      </c>
    </row>
    <row r="1140" spans="1:8" x14ac:dyDescent="0.25">
      <c r="A1140" t="s">
        <v>255</v>
      </c>
      <c r="B1140">
        <v>4333</v>
      </c>
      <c r="C1140" s="1">
        <v>15813.81</v>
      </c>
      <c r="D1140" s="6">
        <v>44313</v>
      </c>
      <c r="E1140" t="str">
        <f>"21110"</f>
        <v>21110</v>
      </c>
      <c r="F1140" t="str">
        <f>"ASPHALT EMULSION/PCT#2"</f>
        <v>ASPHALT EMULSION/PCT#2</v>
      </c>
      <c r="G1140" s="1">
        <v>15813.81</v>
      </c>
      <c r="H1140" t="str">
        <f>"ASPHALT EMULSION/PCT#2"</f>
        <v>ASPHALT EMULSION/PCT#2</v>
      </c>
    </row>
    <row r="1141" spans="1:8" x14ac:dyDescent="0.25">
      <c r="A1141" t="s">
        <v>256</v>
      </c>
      <c r="B1141">
        <v>135363</v>
      </c>
      <c r="C1141" s="1">
        <v>15222.24</v>
      </c>
      <c r="D1141" s="6">
        <v>44312</v>
      </c>
      <c r="E1141" t="str">
        <f>"81457"</f>
        <v>81457</v>
      </c>
      <c r="F1141" t="str">
        <f>"PAIGE TRACTORS INC"</f>
        <v>PAIGE TRACTORS INC</v>
      </c>
      <c r="G1141" s="1">
        <v>15200</v>
      </c>
      <c r="H1141" t="str">
        <f>"Bushwhacker"</f>
        <v>Bushwhacker</v>
      </c>
    </row>
    <row r="1142" spans="1:8" x14ac:dyDescent="0.25">
      <c r="E1142" t="str">
        <f>"81458"</f>
        <v>81458</v>
      </c>
      <c r="F1142" t="str">
        <f>"HITCH PIN/PCT#2"</f>
        <v>HITCH PIN/PCT#2</v>
      </c>
      <c r="G1142" s="1">
        <v>22.24</v>
      </c>
      <c r="H1142" t="str">
        <f>"HITCH PIN/PCT#2"</f>
        <v>HITCH PIN/PCT#2</v>
      </c>
    </row>
    <row r="1143" spans="1:8" x14ac:dyDescent="0.25">
      <c r="A1143" t="s">
        <v>257</v>
      </c>
      <c r="B1143">
        <v>4292</v>
      </c>
      <c r="C1143" s="1">
        <v>145</v>
      </c>
      <c r="D1143" s="6">
        <v>44299</v>
      </c>
      <c r="E1143" t="str">
        <f>"0000056886"</f>
        <v>0000056886</v>
      </c>
      <c r="F1143" t="str">
        <f>"INV 0000056886"</f>
        <v>INV 0000056886</v>
      </c>
      <c r="G1143" s="1">
        <v>145</v>
      </c>
      <c r="H1143" t="str">
        <f>"INV 0000056886"</f>
        <v>INV 0000056886</v>
      </c>
    </row>
    <row r="1144" spans="1:8" x14ac:dyDescent="0.25">
      <c r="A1144" t="s">
        <v>258</v>
      </c>
      <c r="B1144">
        <v>135204</v>
      </c>
      <c r="C1144" s="1">
        <v>236.31</v>
      </c>
      <c r="D1144" s="6">
        <v>44298</v>
      </c>
      <c r="E1144" t="str">
        <f>"202104062428"</f>
        <v>202104062428</v>
      </c>
      <c r="F1144" t="str">
        <f>"ACCT#1137/PCT#4"</f>
        <v>ACCT#1137/PCT#4</v>
      </c>
      <c r="G1144" s="1">
        <v>236.31</v>
      </c>
      <c r="H1144" t="str">
        <f>"ACCT#1137/PCT#4"</f>
        <v>ACCT#1137/PCT#4</v>
      </c>
    </row>
    <row r="1145" spans="1:8" x14ac:dyDescent="0.25">
      <c r="A1145" t="s">
        <v>259</v>
      </c>
      <c r="B1145">
        <v>4267</v>
      </c>
      <c r="C1145" s="1">
        <v>257.55</v>
      </c>
      <c r="D1145" s="6">
        <v>44299</v>
      </c>
      <c r="E1145" t="str">
        <f>"2008464"</f>
        <v>2008464</v>
      </c>
      <c r="F1145" t="str">
        <f>"ACCT#BA-CNTY-01"</f>
        <v>ACCT#BA-CNTY-01</v>
      </c>
      <c r="G1145" s="1">
        <v>257.55</v>
      </c>
      <c r="H1145" t="str">
        <f>"ACCT#BA-CNTY-01"</f>
        <v>ACCT#BA-CNTY-01</v>
      </c>
    </row>
    <row r="1146" spans="1:8" x14ac:dyDescent="0.25">
      <c r="A1146" t="s">
        <v>260</v>
      </c>
      <c r="B1146">
        <v>135205</v>
      </c>
      <c r="C1146" s="1">
        <v>928.6</v>
      </c>
      <c r="D1146" s="6">
        <v>44298</v>
      </c>
      <c r="E1146" t="str">
        <f>"3011004882"</f>
        <v>3011004882</v>
      </c>
      <c r="F1146" t="str">
        <f>"ACCT#0200140783/ANIMAL SHELTER"</f>
        <v>ACCT#0200140783/ANIMAL SHELTER</v>
      </c>
      <c r="G1146" s="1">
        <v>928.6</v>
      </c>
      <c r="H1146" t="str">
        <f>"ACCT#0200140783/ANIMAL SHELTER"</f>
        <v>ACCT#0200140783/ANIMAL SHELTER</v>
      </c>
    </row>
    <row r="1147" spans="1:8" x14ac:dyDescent="0.25">
      <c r="E1147" t="str">
        <f>""</f>
        <v/>
      </c>
      <c r="F1147" t="str">
        <f>""</f>
        <v/>
      </c>
      <c r="H1147" t="str">
        <f>"ACCT#0200140783/ANIMAL SHELTER"</f>
        <v>ACCT#0200140783/ANIMAL SHELTER</v>
      </c>
    </row>
    <row r="1148" spans="1:8" x14ac:dyDescent="0.25">
      <c r="E1148" t="str">
        <f>""</f>
        <v/>
      </c>
      <c r="F1148" t="str">
        <f>""</f>
        <v/>
      </c>
      <c r="H1148" t="str">
        <f>"ACCT#0200140783/ANIMAL SHELTER"</f>
        <v>ACCT#0200140783/ANIMAL SHELTER</v>
      </c>
    </row>
    <row r="1149" spans="1:8" x14ac:dyDescent="0.25">
      <c r="A1149" t="s">
        <v>261</v>
      </c>
      <c r="B1149">
        <v>135364</v>
      </c>
      <c r="C1149" s="1">
        <v>11000</v>
      </c>
      <c r="D1149" s="6">
        <v>44312</v>
      </c>
      <c r="E1149" t="str">
        <f>"425170"</f>
        <v>425170</v>
      </c>
      <c r="F1149" t="str">
        <f>"PRIOR INVOICE- 9/30/2020"</f>
        <v>PRIOR INVOICE- 9/30/2020</v>
      </c>
      <c r="G1149" s="1">
        <v>9000</v>
      </c>
      <c r="H1149" t="str">
        <f>"PRIOR INVOICE- 9/30/2020"</f>
        <v>PRIOR INVOICE- 9/30/2020</v>
      </c>
    </row>
    <row r="1150" spans="1:8" x14ac:dyDescent="0.25">
      <c r="E1150" t="str">
        <f>"432711"</f>
        <v>432711</v>
      </c>
      <c r="F1150" t="str">
        <f>"FINAL BILL/AUDIT FINANCIAL"</f>
        <v>FINAL BILL/AUDIT FINANCIAL</v>
      </c>
      <c r="G1150" s="1">
        <v>2000</v>
      </c>
      <c r="H1150" t="str">
        <f>"FINAL BILL/AUDIT FINANCIAL"</f>
        <v>FINAL BILL/AUDIT FINANCIAL</v>
      </c>
    </row>
    <row r="1151" spans="1:8" x14ac:dyDescent="0.25">
      <c r="A1151" t="s">
        <v>262</v>
      </c>
      <c r="B1151">
        <v>4260</v>
      </c>
      <c r="C1151" s="1">
        <v>676</v>
      </c>
      <c r="D1151" s="6">
        <v>44299</v>
      </c>
      <c r="E1151" t="str">
        <f>"202104062442"</f>
        <v>202104062442</v>
      </c>
      <c r="F1151" t="str">
        <f>"TRASH REMOVAL/PAUL GRANADO"</f>
        <v>TRASH REMOVAL/PAUL GRANADO</v>
      </c>
      <c r="G1151" s="1">
        <v>383.5</v>
      </c>
      <c r="H1151" t="str">
        <f>"TRASH REMOVAL/PAUL GRANADO"</f>
        <v>TRASH REMOVAL/PAUL GRANADO</v>
      </c>
    </row>
    <row r="1152" spans="1:8" x14ac:dyDescent="0.25">
      <c r="E1152" t="str">
        <f>"202104062443"</f>
        <v>202104062443</v>
      </c>
      <c r="F1152" t="str">
        <f>"TRASH REMOVAL/PAUL GRANADO"</f>
        <v>TRASH REMOVAL/PAUL GRANADO</v>
      </c>
      <c r="G1152" s="1">
        <v>292.5</v>
      </c>
      <c r="H1152" t="str">
        <f>"TRASH REMOVAL/PAUL GRANADO"</f>
        <v>TRASH REMOVAL/PAUL GRANADO</v>
      </c>
    </row>
    <row r="1153" spans="1:8" x14ac:dyDescent="0.25">
      <c r="A1153" t="s">
        <v>262</v>
      </c>
      <c r="B1153">
        <v>4337</v>
      </c>
      <c r="C1153" s="1">
        <v>474.5</v>
      </c>
      <c r="D1153" s="6">
        <v>44313</v>
      </c>
      <c r="E1153" t="str">
        <f>"202104202768"</f>
        <v>202104202768</v>
      </c>
      <c r="F1153" t="str">
        <f>"TRASH REMOVAL/PAUL GRANADO"</f>
        <v>TRASH REMOVAL/PAUL GRANADO</v>
      </c>
      <c r="G1153" s="1">
        <v>474.5</v>
      </c>
      <c r="H1153" t="str">
        <f>"TRASH REMOVAL/PAUL GRANADO"</f>
        <v>TRASH REMOVAL/PAUL GRANADO</v>
      </c>
    </row>
    <row r="1154" spans="1:8" x14ac:dyDescent="0.25">
      <c r="A1154" t="s">
        <v>263</v>
      </c>
      <c r="B1154">
        <v>135206</v>
      </c>
      <c r="C1154" s="1">
        <v>18208.46</v>
      </c>
      <c r="D1154" s="6">
        <v>44298</v>
      </c>
      <c r="E1154" t="str">
        <f>"IVC00057899"</f>
        <v>IVC00057899</v>
      </c>
      <c r="F1154" t="str">
        <f>"FINES ANS FEES/JP#1"</f>
        <v>FINES ANS FEES/JP#1</v>
      </c>
      <c r="G1154" s="1">
        <v>2992.64</v>
      </c>
      <c r="H1154" t="str">
        <f>"FINES ANS FEES/JP#1"</f>
        <v>FINES ANS FEES/JP#1</v>
      </c>
    </row>
    <row r="1155" spans="1:8" x14ac:dyDescent="0.25">
      <c r="E1155" t="str">
        <f>"IVC00057928"</f>
        <v>IVC00057928</v>
      </c>
      <c r="F1155" t="str">
        <f>"FINES/FEES JP#3"</f>
        <v>FINES/FEES JP#3</v>
      </c>
      <c r="G1155" s="1">
        <v>5896.56</v>
      </c>
      <c r="H1155" t="str">
        <f>"FINES/FEES JP#3"</f>
        <v>FINES/FEES JP#3</v>
      </c>
    </row>
    <row r="1156" spans="1:8" x14ac:dyDescent="0.25">
      <c r="E1156" t="str">
        <f>"IVC00057929"</f>
        <v>IVC00057929</v>
      </c>
      <c r="F1156" t="str">
        <f>"FINES/FEES JP#4"</f>
        <v>FINES/FEES JP#4</v>
      </c>
      <c r="G1156" s="1">
        <v>9319.26</v>
      </c>
      <c r="H1156" t="str">
        <f>"FINES/FEES JP#4"</f>
        <v>FINES/FEES JP#4</v>
      </c>
    </row>
    <row r="1157" spans="1:8" x14ac:dyDescent="0.25">
      <c r="A1157" t="s">
        <v>263</v>
      </c>
      <c r="B1157">
        <v>135365</v>
      </c>
      <c r="C1157" s="1">
        <v>58287.16</v>
      </c>
      <c r="D1157" s="6">
        <v>44312</v>
      </c>
      <c r="E1157" t="str">
        <f>"IVC00058506"</f>
        <v>IVC00058506</v>
      </c>
      <c r="F1157" t="str">
        <f>"ATTORNEY FEES/JP1"</f>
        <v>ATTORNEY FEES/JP1</v>
      </c>
      <c r="G1157" s="1">
        <v>10306.32</v>
      </c>
      <c r="H1157" t="str">
        <f>"ATTORNEY FEES/JP1"</f>
        <v>ATTORNEY FEES/JP1</v>
      </c>
    </row>
    <row r="1158" spans="1:8" x14ac:dyDescent="0.25">
      <c r="E1158" t="str">
        <f>"IVC00058507"</f>
        <v>IVC00058507</v>
      </c>
      <c r="F1158" t="str">
        <f>"ATTORNEY FEES/JP#2"</f>
        <v>ATTORNEY FEES/JP#2</v>
      </c>
      <c r="G1158" s="1">
        <v>18161.330000000002</v>
      </c>
      <c r="H1158" t="str">
        <f>"ATTORNEY FEES/JP#2"</f>
        <v>ATTORNEY FEES/JP#2</v>
      </c>
    </row>
    <row r="1159" spans="1:8" x14ac:dyDescent="0.25">
      <c r="E1159" t="str">
        <f>"IVC00058508"</f>
        <v>IVC00058508</v>
      </c>
      <c r="F1159" t="str">
        <f>"ATTORNEY FEES/JP3"</f>
        <v>ATTORNEY FEES/JP3</v>
      </c>
      <c r="G1159" s="1">
        <v>13720.65</v>
      </c>
      <c r="H1159" t="str">
        <f>"ATTORNEY FEES/JP3"</f>
        <v>ATTORNEY FEES/JP3</v>
      </c>
    </row>
    <row r="1160" spans="1:8" x14ac:dyDescent="0.25">
      <c r="E1160" t="str">
        <f>"IVC00058509"</f>
        <v>IVC00058509</v>
      </c>
      <c r="F1160" t="str">
        <f>"ATTORNEY FEES/JP4"</f>
        <v>ATTORNEY FEES/JP4</v>
      </c>
      <c r="G1160" s="1">
        <v>16098.86</v>
      </c>
      <c r="H1160" t="str">
        <f>"ATTORNEY FEES/JP4"</f>
        <v>ATTORNEY FEES/JP4</v>
      </c>
    </row>
    <row r="1161" spans="1:8" x14ac:dyDescent="0.25">
      <c r="A1161" t="s">
        <v>264</v>
      </c>
      <c r="B1161">
        <v>4309</v>
      </c>
      <c r="C1161" s="1">
        <v>1357.5</v>
      </c>
      <c r="D1161" s="6">
        <v>44299</v>
      </c>
      <c r="E1161" t="str">
        <f>"202103242283"</f>
        <v>202103242283</v>
      </c>
      <c r="F1161" t="str">
        <f>"21-20596"</f>
        <v>21-20596</v>
      </c>
      <c r="G1161" s="1">
        <v>250</v>
      </c>
      <c r="H1161" t="str">
        <f>"21-20596"</f>
        <v>21-20596</v>
      </c>
    </row>
    <row r="1162" spans="1:8" x14ac:dyDescent="0.25">
      <c r="E1162" t="str">
        <f>"202103242284"</f>
        <v>202103242284</v>
      </c>
      <c r="F1162" t="str">
        <f>"20-20415"</f>
        <v>20-20415</v>
      </c>
      <c r="G1162" s="1">
        <v>197.5</v>
      </c>
      <c r="H1162" t="str">
        <f>"20-20415"</f>
        <v>20-20415</v>
      </c>
    </row>
    <row r="1163" spans="1:8" x14ac:dyDescent="0.25">
      <c r="E1163" t="str">
        <f>"202103242285"</f>
        <v>202103242285</v>
      </c>
      <c r="F1163" t="str">
        <f>"20-20084"</f>
        <v>20-20084</v>
      </c>
      <c r="G1163" s="1">
        <v>175</v>
      </c>
      <c r="H1163" t="str">
        <f>"20-20084"</f>
        <v>20-20084</v>
      </c>
    </row>
    <row r="1164" spans="1:8" x14ac:dyDescent="0.25">
      <c r="E1164" t="str">
        <f>"202104062472"</f>
        <v>202104062472</v>
      </c>
      <c r="F1164" t="str">
        <f>"21-20596"</f>
        <v>21-20596</v>
      </c>
      <c r="G1164" s="1">
        <v>160</v>
      </c>
      <c r="H1164" t="str">
        <f>"21-20596"</f>
        <v>21-20596</v>
      </c>
    </row>
    <row r="1165" spans="1:8" x14ac:dyDescent="0.25">
      <c r="E1165" t="str">
        <f>"202104062473"</f>
        <v>202104062473</v>
      </c>
      <c r="F1165" t="str">
        <f>"20-20635"</f>
        <v>20-20635</v>
      </c>
      <c r="G1165" s="1">
        <v>325</v>
      </c>
      <c r="H1165" t="str">
        <f>"20-20635"</f>
        <v>20-20635</v>
      </c>
    </row>
    <row r="1166" spans="1:8" x14ac:dyDescent="0.25">
      <c r="E1166" t="str">
        <f>"202104072483"</f>
        <v>202104072483</v>
      </c>
      <c r="F1166" t="str">
        <f>"55-496"</f>
        <v>55-496</v>
      </c>
      <c r="G1166" s="1">
        <v>250</v>
      </c>
      <c r="H1166" t="str">
        <f>"55-496"</f>
        <v>55-496</v>
      </c>
    </row>
    <row r="1167" spans="1:8" x14ac:dyDescent="0.25">
      <c r="A1167" t="s">
        <v>264</v>
      </c>
      <c r="B1167">
        <v>4382</v>
      </c>
      <c r="C1167" s="1">
        <v>302.5</v>
      </c>
      <c r="D1167" s="6">
        <v>44313</v>
      </c>
      <c r="E1167" t="str">
        <f>"202104212786"</f>
        <v>202104212786</v>
      </c>
      <c r="F1167" t="str">
        <f>"21-20596"</f>
        <v>21-20596</v>
      </c>
      <c r="G1167" s="1">
        <v>302.5</v>
      </c>
      <c r="H1167" t="str">
        <f>"21-20596"</f>
        <v>21-20596</v>
      </c>
    </row>
    <row r="1168" spans="1:8" x14ac:dyDescent="0.25">
      <c r="A1168" t="s">
        <v>265</v>
      </c>
      <c r="B1168">
        <v>135366</v>
      </c>
      <c r="C1168" s="1">
        <v>54</v>
      </c>
      <c r="D1168" s="6">
        <v>44312</v>
      </c>
      <c r="E1168" t="str">
        <f>"003187"</f>
        <v>003187</v>
      </c>
      <c r="F1168" t="str">
        <f>"REPAIR/ CLYDE HAYWOOD SR"</f>
        <v>REPAIR/ CLYDE HAYWOOD SR</v>
      </c>
      <c r="G1168" s="1">
        <v>54</v>
      </c>
      <c r="H1168" t="str">
        <f>"REPAIR/ CLYDE HAYWOOD SR"</f>
        <v>REPAIR/ CLYDE HAYWOOD SR</v>
      </c>
    </row>
    <row r="1169" spans="1:8" x14ac:dyDescent="0.25">
      <c r="A1169" t="s">
        <v>266</v>
      </c>
      <c r="B1169">
        <v>135207</v>
      </c>
      <c r="C1169" s="1">
        <v>32.25</v>
      </c>
      <c r="D1169" s="6">
        <v>44298</v>
      </c>
      <c r="E1169" t="str">
        <f>"1017815490"</f>
        <v>1017815490</v>
      </c>
      <c r="F1169" t="str">
        <f>"INV 1017815490"</f>
        <v>INV 1017815490</v>
      </c>
      <c r="G1169" s="1">
        <v>32.25</v>
      </c>
      <c r="H1169" t="str">
        <f>"INV 1017815490"</f>
        <v>INV 1017815490</v>
      </c>
    </row>
    <row r="1170" spans="1:8" x14ac:dyDescent="0.25">
      <c r="A1170" t="s">
        <v>267</v>
      </c>
      <c r="B1170">
        <v>4308</v>
      </c>
      <c r="C1170" s="1">
        <v>7050.85</v>
      </c>
      <c r="D1170" s="6">
        <v>44299</v>
      </c>
      <c r="E1170" t="str">
        <f>"3311332934"</f>
        <v>3311332934</v>
      </c>
      <c r="F1170" t="str">
        <f>"ACCT#0017325717-MAY 2020"</f>
        <v>ACCT#0017325717-MAY 2020</v>
      </c>
      <c r="G1170" s="1">
        <v>1347.36</v>
      </c>
      <c r="H1170" t="str">
        <f>"ACCT#0017325717-MAY 2020"</f>
        <v>ACCT#0017325717-MAY 2020</v>
      </c>
    </row>
    <row r="1171" spans="1:8" x14ac:dyDescent="0.25">
      <c r="E1171" t="str">
        <f>"3311711547"</f>
        <v>3311711547</v>
      </c>
      <c r="F1171" t="str">
        <f>"ACCT#0017325717-JULY 2020"</f>
        <v>ACCT#0017325717-JULY 2020</v>
      </c>
      <c r="G1171" s="1">
        <v>30.4</v>
      </c>
      <c r="H1171" t="str">
        <f>"ACCT#0017325717-JULY 2020"</f>
        <v>ACCT#0017325717-JULY 2020</v>
      </c>
    </row>
    <row r="1172" spans="1:8" x14ac:dyDescent="0.25">
      <c r="E1172" t="str">
        <f>"3311884445"</f>
        <v>3311884445</v>
      </c>
      <c r="F1172" t="str">
        <f>"ACCT#0017325717-AUGUST 2020"</f>
        <v>ACCT#0017325717-AUGUST 2020</v>
      </c>
      <c r="G1172" s="1">
        <v>1347.36</v>
      </c>
      <c r="H1172" t="str">
        <f>"ACCT#0017325717-AUGUST 2020"</f>
        <v>ACCT#0017325717-AUGUST 2020</v>
      </c>
    </row>
    <row r="1173" spans="1:8" x14ac:dyDescent="0.25">
      <c r="E1173" t="str">
        <f>"3312466097"</f>
        <v>3312466097</v>
      </c>
      <c r="F1173" t="str">
        <f>"ACCT#0017325717-NOVEMBER 2020"</f>
        <v>ACCT#0017325717-NOVEMBER 2020</v>
      </c>
      <c r="G1173" s="1">
        <v>1347.36</v>
      </c>
      <c r="H1173" t="str">
        <f>"ACCT#0017325717-NOVEMBER 2020"</f>
        <v>ACCT#0017325717-NOVEMBER 2020</v>
      </c>
    </row>
    <row r="1174" spans="1:8" x14ac:dyDescent="0.25">
      <c r="E1174" t="str">
        <f>"3313038026"</f>
        <v>3313038026</v>
      </c>
      <c r="F1174" t="str">
        <f>"ACCT#0017325717-FEBRUARY 2021"</f>
        <v>ACCT#0017325717-FEBRUARY 2021</v>
      </c>
      <c r="G1174" s="1">
        <v>1347.36</v>
      </c>
      <c r="H1174" t="str">
        <f>"ACCT#0017325717-FEBRUARY 2021"</f>
        <v>ACCT#0017325717-FEBRUARY 2021</v>
      </c>
    </row>
    <row r="1175" spans="1:8" x14ac:dyDescent="0.25">
      <c r="E1175" t="str">
        <f>"3313269461"</f>
        <v>3313269461</v>
      </c>
      <c r="F1175" t="str">
        <f>"ACCT#0011198047"</f>
        <v>ACCT#0011198047</v>
      </c>
      <c r="G1175" s="1">
        <v>1631.01</v>
      </c>
      <c r="H1175" t="str">
        <f>"ACCT#0011198047"</f>
        <v>ACCT#0011198047</v>
      </c>
    </row>
    <row r="1176" spans="1:8" x14ac:dyDescent="0.25">
      <c r="A1176" t="s">
        <v>268</v>
      </c>
      <c r="B1176">
        <v>4284</v>
      </c>
      <c r="C1176" s="1">
        <v>504.12</v>
      </c>
      <c r="D1176" s="6">
        <v>44299</v>
      </c>
      <c r="E1176" t="str">
        <f>"202104062436"</f>
        <v>202104062436</v>
      </c>
      <c r="F1176" t="str">
        <f>"ACCT#0005/PCT#4"</f>
        <v>ACCT#0005/PCT#4</v>
      </c>
      <c r="G1176" s="1">
        <v>504.12</v>
      </c>
      <c r="H1176" t="str">
        <f>"ACCT#0005/PCT#4"</f>
        <v>ACCT#0005/PCT#4</v>
      </c>
    </row>
    <row r="1177" spans="1:8" x14ac:dyDescent="0.25">
      <c r="A1177" t="s">
        <v>269</v>
      </c>
      <c r="B1177">
        <v>135367</v>
      </c>
      <c r="C1177" s="1">
        <v>284</v>
      </c>
      <c r="D1177" s="6">
        <v>44312</v>
      </c>
      <c r="E1177" t="str">
        <f>"202104192744"</f>
        <v>202104192744</v>
      </c>
      <c r="F1177" t="str">
        <f>"DISTRICT CLERK PO BOX"</f>
        <v>DISTRICT CLERK PO BOX</v>
      </c>
      <c r="G1177" s="1">
        <v>284</v>
      </c>
      <c r="H1177" t="str">
        <f>"DISTRICT CLERK PO BOX"</f>
        <v>DISTRICT CLERK PO BOX</v>
      </c>
    </row>
    <row r="1178" spans="1:8" x14ac:dyDescent="0.25">
      <c r="A1178" t="s">
        <v>270</v>
      </c>
      <c r="B1178">
        <v>135208</v>
      </c>
      <c r="C1178" s="1">
        <v>32907.629999999997</v>
      </c>
      <c r="D1178" s="6">
        <v>44298</v>
      </c>
      <c r="E1178" t="str">
        <f>"ADJ"</f>
        <v>ADJ</v>
      </c>
      <c r="F1178" t="str">
        <f>"ACCt8850283308/PCT#1"</f>
        <v>ACCt8850283308/PCT#1</v>
      </c>
      <c r="G1178" s="1">
        <v>-164.93</v>
      </c>
      <c r="H1178" t="str">
        <f>"ACCt8850283308/PCT#1"</f>
        <v>ACCt8850283308/PCT#1</v>
      </c>
    </row>
    <row r="1179" spans="1:8" x14ac:dyDescent="0.25">
      <c r="E1179" t="str">
        <f>"E15938"</f>
        <v>E15938</v>
      </c>
      <c r="F1179" t="str">
        <f>"ACCT#8850283308/PCT#2"</f>
        <v>ACCT#8850283308/PCT#2</v>
      </c>
      <c r="G1179" s="1">
        <v>29959.32</v>
      </c>
      <c r="H1179" t="str">
        <f>"ACCT#8850283308/PCT#2"</f>
        <v>ACCT#8850283308/PCT#2</v>
      </c>
    </row>
    <row r="1180" spans="1:8" x14ac:dyDescent="0.25">
      <c r="E1180" t="str">
        <f>"P2432623"</f>
        <v>P2432623</v>
      </c>
      <c r="F1180" t="str">
        <f>"ACCT#8850283308/PCT#4"</f>
        <v>ACCT#8850283308/PCT#4</v>
      </c>
      <c r="G1180" s="1">
        <v>31.4</v>
      </c>
      <c r="H1180" t="str">
        <f>"ACCT#8850283308/PCT#4"</f>
        <v>ACCT#8850283308/PCT#4</v>
      </c>
    </row>
    <row r="1181" spans="1:8" x14ac:dyDescent="0.25">
      <c r="E1181" t="str">
        <f>"P274564"</f>
        <v>P274564</v>
      </c>
      <c r="F1181" t="str">
        <f>"ACCT#8850283308/PCT#4"</f>
        <v>ACCT#8850283308/PCT#4</v>
      </c>
      <c r="G1181" s="1">
        <v>412.06</v>
      </c>
      <c r="H1181" t="str">
        <f>"ACCT#8850283308/PCT#4"</f>
        <v>ACCT#8850283308/PCT#4</v>
      </c>
    </row>
    <row r="1182" spans="1:8" x14ac:dyDescent="0.25">
      <c r="E1182" t="str">
        <f>"W1568023"</f>
        <v>W1568023</v>
      </c>
      <c r="F1182" t="str">
        <f>"ACCT#8850283308"</f>
        <v>ACCT#8850283308</v>
      </c>
      <c r="G1182" s="1">
        <v>1193.94</v>
      </c>
      <c r="H1182" t="str">
        <f>"ACCT#8850283308"</f>
        <v>ACCT#8850283308</v>
      </c>
    </row>
    <row r="1183" spans="1:8" x14ac:dyDescent="0.25">
      <c r="E1183" t="str">
        <f>"W1580923"</f>
        <v>W1580923</v>
      </c>
      <c r="F1183" t="str">
        <f>"ACCT#8850283308/PCT#1"</f>
        <v>ACCT#8850283308/PCT#1</v>
      </c>
      <c r="G1183" s="1">
        <v>1475.84</v>
      </c>
      <c r="H1183" t="str">
        <f>"ACCT#8850283308/PCT#1"</f>
        <v>ACCT#8850283308/PCT#1</v>
      </c>
    </row>
    <row r="1184" spans="1:8" x14ac:dyDescent="0.25">
      <c r="A1184" t="s">
        <v>271</v>
      </c>
      <c r="B1184">
        <v>135368</v>
      </c>
      <c r="C1184" s="1">
        <v>150</v>
      </c>
      <c r="D1184" s="6">
        <v>44312</v>
      </c>
      <c r="E1184" t="str">
        <f>"W105406"</f>
        <v>W105406</v>
      </c>
      <c r="F1184" t="str">
        <f>"INV#I113248/PCT#4"</f>
        <v>INV#I113248/PCT#4</v>
      </c>
      <c r="G1184" s="1">
        <v>150</v>
      </c>
      <c r="H1184" t="str">
        <f>"INV#I113248/PCT#4"</f>
        <v>INV#I113248/PCT#4</v>
      </c>
    </row>
    <row r="1185" spans="1:8" x14ac:dyDescent="0.25">
      <c r="A1185" t="s">
        <v>272</v>
      </c>
      <c r="B1185">
        <v>135369</v>
      </c>
      <c r="C1185" s="1">
        <v>2780</v>
      </c>
      <c r="D1185" s="6">
        <v>44312</v>
      </c>
      <c r="E1185" t="str">
        <f>"2021024"</f>
        <v>2021024</v>
      </c>
      <c r="F1185" t="str">
        <f>"TRANSPORT/CYNTHIA REYNA"</f>
        <v>TRANSPORT/CYNTHIA REYNA</v>
      </c>
      <c r="G1185" s="1">
        <v>695</v>
      </c>
      <c r="H1185" t="str">
        <f>"TRANSPORT/CYNTHIA REYNA"</f>
        <v>TRANSPORT/CYNTHIA REYNA</v>
      </c>
    </row>
    <row r="1186" spans="1:8" x14ac:dyDescent="0.25">
      <c r="E1186" t="str">
        <f>"2021036"</f>
        <v>2021036</v>
      </c>
      <c r="F1186" t="str">
        <f>"TRANSPORT/E. SERRATO"</f>
        <v>TRANSPORT/E. SERRATO</v>
      </c>
      <c r="G1186" s="1">
        <v>695</v>
      </c>
      <c r="H1186" t="str">
        <f>"TRANSPORT/E. SERRATO"</f>
        <v>TRANSPORT/E. SERRATO</v>
      </c>
    </row>
    <row r="1187" spans="1:8" x14ac:dyDescent="0.25">
      <c r="E1187" t="str">
        <f>"2021038"</f>
        <v>2021038</v>
      </c>
      <c r="F1187" t="str">
        <f>"TRANSPORT/RONNIE JOHNSON"</f>
        <v>TRANSPORT/RONNIE JOHNSON</v>
      </c>
      <c r="G1187" s="1">
        <v>695</v>
      </c>
      <c r="H1187" t="str">
        <f>"TRANSPORT/RONNIE JOHNSON"</f>
        <v>TRANSPORT/RONNIE JOHNSON</v>
      </c>
    </row>
    <row r="1188" spans="1:8" x14ac:dyDescent="0.25">
      <c r="E1188" t="str">
        <f>"2021043"</f>
        <v>2021043</v>
      </c>
      <c r="F1188" t="str">
        <f>"TRANSPORT/ STEWART DUVAL"</f>
        <v>TRANSPORT/ STEWART DUVAL</v>
      </c>
      <c r="G1188" s="1">
        <v>695</v>
      </c>
      <c r="H1188" t="str">
        <f>"TRANSPORT/ STEWART DUVAL"</f>
        <v>TRANSPORT/ STEWART DUVAL</v>
      </c>
    </row>
    <row r="1189" spans="1:8" x14ac:dyDescent="0.25">
      <c r="A1189" t="s">
        <v>273</v>
      </c>
      <c r="B1189">
        <v>135209</v>
      </c>
      <c r="C1189" s="1">
        <v>1000</v>
      </c>
      <c r="D1189" s="6">
        <v>44298</v>
      </c>
      <c r="E1189" t="str">
        <f>"PSI441327"</f>
        <v>PSI441327</v>
      </c>
      <c r="F1189" t="str">
        <f>"INV PSI441327"</f>
        <v>INV PSI441327</v>
      </c>
      <c r="G1189" s="1">
        <v>1000</v>
      </c>
      <c r="H1189" t="str">
        <f>"INV PSI441327"</f>
        <v>INV PSI441327</v>
      </c>
    </row>
    <row r="1190" spans="1:8" x14ac:dyDescent="0.25">
      <c r="A1190" t="s">
        <v>273</v>
      </c>
      <c r="B1190">
        <v>135370</v>
      </c>
      <c r="C1190" s="1">
        <v>92.5</v>
      </c>
      <c r="D1190" s="6">
        <v>44312</v>
      </c>
      <c r="E1190" t="str">
        <f>"336764"</f>
        <v>336764</v>
      </c>
      <c r="F1190" t="str">
        <f>"TAX OFFICE/ANNUAL MAINTENANCE"</f>
        <v>TAX OFFICE/ANNUAL MAINTENANCE</v>
      </c>
      <c r="G1190" s="1">
        <v>92.5</v>
      </c>
      <c r="H1190" t="str">
        <f>"TAX OFFICE/ANNUAL MAINTENANCE"</f>
        <v>TAX OFFICE/ANNUAL MAINTENANCE</v>
      </c>
    </row>
    <row r="1191" spans="1:8" x14ac:dyDescent="0.25">
      <c r="A1191" t="s">
        <v>274</v>
      </c>
      <c r="B1191">
        <v>135210</v>
      </c>
      <c r="C1191" s="1">
        <v>3200</v>
      </c>
      <c r="D1191" s="6">
        <v>44298</v>
      </c>
      <c r="E1191" t="str">
        <f>"5380"</f>
        <v>5380</v>
      </c>
      <c r="F1191" t="str">
        <f>"REPLACEMENT ODU"</f>
        <v>REPLACEMENT ODU</v>
      </c>
      <c r="G1191" s="1">
        <v>3200</v>
      </c>
      <c r="H1191" t="str">
        <f>"REPLACEMENT ODU"</f>
        <v>REPLACEMENT ODU</v>
      </c>
    </row>
    <row r="1192" spans="1:8" x14ac:dyDescent="0.25">
      <c r="A1192" t="s">
        <v>275</v>
      </c>
      <c r="B1192">
        <v>135211</v>
      </c>
      <c r="C1192" s="1">
        <v>85</v>
      </c>
      <c r="D1192" s="6">
        <v>44298</v>
      </c>
      <c r="E1192" t="str">
        <f>"133943"</f>
        <v>133943</v>
      </c>
      <c r="F1192" t="str">
        <f>"MOBNETIC PRO/PCT#1"</f>
        <v>MOBNETIC PRO/PCT#1</v>
      </c>
      <c r="G1192" s="1">
        <v>85</v>
      </c>
      <c r="H1192" t="str">
        <f>"MOBNETIC PRO/PCT#1"</f>
        <v>MOBNETIC PRO/PCT#1</v>
      </c>
    </row>
    <row r="1193" spans="1:8" x14ac:dyDescent="0.25">
      <c r="A1193" t="s">
        <v>275</v>
      </c>
      <c r="B1193">
        <v>135371</v>
      </c>
      <c r="C1193" s="1">
        <v>2193</v>
      </c>
      <c r="D1193" s="6">
        <v>44312</v>
      </c>
      <c r="E1193" t="str">
        <f>"202104192714"</f>
        <v>202104192714</v>
      </c>
      <c r="F1193" t="str">
        <f>"MADTEX  INC."</f>
        <v>MADTEX  INC.</v>
      </c>
      <c r="G1193" s="1">
        <v>1530</v>
      </c>
      <c r="H1193" t="str">
        <f>"DG9 Decked Drawer"</f>
        <v>DG9 Decked Drawer</v>
      </c>
    </row>
    <row r="1194" spans="1:8" x14ac:dyDescent="0.25">
      <c r="E1194" t="str">
        <f>""</f>
        <v/>
      </c>
      <c r="F1194" t="str">
        <f>""</f>
        <v/>
      </c>
      <c r="H1194" t="str">
        <f>"4 Drawer Dividers"</f>
        <v>4 Drawer Dividers</v>
      </c>
    </row>
    <row r="1195" spans="1:8" x14ac:dyDescent="0.25">
      <c r="E1195" t="str">
        <f>""</f>
        <v/>
      </c>
      <c r="F1195" t="str">
        <f>""</f>
        <v/>
      </c>
      <c r="H1195" t="str">
        <f>"Installation"</f>
        <v>Installation</v>
      </c>
    </row>
    <row r="1196" spans="1:8" x14ac:dyDescent="0.25">
      <c r="E1196" t="str">
        <f>"202104192715"</f>
        <v>202104192715</v>
      </c>
      <c r="F1196" t="str">
        <f>"MADTEX  INC."</f>
        <v>MADTEX  INC.</v>
      </c>
      <c r="G1196" s="1">
        <v>663</v>
      </c>
      <c r="H1196" t="str">
        <f>"Floor Liners"</f>
        <v>Floor Liners</v>
      </c>
    </row>
    <row r="1197" spans="1:8" x14ac:dyDescent="0.25">
      <c r="E1197" t="str">
        <f>""</f>
        <v/>
      </c>
      <c r="F1197" t="str">
        <f>""</f>
        <v/>
      </c>
      <c r="H1197" t="str">
        <f>"LED Light Bar"</f>
        <v>LED Light Bar</v>
      </c>
    </row>
    <row r="1198" spans="1:8" x14ac:dyDescent="0.25">
      <c r="E1198" t="str">
        <f>""</f>
        <v/>
      </c>
      <c r="F1198" t="str">
        <f>""</f>
        <v/>
      </c>
      <c r="H1198" t="str">
        <f>"Light Bar Installati"</f>
        <v>Light Bar Installati</v>
      </c>
    </row>
    <row r="1199" spans="1:8" x14ac:dyDescent="0.25">
      <c r="A1199" t="s">
        <v>276</v>
      </c>
      <c r="B1199">
        <v>4332</v>
      </c>
      <c r="C1199" s="1">
        <v>283.73</v>
      </c>
      <c r="D1199" s="6">
        <v>44313</v>
      </c>
      <c r="E1199" t="str">
        <f>"11D0121569859"</f>
        <v>11D0121569859</v>
      </c>
      <c r="F1199" t="str">
        <f>"ACCT#0121569859"</f>
        <v>ACCT#0121569859</v>
      </c>
      <c r="G1199" s="1">
        <v>155.86000000000001</v>
      </c>
      <c r="H1199" t="str">
        <f>"ACCT#0121569859"</f>
        <v>ACCT#0121569859</v>
      </c>
    </row>
    <row r="1200" spans="1:8" x14ac:dyDescent="0.25">
      <c r="E1200" t="str">
        <f>"11DO121587851"</f>
        <v>11DO121587851</v>
      </c>
      <c r="F1200" t="str">
        <f>"ACCT#0121587851/PCT#4"</f>
        <v>ACCT#0121587851/PCT#4</v>
      </c>
      <c r="G1200" s="1">
        <v>127.87</v>
      </c>
      <c r="H1200" t="str">
        <f>"ACCT#0121587851/PCT#4"</f>
        <v>ACCT#0121587851/PCT#4</v>
      </c>
    </row>
    <row r="1201" spans="1:8" x14ac:dyDescent="0.25">
      <c r="A1201" t="s">
        <v>277</v>
      </c>
      <c r="B1201">
        <v>4287</v>
      </c>
      <c r="C1201" s="1">
        <v>3000</v>
      </c>
      <c r="D1201" s="6">
        <v>44299</v>
      </c>
      <c r="E1201" t="str">
        <f>"47"</f>
        <v>47</v>
      </c>
      <c r="F1201" t="str">
        <f>"SPAY/NEUTER SERVICES"</f>
        <v>SPAY/NEUTER SERVICES</v>
      </c>
      <c r="G1201" s="1">
        <v>3000</v>
      </c>
      <c r="H1201" t="str">
        <f>"SPAY/NEUTER SERVICES"</f>
        <v>SPAY/NEUTER SERVICES</v>
      </c>
    </row>
    <row r="1202" spans="1:8" x14ac:dyDescent="0.25">
      <c r="A1202" t="s">
        <v>277</v>
      </c>
      <c r="B1202">
        <v>4360</v>
      </c>
      <c r="C1202" s="1">
        <v>2000</v>
      </c>
      <c r="D1202" s="6">
        <v>44313</v>
      </c>
      <c r="E1202" t="str">
        <f>"50"</f>
        <v>50</v>
      </c>
      <c r="F1202" t="str">
        <f>"SPAY/NEUTER SRVS/ANIMAL SHELTE"</f>
        <v>SPAY/NEUTER SRVS/ANIMAL SHELTE</v>
      </c>
      <c r="G1202" s="1">
        <v>2000</v>
      </c>
      <c r="H1202" t="str">
        <f>"SPAY/NEUTER SRVS/ANIMAL SHELTE"</f>
        <v>SPAY/NEUTER SRVS/ANIMAL SHELTE</v>
      </c>
    </row>
    <row r="1203" spans="1:8" x14ac:dyDescent="0.25">
      <c r="A1203" t="s">
        <v>278</v>
      </c>
      <c r="B1203">
        <v>135372</v>
      </c>
      <c r="C1203" s="1">
        <v>554.37</v>
      </c>
      <c r="D1203" s="6">
        <v>44312</v>
      </c>
      <c r="E1203" t="str">
        <f>"20210110019610"</f>
        <v>20210110019610</v>
      </c>
      <c r="F1203" t="str">
        <f>"ACCT#1910/PCT#4"</f>
        <v>ACCT#1910/PCT#4</v>
      </c>
      <c r="G1203" s="1">
        <v>554.37</v>
      </c>
      <c r="H1203" t="str">
        <f>"ACCT#1910/PCT#4"</f>
        <v>ACCT#1910/PCT#4</v>
      </c>
    </row>
    <row r="1204" spans="1:8" x14ac:dyDescent="0.25">
      <c r="A1204" t="s">
        <v>279</v>
      </c>
      <c r="B1204">
        <v>135373</v>
      </c>
      <c r="C1204" s="1">
        <v>103.59</v>
      </c>
      <c r="D1204" s="6">
        <v>44312</v>
      </c>
      <c r="E1204" t="str">
        <f>"89880"</f>
        <v>89880</v>
      </c>
      <c r="F1204" t="str">
        <f>"ACCT#3510/PCT#4"</f>
        <v>ACCT#3510/PCT#4</v>
      </c>
      <c r="G1204" s="1">
        <v>103.59</v>
      </c>
      <c r="H1204" t="str">
        <f>"ACCT#3510/PCT#4"</f>
        <v>ACCT#3510/PCT#4</v>
      </c>
    </row>
    <row r="1205" spans="1:8" x14ac:dyDescent="0.25">
      <c r="A1205" t="s">
        <v>280</v>
      </c>
      <c r="B1205">
        <v>135212</v>
      </c>
      <c r="C1205" s="1">
        <v>9236.6299999999992</v>
      </c>
      <c r="D1205" s="6">
        <v>44298</v>
      </c>
      <c r="E1205" t="str">
        <f>"37480213"</f>
        <v>37480213</v>
      </c>
      <c r="F1205" t="str">
        <f>"CUST#2000172616"</f>
        <v>CUST#2000172616</v>
      </c>
      <c r="G1205" s="1">
        <v>9236.6299999999992</v>
      </c>
      <c r="H1205" t="str">
        <f t="shared" ref="H1205:H1236" si="20">"CUST#2000172616"</f>
        <v>CUST#2000172616</v>
      </c>
    </row>
    <row r="1206" spans="1:8" x14ac:dyDescent="0.25">
      <c r="E1206" t="str">
        <f>""</f>
        <v/>
      </c>
      <c r="F1206" t="str">
        <f>""</f>
        <v/>
      </c>
      <c r="H1206" t="str">
        <f t="shared" si="20"/>
        <v>CUST#2000172616</v>
      </c>
    </row>
    <row r="1207" spans="1:8" x14ac:dyDescent="0.25">
      <c r="E1207" t="str">
        <f>""</f>
        <v/>
      </c>
      <c r="F1207" t="str">
        <f>""</f>
        <v/>
      </c>
      <c r="H1207" t="str">
        <f t="shared" si="20"/>
        <v>CUST#2000172616</v>
      </c>
    </row>
    <row r="1208" spans="1:8" x14ac:dyDescent="0.25">
      <c r="E1208" t="str">
        <f>""</f>
        <v/>
      </c>
      <c r="F1208" t="str">
        <f>""</f>
        <v/>
      </c>
      <c r="H1208" t="str">
        <f t="shared" si="20"/>
        <v>CUST#2000172616</v>
      </c>
    </row>
    <row r="1209" spans="1:8" x14ac:dyDescent="0.25">
      <c r="E1209" t="str">
        <f>""</f>
        <v/>
      </c>
      <c r="F1209" t="str">
        <f>""</f>
        <v/>
      </c>
      <c r="H1209" t="str">
        <f t="shared" si="20"/>
        <v>CUST#2000172616</v>
      </c>
    </row>
    <row r="1210" spans="1:8" x14ac:dyDescent="0.25">
      <c r="E1210" t="str">
        <f>""</f>
        <v/>
      </c>
      <c r="F1210" t="str">
        <f>""</f>
        <v/>
      </c>
      <c r="H1210" t="str">
        <f t="shared" si="20"/>
        <v>CUST#2000172616</v>
      </c>
    </row>
    <row r="1211" spans="1:8" x14ac:dyDescent="0.25">
      <c r="E1211" t="str">
        <f>""</f>
        <v/>
      </c>
      <c r="F1211" t="str">
        <f>""</f>
        <v/>
      </c>
      <c r="H1211" t="str">
        <f t="shared" si="20"/>
        <v>CUST#2000172616</v>
      </c>
    </row>
    <row r="1212" spans="1:8" x14ac:dyDescent="0.25">
      <c r="E1212" t="str">
        <f>""</f>
        <v/>
      </c>
      <c r="F1212" t="str">
        <f>""</f>
        <v/>
      </c>
      <c r="H1212" t="str">
        <f t="shared" si="20"/>
        <v>CUST#2000172616</v>
      </c>
    </row>
    <row r="1213" spans="1:8" x14ac:dyDescent="0.25">
      <c r="E1213" t="str">
        <f>""</f>
        <v/>
      </c>
      <c r="F1213" t="str">
        <f>""</f>
        <v/>
      </c>
      <c r="H1213" t="str">
        <f t="shared" si="20"/>
        <v>CUST#2000172616</v>
      </c>
    </row>
    <row r="1214" spans="1:8" x14ac:dyDescent="0.25">
      <c r="E1214" t="str">
        <f>""</f>
        <v/>
      </c>
      <c r="F1214" t="str">
        <f>""</f>
        <v/>
      </c>
      <c r="H1214" t="str">
        <f t="shared" si="20"/>
        <v>CUST#2000172616</v>
      </c>
    </row>
    <row r="1215" spans="1:8" x14ac:dyDescent="0.25">
      <c r="E1215" t="str">
        <f>""</f>
        <v/>
      </c>
      <c r="F1215" t="str">
        <f>""</f>
        <v/>
      </c>
      <c r="H1215" t="str">
        <f t="shared" si="20"/>
        <v>CUST#2000172616</v>
      </c>
    </row>
    <row r="1216" spans="1:8" x14ac:dyDescent="0.25">
      <c r="E1216" t="str">
        <f>""</f>
        <v/>
      </c>
      <c r="F1216" t="str">
        <f>""</f>
        <v/>
      </c>
      <c r="H1216" t="str">
        <f t="shared" si="20"/>
        <v>CUST#2000172616</v>
      </c>
    </row>
    <row r="1217" spans="5:8" x14ac:dyDescent="0.25">
      <c r="E1217" t="str">
        <f>""</f>
        <v/>
      </c>
      <c r="F1217" t="str">
        <f>""</f>
        <v/>
      </c>
      <c r="H1217" t="str">
        <f t="shared" si="20"/>
        <v>CUST#2000172616</v>
      </c>
    </row>
    <row r="1218" spans="5:8" x14ac:dyDescent="0.25">
      <c r="E1218" t="str">
        <f>""</f>
        <v/>
      </c>
      <c r="F1218" t="str">
        <f>""</f>
        <v/>
      </c>
      <c r="H1218" t="str">
        <f t="shared" si="20"/>
        <v>CUST#2000172616</v>
      </c>
    </row>
    <row r="1219" spans="5:8" x14ac:dyDescent="0.25">
      <c r="E1219" t="str">
        <f>""</f>
        <v/>
      </c>
      <c r="F1219" t="str">
        <f>""</f>
        <v/>
      </c>
      <c r="H1219" t="str">
        <f t="shared" si="20"/>
        <v>CUST#2000172616</v>
      </c>
    </row>
    <row r="1220" spans="5:8" x14ac:dyDescent="0.25">
      <c r="E1220" t="str">
        <f>""</f>
        <v/>
      </c>
      <c r="F1220" t="str">
        <f>""</f>
        <v/>
      </c>
      <c r="H1220" t="str">
        <f t="shared" si="20"/>
        <v>CUST#2000172616</v>
      </c>
    </row>
    <row r="1221" spans="5:8" x14ac:dyDescent="0.25">
      <c r="E1221" t="str">
        <f>""</f>
        <v/>
      </c>
      <c r="F1221" t="str">
        <f>""</f>
        <v/>
      </c>
      <c r="H1221" t="str">
        <f t="shared" si="20"/>
        <v>CUST#2000172616</v>
      </c>
    </row>
    <row r="1222" spans="5:8" x14ac:dyDescent="0.25">
      <c r="E1222" t="str">
        <f>""</f>
        <v/>
      </c>
      <c r="F1222" t="str">
        <f>""</f>
        <v/>
      </c>
      <c r="H1222" t="str">
        <f t="shared" si="20"/>
        <v>CUST#2000172616</v>
      </c>
    </row>
    <row r="1223" spans="5:8" x14ac:dyDescent="0.25">
      <c r="E1223" t="str">
        <f>""</f>
        <v/>
      </c>
      <c r="F1223" t="str">
        <f>""</f>
        <v/>
      </c>
      <c r="H1223" t="str">
        <f t="shared" si="20"/>
        <v>CUST#2000172616</v>
      </c>
    </row>
    <row r="1224" spans="5:8" x14ac:dyDescent="0.25">
      <c r="E1224" t="str">
        <f>""</f>
        <v/>
      </c>
      <c r="F1224" t="str">
        <f>""</f>
        <v/>
      </c>
      <c r="H1224" t="str">
        <f t="shared" si="20"/>
        <v>CUST#2000172616</v>
      </c>
    </row>
    <row r="1225" spans="5:8" x14ac:dyDescent="0.25">
      <c r="E1225" t="str">
        <f>""</f>
        <v/>
      </c>
      <c r="F1225" t="str">
        <f>""</f>
        <v/>
      </c>
      <c r="H1225" t="str">
        <f t="shared" si="20"/>
        <v>CUST#2000172616</v>
      </c>
    </row>
    <row r="1226" spans="5:8" x14ac:dyDescent="0.25">
      <c r="E1226" t="str">
        <f>""</f>
        <v/>
      </c>
      <c r="F1226" t="str">
        <f>""</f>
        <v/>
      </c>
      <c r="H1226" t="str">
        <f t="shared" si="20"/>
        <v>CUST#2000172616</v>
      </c>
    </row>
    <row r="1227" spans="5:8" x14ac:dyDescent="0.25">
      <c r="E1227" t="str">
        <f>""</f>
        <v/>
      </c>
      <c r="F1227" t="str">
        <f>""</f>
        <v/>
      </c>
      <c r="H1227" t="str">
        <f t="shared" si="20"/>
        <v>CUST#2000172616</v>
      </c>
    </row>
    <row r="1228" spans="5:8" x14ac:dyDescent="0.25">
      <c r="E1228" t="str">
        <f>""</f>
        <v/>
      </c>
      <c r="F1228" t="str">
        <f>""</f>
        <v/>
      </c>
      <c r="H1228" t="str">
        <f t="shared" si="20"/>
        <v>CUST#2000172616</v>
      </c>
    </row>
    <row r="1229" spans="5:8" x14ac:dyDescent="0.25">
      <c r="E1229" t="str">
        <f>""</f>
        <v/>
      </c>
      <c r="F1229" t="str">
        <f>""</f>
        <v/>
      </c>
      <c r="H1229" t="str">
        <f t="shared" si="20"/>
        <v>CUST#2000172616</v>
      </c>
    </row>
    <row r="1230" spans="5:8" x14ac:dyDescent="0.25">
      <c r="E1230" t="str">
        <f>""</f>
        <v/>
      </c>
      <c r="F1230" t="str">
        <f>""</f>
        <v/>
      </c>
      <c r="H1230" t="str">
        <f t="shared" si="20"/>
        <v>CUST#2000172616</v>
      </c>
    </row>
    <row r="1231" spans="5:8" x14ac:dyDescent="0.25">
      <c r="E1231" t="str">
        <f>""</f>
        <v/>
      </c>
      <c r="F1231" t="str">
        <f>""</f>
        <v/>
      </c>
      <c r="H1231" t="str">
        <f t="shared" si="20"/>
        <v>CUST#2000172616</v>
      </c>
    </row>
    <row r="1232" spans="5:8" x14ac:dyDescent="0.25">
      <c r="E1232" t="str">
        <f>""</f>
        <v/>
      </c>
      <c r="F1232" t="str">
        <f>""</f>
        <v/>
      </c>
      <c r="H1232" t="str">
        <f t="shared" si="20"/>
        <v>CUST#2000172616</v>
      </c>
    </row>
    <row r="1233" spans="1:8" x14ac:dyDescent="0.25">
      <c r="E1233" t="str">
        <f>""</f>
        <v/>
      </c>
      <c r="F1233" t="str">
        <f>""</f>
        <v/>
      </c>
      <c r="H1233" t="str">
        <f t="shared" si="20"/>
        <v>CUST#2000172616</v>
      </c>
    </row>
    <row r="1234" spans="1:8" x14ac:dyDescent="0.25">
      <c r="E1234" t="str">
        <f>""</f>
        <v/>
      </c>
      <c r="F1234" t="str">
        <f>""</f>
        <v/>
      </c>
      <c r="H1234" t="str">
        <f t="shared" si="20"/>
        <v>CUST#2000172616</v>
      </c>
    </row>
    <row r="1235" spans="1:8" x14ac:dyDescent="0.25">
      <c r="E1235" t="str">
        <f>""</f>
        <v/>
      </c>
      <c r="F1235" t="str">
        <f>""</f>
        <v/>
      </c>
      <c r="H1235" t="str">
        <f t="shared" si="20"/>
        <v>CUST#2000172616</v>
      </c>
    </row>
    <row r="1236" spans="1:8" x14ac:dyDescent="0.25">
      <c r="E1236" t="str">
        <f>""</f>
        <v/>
      </c>
      <c r="F1236" t="str">
        <f>""</f>
        <v/>
      </c>
      <c r="H1236" t="str">
        <f t="shared" si="20"/>
        <v>CUST#2000172616</v>
      </c>
    </row>
    <row r="1237" spans="1:8" x14ac:dyDescent="0.25">
      <c r="A1237" t="s">
        <v>281</v>
      </c>
      <c r="B1237">
        <v>135213</v>
      </c>
      <c r="C1237" s="1">
        <v>219.95</v>
      </c>
      <c r="D1237" s="6">
        <v>44298</v>
      </c>
      <c r="E1237" t="str">
        <f>"99999901743284"</f>
        <v>99999901743284</v>
      </c>
      <c r="F1237" t="str">
        <f>"MELOXICAM/ANIMAL SHELTER"</f>
        <v>MELOXICAM/ANIMAL SHELTER</v>
      </c>
      <c r="G1237" s="1">
        <v>219.95</v>
      </c>
      <c r="H1237" t="str">
        <f>"MELOXICAM/ANIMAL SHELTER"</f>
        <v>MELOXICAM/ANIMAL SHELTER</v>
      </c>
    </row>
    <row r="1238" spans="1:8" x14ac:dyDescent="0.25">
      <c r="A1238" t="s">
        <v>282</v>
      </c>
      <c r="B1238">
        <v>4278</v>
      </c>
      <c r="C1238" s="1">
        <v>250</v>
      </c>
      <c r="D1238" s="6">
        <v>44299</v>
      </c>
      <c r="E1238" t="str">
        <f>"BCSOFEB21"</f>
        <v>BCSOFEB21</v>
      </c>
      <c r="F1238" t="str">
        <f>"INV BCSOFEB21"</f>
        <v>INV BCSOFEB21</v>
      </c>
      <c r="G1238" s="1">
        <v>250</v>
      </c>
      <c r="H1238" t="str">
        <f>"INV BCSOFEB21"</f>
        <v>INV BCSOFEB21</v>
      </c>
    </row>
    <row r="1239" spans="1:8" x14ac:dyDescent="0.25">
      <c r="A1239" t="s">
        <v>282</v>
      </c>
      <c r="B1239">
        <v>4352</v>
      </c>
      <c r="C1239" s="1">
        <v>500</v>
      </c>
      <c r="D1239" s="6">
        <v>44313</v>
      </c>
      <c r="E1239" t="str">
        <f>"BCSOMAR21"</f>
        <v>BCSOMAR21</v>
      </c>
      <c r="F1239" t="str">
        <f>"INV BCSOMAR21"</f>
        <v>INV BCSOMAR21</v>
      </c>
      <c r="G1239" s="1">
        <v>500</v>
      </c>
      <c r="H1239" t="str">
        <f>"INV BCSOMAR21"</f>
        <v>INV BCSOMAR21</v>
      </c>
    </row>
    <row r="1240" spans="1:8" x14ac:dyDescent="0.25">
      <c r="A1240" t="s">
        <v>283</v>
      </c>
      <c r="B1240">
        <v>135214</v>
      </c>
      <c r="C1240" s="1">
        <v>1225.3399999999999</v>
      </c>
      <c r="D1240" s="6">
        <v>44298</v>
      </c>
      <c r="E1240" t="str">
        <f>"5242491"</f>
        <v>5242491</v>
      </c>
      <c r="F1240" t="str">
        <f>"INV 5242491"</f>
        <v>INV 5242491</v>
      </c>
      <c r="G1240" s="1">
        <v>1225.3399999999999</v>
      </c>
      <c r="H1240" t="str">
        <f>"INV 5242491"</f>
        <v>INV 5242491</v>
      </c>
    </row>
    <row r="1241" spans="1:8" x14ac:dyDescent="0.25">
      <c r="E1241" t="str">
        <f>""</f>
        <v/>
      </c>
      <c r="F1241" t="str">
        <f>""</f>
        <v/>
      </c>
      <c r="H1241" t="str">
        <f>"INV 5243230"</f>
        <v>INV 5243230</v>
      </c>
    </row>
    <row r="1242" spans="1:8" x14ac:dyDescent="0.25">
      <c r="A1242" t="s">
        <v>283</v>
      </c>
      <c r="B1242">
        <v>135374</v>
      </c>
      <c r="C1242" s="1">
        <v>708.04</v>
      </c>
      <c r="D1242" s="6">
        <v>44312</v>
      </c>
      <c r="E1242" t="str">
        <f>"5255625"</f>
        <v>5255625</v>
      </c>
      <c r="F1242" t="str">
        <f>"INV 5255625"</f>
        <v>INV 5255625</v>
      </c>
      <c r="G1242" s="1">
        <v>339.57</v>
      </c>
      <c r="H1242" t="str">
        <f>"INV 5255625"</f>
        <v>INV 5255625</v>
      </c>
    </row>
    <row r="1243" spans="1:8" x14ac:dyDescent="0.25">
      <c r="E1243" t="str">
        <f>"5255631"</f>
        <v>5255631</v>
      </c>
      <c r="F1243" t="str">
        <f>"INV 5255631"</f>
        <v>INV 5255631</v>
      </c>
      <c r="G1243" s="1">
        <v>198.9</v>
      </c>
      <c r="H1243" t="str">
        <f>"INV 5255631"</f>
        <v>INV 5255631</v>
      </c>
    </row>
    <row r="1244" spans="1:8" x14ac:dyDescent="0.25">
      <c r="E1244" t="str">
        <f>"5255656"</f>
        <v>5255656</v>
      </c>
      <c r="F1244" t="str">
        <f>"INV 5255636"</f>
        <v>INV 5255636</v>
      </c>
      <c r="G1244" s="1">
        <v>160.72999999999999</v>
      </c>
      <c r="H1244" t="str">
        <f>"INV 5255636"</f>
        <v>INV 5255636</v>
      </c>
    </row>
    <row r="1245" spans="1:8" x14ac:dyDescent="0.25">
      <c r="E1245" t="str">
        <f>"5256212"</f>
        <v>5256212</v>
      </c>
      <c r="F1245" t="str">
        <f>"INV 5256212"</f>
        <v>INV 5256212</v>
      </c>
      <c r="G1245" s="1">
        <v>8.84</v>
      </c>
      <c r="H1245" t="str">
        <f>"INV 5256212"</f>
        <v>INV 5256212</v>
      </c>
    </row>
    <row r="1246" spans="1:8" x14ac:dyDescent="0.25">
      <c r="A1246" t="s">
        <v>284</v>
      </c>
      <c r="B1246">
        <v>135375</v>
      </c>
      <c r="C1246" s="1">
        <v>247</v>
      </c>
      <c r="D1246" s="6">
        <v>44312</v>
      </c>
      <c r="E1246" t="str">
        <f>"210122-5"</f>
        <v>210122-5</v>
      </c>
      <c r="F1246" t="str">
        <f>"EMERGENCY COMM/SHIRTS"</f>
        <v>EMERGENCY COMM/SHIRTS</v>
      </c>
      <c r="G1246" s="1">
        <v>61</v>
      </c>
      <c r="H1246" t="str">
        <f>"EMERGENCY COMM/SHIRTS"</f>
        <v>EMERGENCY COMM/SHIRTS</v>
      </c>
    </row>
    <row r="1247" spans="1:8" x14ac:dyDescent="0.25">
      <c r="E1247" t="str">
        <f>"210302-5"</f>
        <v>210302-5</v>
      </c>
      <c r="F1247" t="str">
        <f>"EMERGENCY COMM./SHIRTS"</f>
        <v>EMERGENCY COMM./SHIRTS</v>
      </c>
      <c r="G1247" s="1">
        <v>130</v>
      </c>
      <c r="H1247" t="str">
        <f>"EMERGENCY COMM./SHIRTS"</f>
        <v>EMERGENCY COMM./SHIRTS</v>
      </c>
    </row>
    <row r="1248" spans="1:8" x14ac:dyDescent="0.25">
      <c r="E1248" t="str">
        <f>"210407-5"</f>
        <v>210407-5</v>
      </c>
      <c r="F1248" t="str">
        <f>"EMERGENCY COMM/SHIRTS"</f>
        <v>EMERGENCY COMM/SHIRTS</v>
      </c>
      <c r="G1248" s="1">
        <v>56</v>
      </c>
      <c r="H1248" t="str">
        <f>"EMERGENCY COMM/SHIRTS"</f>
        <v>EMERGENCY COMM/SHIRTS</v>
      </c>
    </row>
    <row r="1249" spans="1:8" x14ac:dyDescent="0.25">
      <c r="A1249" t="s">
        <v>285</v>
      </c>
      <c r="B1249">
        <v>135215</v>
      </c>
      <c r="C1249" s="1">
        <v>3300</v>
      </c>
      <c r="D1249" s="6">
        <v>44298</v>
      </c>
      <c r="E1249" t="str">
        <f>"51141"</f>
        <v>51141</v>
      </c>
      <c r="F1249" t="str">
        <f>"COMMERCIAL BASE/PCT#3"</f>
        <v>COMMERCIAL BASE/PCT#3</v>
      </c>
      <c r="G1249" s="1">
        <v>3300</v>
      </c>
      <c r="H1249" t="str">
        <f>"COMMERCIAL BASE/PCT#3"</f>
        <v>COMMERCIAL BASE/PCT#3</v>
      </c>
    </row>
    <row r="1250" spans="1:8" x14ac:dyDescent="0.25">
      <c r="A1250" t="s">
        <v>285</v>
      </c>
      <c r="B1250">
        <v>135376</v>
      </c>
      <c r="C1250" s="1">
        <v>2420</v>
      </c>
      <c r="D1250" s="6">
        <v>44312</v>
      </c>
      <c r="E1250" t="str">
        <f>"51148"</f>
        <v>51148</v>
      </c>
      <c r="F1250" t="str">
        <f>"COMMERCIAL BASE/PCT#3"</f>
        <v>COMMERCIAL BASE/PCT#3</v>
      </c>
      <c r="G1250" s="1">
        <v>2420</v>
      </c>
      <c r="H1250" t="str">
        <f>"COMMERCIAL BASE/PCT#3"</f>
        <v>COMMERCIAL BASE/PCT#3</v>
      </c>
    </row>
    <row r="1251" spans="1:8" x14ac:dyDescent="0.25">
      <c r="A1251" t="s">
        <v>286</v>
      </c>
      <c r="B1251">
        <v>135216</v>
      </c>
      <c r="C1251" s="1">
        <v>438</v>
      </c>
      <c r="D1251" s="6">
        <v>44298</v>
      </c>
      <c r="E1251" t="str">
        <f>"202104072493"</f>
        <v>202104072493</v>
      </c>
      <c r="F1251" t="str">
        <f>"LPHCP RECODING FEES"</f>
        <v>LPHCP RECODING FEES</v>
      </c>
      <c r="G1251" s="1">
        <v>438</v>
      </c>
      <c r="H1251" t="str">
        <f>"LPHCP RECODING FEES"</f>
        <v>LPHCP RECODING FEES</v>
      </c>
    </row>
    <row r="1252" spans="1:8" x14ac:dyDescent="0.25">
      <c r="A1252" t="s">
        <v>286</v>
      </c>
      <c r="B1252">
        <v>135217</v>
      </c>
      <c r="C1252" s="1">
        <v>244</v>
      </c>
      <c r="D1252" s="6">
        <v>44298</v>
      </c>
      <c r="E1252" t="str">
        <f>"202104072492"</f>
        <v>202104072492</v>
      </c>
      <c r="F1252" t="str">
        <f>"DEVELOPMENT SRVS RECORDING FEE"</f>
        <v>DEVELOPMENT SRVS RECORDING FEE</v>
      </c>
      <c r="G1252" s="1">
        <v>244</v>
      </c>
      <c r="H1252" t="str">
        <f>"DEVELOPMENT SRVS RECORDING FEE"</f>
        <v>DEVELOPMENT SRVS RECORDING FEE</v>
      </c>
    </row>
    <row r="1253" spans="1:8" x14ac:dyDescent="0.25">
      <c r="A1253" t="s">
        <v>286</v>
      </c>
      <c r="B1253">
        <v>135377</v>
      </c>
      <c r="C1253" s="1">
        <v>30</v>
      </c>
      <c r="D1253" s="6">
        <v>44312</v>
      </c>
      <c r="E1253" t="str">
        <f>"202104202765"</f>
        <v>202104202765</v>
      </c>
      <c r="F1253" t="str">
        <f>"LPHCP RECORDING FEES"</f>
        <v>LPHCP RECORDING FEES</v>
      </c>
      <c r="G1253" s="1">
        <v>30</v>
      </c>
      <c r="H1253" t="str">
        <f>"LPHCP RECORDING FEES"</f>
        <v>LPHCP RECORDING FEES</v>
      </c>
    </row>
    <row r="1254" spans="1:8" x14ac:dyDescent="0.25">
      <c r="A1254" t="s">
        <v>286</v>
      </c>
      <c r="B1254">
        <v>135378</v>
      </c>
      <c r="C1254" s="1">
        <v>355</v>
      </c>
      <c r="D1254" s="6">
        <v>44312</v>
      </c>
      <c r="E1254" t="str">
        <f>"202104212796"</f>
        <v>202104212796</v>
      </c>
      <c r="F1254" t="str">
        <f>"DEVELOPMENT SVCS RECORDING FEE"</f>
        <v>DEVELOPMENT SVCS RECORDING FEE</v>
      </c>
      <c r="G1254" s="1">
        <v>355</v>
      </c>
      <c r="H1254" t="str">
        <f>"DEVELOPMENT SVCS RECORDING FEE"</f>
        <v>DEVELOPMENT SVCS RECORDING FEE</v>
      </c>
    </row>
    <row r="1255" spans="1:8" x14ac:dyDescent="0.25">
      <c r="A1255" t="s">
        <v>287</v>
      </c>
      <c r="B1255">
        <v>135218</v>
      </c>
      <c r="C1255" s="1">
        <v>65.09</v>
      </c>
      <c r="D1255" s="6">
        <v>44298</v>
      </c>
      <c r="E1255" t="str">
        <f>"0013791"</f>
        <v>0013791</v>
      </c>
      <c r="F1255" t="str">
        <f>"2006 FORD F150/PCT#4"</f>
        <v>2006 FORD F150/PCT#4</v>
      </c>
      <c r="G1255" s="1">
        <v>65.09</v>
      </c>
      <c r="H1255" t="str">
        <f>"2006 FORD F150/PCT#4"</f>
        <v>2006 FORD F150/PCT#4</v>
      </c>
    </row>
    <row r="1256" spans="1:8" x14ac:dyDescent="0.25">
      <c r="A1256" t="s">
        <v>288</v>
      </c>
      <c r="B1256">
        <v>4385</v>
      </c>
      <c r="C1256" s="1">
        <v>155.6</v>
      </c>
      <c r="D1256" s="6">
        <v>44313</v>
      </c>
      <c r="E1256" t="str">
        <f>"202104212809"</f>
        <v>202104212809</v>
      </c>
      <c r="F1256" t="str">
        <f>"INDIGENT HEALTH"</f>
        <v>INDIGENT HEALTH</v>
      </c>
      <c r="G1256" s="1">
        <v>155.6</v>
      </c>
      <c r="H1256" t="str">
        <f>"INDIGENT HEALTH"</f>
        <v>INDIGENT HEALTH</v>
      </c>
    </row>
    <row r="1257" spans="1:8" x14ac:dyDescent="0.25">
      <c r="E1257" t="str">
        <f>""</f>
        <v/>
      </c>
      <c r="F1257" t="str">
        <f>""</f>
        <v/>
      </c>
      <c r="H1257" t="str">
        <f>"INDIGENT HEALTH"</f>
        <v>INDIGENT HEALTH</v>
      </c>
    </row>
    <row r="1258" spans="1:8" x14ac:dyDescent="0.25">
      <c r="A1258" t="s">
        <v>289</v>
      </c>
      <c r="B1258">
        <v>135379</v>
      </c>
      <c r="C1258" s="1">
        <v>407.08</v>
      </c>
      <c r="D1258" s="6">
        <v>44312</v>
      </c>
      <c r="E1258" t="str">
        <f>"432783"</f>
        <v>432783</v>
      </c>
      <c r="F1258" t="str">
        <f>"INV 432783"</f>
        <v>INV 432783</v>
      </c>
      <c r="G1258" s="1">
        <v>407.08</v>
      </c>
      <c r="H1258" t="str">
        <f>"INV 432783"</f>
        <v>INV 432783</v>
      </c>
    </row>
    <row r="1259" spans="1:8" x14ac:dyDescent="0.25">
      <c r="A1259" t="s">
        <v>290</v>
      </c>
      <c r="B1259">
        <v>135380</v>
      </c>
      <c r="C1259" s="1">
        <v>546.26</v>
      </c>
      <c r="D1259" s="6">
        <v>44312</v>
      </c>
      <c r="E1259" t="str">
        <f>"202104212800"</f>
        <v>202104212800</v>
      </c>
      <c r="F1259" t="str">
        <f>"JAIL MEDICAL"</f>
        <v>JAIL MEDICAL</v>
      </c>
      <c r="G1259" s="1">
        <v>546.26</v>
      </c>
      <c r="H1259" t="str">
        <f>"JAIL MEDICAL"</f>
        <v>JAIL MEDICAL</v>
      </c>
    </row>
    <row r="1260" spans="1:8" x14ac:dyDescent="0.25">
      <c r="A1260" t="s">
        <v>291</v>
      </c>
      <c r="B1260">
        <v>135219</v>
      </c>
      <c r="C1260" s="1">
        <v>3400</v>
      </c>
      <c r="D1260" s="6">
        <v>44298</v>
      </c>
      <c r="E1260" t="str">
        <f>"31521"</f>
        <v>31521</v>
      </c>
      <c r="F1260" t="str">
        <f>"PRESCRIPTION/BU#30061-66752"</f>
        <v>PRESCRIPTION/BU#30061-66752</v>
      </c>
      <c r="G1260" s="1">
        <v>3400</v>
      </c>
      <c r="H1260" t="str">
        <f>"PRESCRIPTION/BU#30061-66752"</f>
        <v>PRESCRIPTION/BU#30061-66752</v>
      </c>
    </row>
    <row r="1261" spans="1:8" x14ac:dyDescent="0.25">
      <c r="A1261" t="s">
        <v>291</v>
      </c>
      <c r="B1261">
        <v>135381</v>
      </c>
      <c r="C1261" s="1">
        <v>3400</v>
      </c>
      <c r="D1261" s="6">
        <v>44312</v>
      </c>
      <c r="E1261" t="str">
        <f>"202104212795"</f>
        <v>202104212795</v>
      </c>
      <c r="F1261" t="str">
        <f>"PRESCRIPTION ASSISTANCE PROGRA"</f>
        <v>PRESCRIPTION ASSISTANCE PROGRA</v>
      </c>
      <c r="G1261" s="1">
        <v>3400</v>
      </c>
      <c r="H1261" t="str">
        <f>"PRESCRIPTION ASSISTANCE PROGRA"</f>
        <v>PRESCRIPTION ASSISTANCE PROGRA</v>
      </c>
    </row>
    <row r="1262" spans="1:8" x14ac:dyDescent="0.25">
      <c r="A1262" t="s">
        <v>292</v>
      </c>
      <c r="B1262">
        <v>135382</v>
      </c>
      <c r="C1262" s="1">
        <v>50</v>
      </c>
      <c r="D1262" s="6">
        <v>44312</v>
      </c>
      <c r="E1262" t="str">
        <f>"14-962"</f>
        <v>14-962</v>
      </c>
      <c r="F1262" t="str">
        <f>"RESTITUTION/ DEBRA MCCOMB"</f>
        <v>RESTITUTION/ DEBRA MCCOMB</v>
      </c>
      <c r="G1262" s="1">
        <v>50</v>
      </c>
      <c r="H1262" t="str">
        <f>"RESTITUTION/ DEBRA MCCOMB"</f>
        <v>RESTITUTION/ DEBRA MCCOMB</v>
      </c>
    </row>
    <row r="1263" spans="1:8" x14ac:dyDescent="0.25">
      <c r="A1263" t="s">
        <v>293</v>
      </c>
      <c r="B1263">
        <v>135220</v>
      </c>
      <c r="C1263" s="1">
        <v>173.41</v>
      </c>
      <c r="D1263" s="6">
        <v>44298</v>
      </c>
      <c r="E1263" t="str">
        <f>"1114895620"</f>
        <v>1114895620</v>
      </c>
      <c r="F1263" t="str">
        <f>"ACCT#120050173"</f>
        <v>ACCT#120050173</v>
      </c>
      <c r="G1263" s="1">
        <v>173.41</v>
      </c>
      <c r="H1263" t="str">
        <f>"ACCT#120050173"</f>
        <v>ACCT#120050173</v>
      </c>
    </row>
    <row r="1264" spans="1:8" x14ac:dyDescent="0.25">
      <c r="A1264" t="s">
        <v>294</v>
      </c>
      <c r="B1264">
        <v>135221</v>
      </c>
      <c r="C1264" s="1">
        <v>190.21</v>
      </c>
      <c r="D1264" s="6">
        <v>44298</v>
      </c>
      <c r="E1264" t="str">
        <f>"1259357"</f>
        <v>1259357</v>
      </c>
      <c r="F1264" t="str">
        <f>"ACCT#564591/PCT#4"</f>
        <v>ACCT#564591/PCT#4</v>
      </c>
      <c r="G1264" s="1">
        <v>109.41</v>
      </c>
      <c r="H1264" t="str">
        <f>"ACCT#564591/PCT#4"</f>
        <v>ACCT#564591/PCT#4</v>
      </c>
    </row>
    <row r="1265" spans="1:8" x14ac:dyDescent="0.25">
      <c r="E1265" t="str">
        <f>"1268316"</f>
        <v>1268316</v>
      </c>
      <c r="F1265" t="str">
        <f>"ACCT#550615/PCT#4"</f>
        <v>ACCT#550615/PCT#4</v>
      </c>
      <c r="G1265" s="1">
        <v>80.8</v>
      </c>
      <c r="H1265" t="str">
        <f>"ACCT#550615/PCT#4"</f>
        <v>ACCT#550615/PCT#4</v>
      </c>
    </row>
    <row r="1266" spans="1:8" x14ac:dyDescent="0.25">
      <c r="A1266" t="s">
        <v>295</v>
      </c>
      <c r="B1266">
        <v>135222</v>
      </c>
      <c r="C1266" s="1">
        <v>862.93</v>
      </c>
      <c r="D1266" s="6">
        <v>44298</v>
      </c>
      <c r="E1266" t="str">
        <f>"8181769941"</f>
        <v>8181769941</v>
      </c>
      <c r="F1266" t="str">
        <f>"INV 8181769941"</f>
        <v>INV 8181769941</v>
      </c>
      <c r="G1266" s="1">
        <v>358.08</v>
      </c>
      <c r="H1266" t="str">
        <f>"INV 8181769941 (LE)"</f>
        <v>INV 8181769941 (LE)</v>
      </c>
    </row>
    <row r="1267" spans="1:8" x14ac:dyDescent="0.25">
      <c r="E1267" t="str">
        <f>""</f>
        <v/>
      </c>
      <c r="F1267" t="str">
        <f>""</f>
        <v/>
      </c>
      <c r="H1267" t="str">
        <f>"INV 8181769941 (JAIL"</f>
        <v>INV 8181769941 (JAIL</v>
      </c>
    </row>
    <row r="1268" spans="1:8" x14ac:dyDescent="0.25">
      <c r="E1268" t="str">
        <f>"8181770312"</f>
        <v>8181770312</v>
      </c>
      <c r="F1268" t="str">
        <f>"CUST#16151857"</f>
        <v>CUST#16151857</v>
      </c>
      <c r="G1268" s="1">
        <v>126.92</v>
      </c>
      <c r="H1268" t="str">
        <f>"CUST#16151857"</f>
        <v>CUST#16151857</v>
      </c>
    </row>
    <row r="1269" spans="1:8" x14ac:dyDescent="0.25">
      <c r="E1269" t="str">
        <f>""</f>
        <v/>
      </c>
      <c r="F1269" t="str">
        <f>""</f>
        <v/>
      </c>
      <c r="H1269" t="str">
        <f>"CUST#16151857"</f>
        <v>CUST#16151857</v>
      </c>
    </row>
    <row r="1270" spans="1:8" x14ac:dyDescent="0.25">
      <c r="E1270" t="str">
        <f>""</f>
        <v/>
      </c>
      <c r="F1270" t="str">
        <f>""</f>
        <v/>
      </c>
      <c r="H1270" t="str">
        <f>"CUST#16151857"</f>
        <v>CUST#16151857</v>
      </c>
    </row>
    <row r="1271" spans="1:8" x14ac:dyDescent="0.25">
      <c r="E1271" t="str">
        <f>"8181770432"</f>
        <v>8181770432</v>
      </c>
      <c r="F1271" t="str">
        <f>"CUST#16155373"</f>
        <v>CUST#16155373</v>
      </c>
      <c r="G1271" s="1">
        <v>302.33999999999997</v>
      </c>
      <c r="H1271" t="str">
        <f t="shared" ref="H1271:H1276" si="21">"CUST#16155373"</f>
        <v>CUST#16155373</v>
      </c>
    </row>
    <row r="1272" spans="1:8" x14ac:dyDescent="0.25">
      <c r="E1272" t="str">
        <f>""</f>
        <v/>
      </c>
      <c r="F1272" t="str">
        <f>""</f>
        <v/>
      </c>
      <c r="H1272" t="str">
        <f t="shared" si="21"/>
        <v>CUST#16155373</v>
      </c>
    </row>
    <row r="1273" spans="1:8" x14ac:dyDescent="0.25">
      <c r="E1273" t="str">
        <f>""</f>
        <v/>
      </c>
      <c r="F1273" t="str">
        <f>""</f>
        <v/>
      </c>
      <c r="H1273" t="str">
        <f t="shared" si="21"/>
        <v>CUST#16155373</v>
      </c>
    </row>
    <row r="1274" spans="1:8" x14ac:dyDescent="0.25">
      <c r="E1274" t="str">
        <f>""</f>
        <v/>
      </c>
      <c r="F1274" t="str">
        <f>""</f>
        <v/>
      </c>
      <c r="H1274" t="str">
        <f t="shared" si="21"/>
        <v>CUST#16155373</v>
      </c>
    </row>
    <row r="1275" spans="1:8" x14ac:dyDescent="0.25">
      <c r="E1275" t="str">
        <f>""</f>
        <v/>
      </c>
      <c r="F1275" t="str">
        <f>""</f>
        <v/>
      </c>
      <c r="H1275" t="str">
        <f t="shared" si="21"/>
        <v>CUST#16155373</v>
      </c>
    </row>
    <row r="1276" spans="1:8" x14ac:dyDescent="0.25">
      <c r="E1276" t="str">
        <f>""</f>
        <v/>
      </c>
      <c r="F1276" t="str">
        <f>""</f>
        <v/>
      </c>
      <c r="H1276" t="str">
        <f t="shared" si="21"/>
        <v>CUST#16155373</v>
      </c>
    </row>
    <row r="1277" spans="1:8" x14ac:dyDescent="0.25">
      <c r="E1277" t="str">
        <f>"8481770537"</f>
        <v>8481770537</v>
      </c>
      <c r="F1277" t="str">
        <f>"CUST#16158670/JP#4"</f>
        <v>CUST#16158670/JP#4</v>
      </c>
      <c r="G1277" s="1">
        <v>75.59</v>
      </c>
      <c r="H1277" t="str">
        <f>"CUST#16158670/JP#4"</f>
        <v>CUST#16158670/JP#4</v>
      </c>
    </row>
    <row r="1278" spans="1:8" x14ac:dyDescent="0.25">
      <c r="A1278" t="s">
        <v>295</v>
      </c>
      <c r="B1278">
        <v>135383</v>
      </c>
      <c r="C1278" s="1">
        <v>570.9</v>
      </c>
      <c r="D1278" s="6">
        <v>44312</v>
      </c>
      <c r="E1278" t="str">
        <f>"202104212797"</f>
        <v>202104212797</v>
      </c>
      <c r="F1278" t="str">
        <f>"CUST#16155373"</f>
        <v>CUST#16155373</v>
      </c>
      <c r="G1278" s="1">
        <v>302.33999999999997</v>
      </c>
      <c r="H1278" t="str">
        <f t="shared" ref="H1278:H1283" si="22">"CUST#16155373"</f>
        <v>CUST#16155373</v>
      </c>
    </row>
    <row r="1279" spans="1:8" x14ac:dyDescent="0.25">
      <c r="E1279" t="str">
        <f>""</f>
        <v/>
      </c>
      <c r="F1279" t="str">
        <f>""</f>
        <v/>
      </c>
      <c r="H1279" t="str">
        <f t="shared" si="22"/>
        <v>CUST#16155373</v>
      </c>
    </row>
    <row r="1280" spans="1:8" x14ac:dyDescent="0.25">
      <c r="E1280" t="str">
        <f>""</f>
        <v/>
      </c>
      <c r="F1280" t="str">
        <f>""</f>
        <v/>
      </c>
      <c r="H1280" t="str">
        <f t="shared" si="22"/>
        <v>CUST#16155373</v>
      </c>
    </row>
    <row r="1281" spans="1:8" x14ac:dyDescent="0.25">
      <c r="E1281" t="str">
        <f>""</f>
        <v/>
      </c>
      <c r="F1281" t="str">
        <f>""</f>
        <v/>
      </c>
      <c r="H1281" t="str">
        <f t="shared" si="22"/>
        <v>CUST#16155373</v>
      </c>
    </row>
    <row r="1282" spans="1:8" x14ac:dyDescent="0.25">
      <c r="E1282" t="str">
        <f>""</f>
        <v/>
      </c>
      <c r="F1282" t="str">
        <f>""</f>
        <v/>
      </c>
      <c r="H1282" t="str">
        <f t="shared" si="22"/>
        <v>CUST#16155373</v>
      </c>
    </row>
    <row r="1283" spans="1:8" x14ac:dyDescent="0.25">
      <c r="E1283" t="str">
        <f>""</f>
        <v/>
      </c>
      <c r="F1283" t="str">
        <f>""</f>
        <v/>
      </c>
      <c r="H1283" t="str">
        <f t="shared" si="22"/>
        <v>CUST#16155373</v>
      </c>
    </row>
    <row r="1284" spans="1:8" x14ac:dyDescent="0.25">
      <c r="E1284" t="str">
        <f>"8181770472"</f>
        <v>8181770472</v>
      </c>
      <c r="F1284" t="str">
        <f>"CUST#1615671/TAX OFFICE"</f>
        <v>CUST#1615671/TAX OFFICE</v>
      </c>
      <c r="G1284" s="1">
        <v>187.84</v>
      </c>
      <c r="H1284" t="str">
        <f>"CUST#1615671/TAX OFFICE"</f>
        <v>CUST#1615671/TAX OFFICE</v>
      </c>
    </row>
    <row r="1285" spans="1:8" x14ac:dyDescent="0.25">
      <c r="E1285" t="str">
        <f>"8181770654"</f>
        <v>8181770654</v>
      </c>
      <c r="F1285" t="str">
        <f>"CUST#16160327/INDIGENT HEALTH"</f>
        <v>CUST#16160327/INDIGENT HEALTH</v>
      </c>
      <c r="G1285" s="1">
        <v>80.72</v>
      </c>
      <c r="H1285" t="str">
        <f>"CUST#16160327/INDIGENT HEALTH"</f>
        <v>CUST#16160327/INDIGENT HEALTH</v>
      </c>
    </row>
    <row r="1286" spans="1:8" x14ac:dyDescent="0.25">
      <c r="A1286" t="s">
        <v>296</v>
      </c>
      <c r="B1286">
        <v>135223</v>
      </c>
      <c r="C1286" s="1">
        <v>216</v>
      </c>
      <c r="D1286" s="6">
        <v>44298</v>
      </c>
      <c r="E1286" t="str">
        <f>"3949"</f>
        <v>3949</v>
      </c>
      <c r="F1286" t="str">
        <f>"VEHICLE GRAPHICS/ANIMAL SHELTE"</f>
        <v>VEHICLE GRAPHICS/ANIMAL SHELTE</v>
      </c>
      <c r="G1286" s="1">
        <v>216</v>
      </c>
      <c r="H1286" t="str">
        <f>"VEHICLE GRAPHICS/ANIMAL SHELTE"</f>
        <v>VEHICLE GRAPHICS/ANIMAL SHELTE</v>
      </c>
    </row>
    <row r="1287" spans="1:8" x14ac:dyDescent="0.25">
      <c r="A1287" t="s">
        <v>297</v>
      </c>
      <c r="B1287">
        <v>135384</v>
      </c>
      <c r="C1287" s="1">
        <v>1474.38</v>
      </c>
      <c r="D1287" s="6">
        <v>44312</v>
      </c>
      <c r="E1287" t="str">
        <f>"202104212813"</f>
        <v>202104212813</v>
      </c>
      <c r="F1287" t="str">
        <f>"INDIGENT HEALTH"</f>
        <v>INDIGENT HEALTH</v>
      </c>
      <c r="G1287" s="1">
        <v>1474.38</v>
      </c>
      <c r="H1287" t="str">
        <f>"INDIGENT HEALTH"</f>
        <v>INDIGENT HEALTH</v>
      </c>
    </row>
    <row r="1288" spans="1:8" x14ac:dyDescent="0.25">
      <c r="E1288" t="str">
        <f>""</f>
        <v/>
      </c>
      <c r="F1288" t="str">
        <f>""</f>
        <v/>
      </c>
      <c r="H1288" t="str">
        <f>"INDIGENT HEALTH"</f>
        <v>INDIGENT HEALTH</v>
      </c>
    </row>
    <row r="1289" spans="1:8" x14ac:dyDescent="0.25">
      <c r="A1289" t="s">
        <v>298</v>
      </c>
      <c r="B1289">
        <v>135385</v>
      </c>
      <c r="C1289" s="1">
        <v>795.36</v>
      </c>
      <c r="D1289" s="6">
        <v>44312</v>
      </c>
      <c r="E1289" t="str">
        <f>"202104212801"</f>
        <v>202104212801</v>
      </c>
      <c r="F1289" t="str">
        <f>"JAIL MEDICAL"</f>
        <v>JAIL MEDICAL</v>
      </c>
      <c r="G1289" s="1">
        <v>491.86</v>
      </c>
      <c r="H1289" t="str">
        <f>"JAIL MEDICAL"</f>
        <v>JAIL MEDICAL</v>
      </c>
    </row>
    <row r="1290" spans="1:8" x14ac:dyDescent="0.25">
      <c r="E1290" t="str">
        <f>"202104212814"</f>
        <v>202104212814</v>
      </c>
      <c r="F1290" t="str">
        <f>"INDIGENT HEALTH"</f>
        <v>INDIGENT HEALTH</v>
      </c>
      <c r="G1290" s="1">
        <v>303.5</v>
      </c>
      <c r="H1290" t="str">
        <f>"INDIGENT HEALTH"</f>
        <v>INDIGENT HEALTH</v>
      </c>
    </row>
    <row r="1291" spans="1:8" x14ac:dyDescent="0.25">
      <c r="A1291" t="s">
        <v>299</v>
      </c>
      <c r="B1291">
        <v>135224</v>
      </c>
      <c r="C1291" s="1">
        <v>1487.76</v>
      </c>
      <c r="D1291" s="6">
        <v>44298</v>
      </c>
      <c r="E1291" t="str">
        <f>"36010"</f>
        <v>36010</v>
      </c>
      <c r="F1291" t="str">
        <f>"SMITH STORES/PCT#1"</f>
        <v>SMITH STORES/PCT#1</v>
      </c>
      <c r="G1291" s="1">
        <v>1373.81</v>
      </c>
      <c r="H1291" t="str">
        <f>"SMITH STORES/PCT#1"</f>
        <v>SMITH STORES/PCT#1</v>
      </c>
    </row>
    <row r="1292" spans="1:8" x14ac:dyDescent="0.25">
      <c r="E1292" t="str">
        <f>"36011"</f>
        <v>36011</v>
      </c>
      <c r="F1292" t="str">
        <f>"SMITH STORES/PCT#2"</f>
        <v>SMITH STORES/PCT#2</v>
      </c>
      <c r="G1292" s="1">
        <v>113.95</v>
      </c>
      <c r="H1292" t="str">
        <f>"SMITH STORES/PCT#2"</f>
        <v>SMITH STORES/PCT#2</v>
      </c>
    </row>
    <row r="1293" spans="1:8" x14ac:dyDescent="0.25">
      <c r="A1293" t="s">
        <v>300</v>
      </c>
      <c r="B1293">
        <v>135225</v>
      </c>
      <c r="C1293" s="1">
        <v>625.11</v>
      </c>
      <c r="D1293" s="6">
        <v>44298</v>
      </c>
      <c r="E1293" t="str">
        <f>"202104062430"</f>
        <v>202104062430</v>
      </c>
      <c r="F1293" t="str">
        <f>"ACCT#260/PCT#2"</f>
        <v>ACCT#260/PCT#2</v>
      </c>
      <c r="G1293" s="1">
        <v>625.11</v>
      </c>
      <c r="H1293" t="str">
        <f>"ACCT#260/PCT#2"</f>
        <v>ACCT#260/PCT#2</v>
      </c>
    </row>
    <row r="1294" spans="1:8" x14ac:dyDescent="0.25">
      <c r="A1294" t="s">
        <v>301</v>
      </c>
      <c r="B1294">
        <v>135386</v>
      </c>
      <c r="C1294" s="1">
        <v>1135.3699999999999</v>
      </c>
      <c r="D1294" s="6">
        <v>44312</v>
      </c>
      <c r="E1294" t="str">
        <f>"202104212815"</f>
        <v>202104212815</v>
      </c>
      <c r="F1294" t="str">
        <f>"INDIGENT HEALTH"</f>
        <v>INDIGENT HEALTH</v>
      </c>
      <c r="G1294" s="1">
        <v>1135.3699999999999</v>
      </c>
      <c r="H1294" t="str">
        <f>"INDIGENT HEALTH"</f>
        <v>INDIGENT HEALTH</v>
      </c>
    </row>
    <row r="1295" spans="1:8" x14ac:dyDescent="0.25">
      <c r="A1295" t="s">
        <v>302</v>
      </c>
      <c r="B1295">
        <v>135387</v>
      </c>
      <c r="C1295" s="1">
        <v>490.42</v>
      </c>
      <c r="D1295" s="6">
        <v>44312</v>
      </c>
      <c r="E1295" t="str">
        <f>"21T-844"</f>
        <v>21T-844</v>
      </c>
      <c r="F1295" t="str">
        <f>"MARCH MY PARMIT NOW SOFTWARE"</f>
        <v>MARCH MY PARMIT NOW SOFTWARE</v>
      </c>
      <c r="G1295" s="1">
        <v>490.42</v>
      </c>
      <c r="H1295" t="str">
        <f>"MARCH MY PARMIT NOW SOFTWARE"</f>
        <v>MARCH MY PARMIT NOW SOFTWARE</v>
      </c>
    </row>
    <row r="1296" spans="1:8" x14ac:dyDescent="0.25">
      <c r="A1296" t="s">
        <v>303</v>
      </c>
      <c r="B1296">
        <v>135388</v>
      </c>
      <c r="C1296" s="1">
        <v>896.76</v>
      </c>
      <c r="D1296" s="6">
        <v>44312</v>
      </c>
      <c r="E1296" t="str">
        <f>"23376"</f>
        <v>23376</v>
      </c>
      <c r="F1296" t="str">
        <f>"Scanner for JP3"</f>
        <v>Scanner for JP3</v>
      </c>
      <c r="G1296" s="1">
        <v>896.76</v>
      </c>
      <c r="H1296" t="str">
        <f>"FUJ-PA03670-B085"</f>
        <v>FUJ-PA03670-B085</v>
      </c>
    </row>
    <row r="1297" spans="1:8" x14ac:dyDescent="0.25">
      <c r="A1297" t="s">
        <v>304</v>
      </c>
      <c r="B1297">
        <v>135226</v>
      </c>
      <c r="C1297" s="1">
        <v>4762.1000000000004</v>
      </c>
      <c r="D1297" s="6">
        <v>44298</v>
      </c>
      <c r="E1297" t="str">
        <f>"424002416"</f>
        <v>424002416</v>
      </c>
      <c r="F1297" t="str">
        <f>"INV 4240024216"</f>
        <v>INV 4240024216</v>
      </c>
      <c r="G1297" s="1">
        <v>805.08</v>
      </c>
      <c r="H1297" t="str">
        <f>"INV 4240024216"</f>
        <v>INV 4240024216</v>
      </c>
    </row>
    <row r="1298" spans="1:8" x14ac:dyDescent="0.25">
      <c r="E1298" t="str">
        <f>"4240024262"</f>
        <v>4240024262</v>
      </c>
      <c r="F1298" t="str">
        <f>"INV 4240024262"</f>
        <v>INV 4240024262</v>
      </c>
      <c r="G1298" s="1">
        <v>448</v>
      </c>
      <c r="H1298" t="str">
        <f>"INV 4240024262"</f>
        <v>INV 4240024262</v>
      </c>
    </row>
    <row r="1299" spans="1:8" x14ac:dyDescent="0.25">
      <c r="E1299" t="str">
        <f>"4240024265"</f>
        <v>4240024265</v>
      </c>
      <c r="F1299" t="str">
        <f>"INV 4240024265"</f>
        <v>INV 4240024265</v>
      </c>
      <c r="G1299" s="1">
        <v>1177.56</v>
      </c>
      <c r="H1299" t="str">
        <f>"INV 4240024265"</f>
        <v>INV 4240024265</v>
      </c>
    </row>
    <row r="1300" spans="1:8" x14ac:dyDescent="0.25">
      <c r="E1300" t="str">
        <f>"4240024347"</f>
        <v>4240024347</v>
      </c>
      <c r="F1300" t="str">
        <f>"INV 4240024347"</f>
        <v>INV 4240024347</v>
      </c>
      <c r="G1300" s="1">
        <v>446.8</v>
      </c>
      <c r="H1300" t="str">
        <f>"INV 4240024347"</f>
        <v>INV 4240024347</v>
      </c>
    </row>
    <row r="1301" spans="1:8" x14ac:dyDescent="0.25">
      <c r="E1301" t="str">
        <f>"4650071591"</f>
        <v>4650071591</v>
      </c>
      <c r="F1301" t="str">
        <f>"ACCT#52157/PCT#3"</f>
        <v>ACCT#52157/PCT#3</v>
      </c>
      <c r="G1301" s="1">
        <v>1884.66</v>
      </c>
      <c r="H1301" t="str">
        <f>"ACCT#52157/PCT#3"</f>
        <v>ACCT#52157/PCT#3</v>
      </c>
    </row>
    <row r="1302" spans="1:8" x14ac:dyDescent="0.25">
      <c r="A1302" t="s">
        <v>304</v>
      </c>
      <c r="B1302">
        <v>135389</v>
      </c>
      <c r="C1302" s="1">
        <v>7853.5</v>
      </c>
      <c r="D1302" s="6">
        <v>44312</v>
      </c>
      <c r="E1302" t="str">
        <f>"4240025316"</f>
        <v>4240025316</v>
      </c>
      <c r="F1302" t="str">
        <f>"INV 4240025316"</f>
        <v>INV 4240025316</v>
      </c>
      <c r="G1302" s="1">
        <v>1368.4</v>
      </c>
      <c r="H1302" t="str">
        <f>"INV 4240025316"</f>
        <v>INV 4240025316</v>
      </c>
    </row>
    <row r="1303" spans="1:8" x14ac:dyDescent="0.25">
      <c r="E1303" t="str">
        <f>"4650072317"</f>
        <v>4650072317</v>
      </c>
      <c r="F1303" t="str">
        <f>"CUST#0052157/PCT#1"</f>
        <v>CUST#0052157/PCT#1</v>
      </c>
      <c r="G1303" s="1">
        <v>857.5</v>
      </c>
      <c r="H1303" t="str">
        <f>"CUST#0052157/PCT#1"</f>
        <v>CUST#0052157/PCT#1</v>
      </c>
    </row>
    <row r="1304" spans="1:8" x14ac:dyDescent="0.25">
      <c r="E1304" t="str">
        <f>"4650073386"</f>
        <v>4650073386</v>
      </c>
      <c r="F1304" t="str">
        <f>"CUST#0052157/PCT#1"</f>
        <v>CUST#0052157/PCT#1</v>
      </c>
      <c r="G1304" s="1">
        <v>3908.5</v>
      </c>
      <c r="H1304" t="str">
        <f>"CUST#0052157/PCT#1"</f>
        <v>CUST#0052157/PCT#1</v>
      </c>
    </row>
    <row r="1305" spans="1:8" x14ac:dyDescent="0.25">
      <c r="E1305" t="str">
        <f>"4650073909"</f>
        <v>4650073909</v>
      </c>
      <c r="F1305" t="str">
        <f>"CUST#0052157/PCT#1"</f>
        <v>CUST#0052157/PCT#1</v>
      </c>
      <c r="G1305" s="1">
        <v>1719.1</v>
      </c>
      <c r="H1305" t="str">
        <f>"CUST#0052157/PCT#3"</f>
        <v>CUST#0052157/PCT#3</v>
      </c>
    </row>
    <row r="1306" spans="1:8" x14ac:dyDescent="0.25">
      <c r="A1306" t="s">
        <v>305</v>
      </c>
      <c r="B1306">
        <v>135227</v>
      </c>
      <c r="C1306" s="1">
        <v>38.380000000000003</v>
      </c>
      <c r="D1306" s="6">
        <v>44298</v>
      </c>
      <c r="E1306" t="str">
        <f>"9604456032521"</f>
        <v>9604456032521</v>
      </c>
      <c r="F1306" t="str">
        <f>"ACCT#46668439604456/JP#2"</f>
        <v>ACCT#46668439604456/JP#2</v>
      </c>
      <c r="G1306" s="1">
        <v>38.380000000000003</v>
      </c>
      <c r="H1306" t="str">
        <f>"ACCT#46668439604456/JP#2"</f>
        <v>ACCT#46668439604456/JP#2</v>
      </c>
    </row>
    <row r="1307" spans="1:8" x14ac:dyDescent="0.25">
      <c r="A1307" t="s">
        <v>306</v>
      </c>
      <c r="B1307">
        <v>135228</v>
      </c>
      <c r="C1307" s="1">
        <v>38.68</v>
      </c>
      <c r="D1307" s="6">
        <v>44298</v>
      </c>
      <c r="E1307" t="str">
        <f>"S1128571"</f>
        <v>S1128571</v>
      </c>
      <c r="F1307" t="str">
        <f>"ACCT#114382/ANIMAL SHELTER"</f>
        <v>ACCT#114382/ANIMAL SHELTER</v>
      </c>
      <c r="G1307" s="1">
        <v>38.68</v>
      </c>
      <c r="H1307" t="str">
        <f>"ACCT#114382/ANIMAL SHELTER"</f>
        <v>ACCT#114382/ANIMAL SHELTER</v>
      </c>
    </row>
    <row r="1308" spans="1:8" x14ac:dyDescent="0.25">
      <c r="A1308" t="s">
        <v>306</v>
      </c>
      <c r="B1308">
        <v>135390</v>
      </c>
      <c r="C1308" s="1">
        <v>223.44</v>
      </c>
      <c r="D1308" s="6">
        <v>44312</v>
      </c>
      <c r="E1308" t="str">
        <f>"S1136284"</f>
        <v>S1136284</v>
      </c>
      <c r="F1308" t="str">
        <f>"RX-PONAZURIL/ANIMAL SHELTER"</f>
        <v>RX-PONAZURIL/ANIMAL SHELTER</v>
      </c>
      <c r="G1308" s="1">
        <v>223.44</v>
      </c>
      <c r="H1308" t="str">
        <f>"RX/PONAZURIL/ANIMAL SHELTER"</f>
        <v>RX/PONAZURIL/ANIMAL SHELTER</v>
      </c>
    </row>
    <row r="1309" spans="1:8" x14ac:dyDescent="0.25">
      <c r="A1309" t="s">
        <v>307</v>
      </c>
      <c r="B1309">
        <v>135391</v>
      </c>
      <c r="C1309" s="1">
        <v>127.6</v>
      </c>
      <c r="D1309" s="6">
        <v>44312</v>
      </c>
      <c r="E1309" t="str">
        <f>"202104212816"</f>
        <v>202104212816</v>
      </c>
      <c r="F1309" t="str">
        <f>"INDIGENT HEALTH"</f>
        <v>INDIGENT HEALTH</v>
      </c>
      <c r="G1309" s="1">
        <v>127.6</v>
      </c>
      <c r="H1309" t="str">
        <f>"INDIGENT HEALTH"</f>
        <v>INDIGENT HEALTH</v>
      </c>
    </row>
    <row r="1310" spans="1:8" x14ac:dyDescent="0.25">
      <c r="A1310" t="s">
        <v>308</v>
      </c>
      <c r="B1310">
        <v>135229</v>
      </c>
      <c r="C1310" s="1">
        <v>5441.06</v>
      </c>
      <c r="D1310" s="6">
        <v>44298</v>
      </c>
      <c r="E1310" t="str">
        <f>"8061619031"</f>
        <v>8061619031</v>
      </c>
      <c r="F1310" t="str">
        <f>"Statement"</f>
        <v>Statement</v>
      </c>
      <c r="G1310" s="1">
        <v>3553.43</v>
      </c>
      <c r="H1310" t="str">
        <f>"3472192786"</f>
        <v>3472192786</v>
      </c>
    </row>
    <row r="1311" spans="1:8" x14ac:dyDescent="0.25">
      <c r="E1311" t="str">
        <f>""</f>
        <v/>
      </c>
      <c r="F1311" t="str">
        <f>""</f>
        <v/>
      </c>
      <c r="H1311" t="str">
        <f>"3472192785"</f>
        <v>3472192785</v>
      </c>
    </row>
    <row r="1312" spans="1:8" x14ac:dyDescent="0.25">
      <c r="E1312" t="str">
        <f>""</f>
        <v/>
      </c>
      <c r="F1312" t="str">
        <f>""</f>
        <v/>
      </c>
      <c r="H1312" t="str">
        <f>"3472192783"</f>
        <v>3472192783</v>
      </c>
    </row>
    <row r="1313" spans="5:8" x14ac:dyDescent="0.25">
      <c r="E1313" t="str">
        <f>""</f>
        <v/>
      </c>
      <c r="F1313" t="str">
        <f>""</f>
        <v/>
      </c>
      <c r="H1313" t="str">
        <f>"3472192787"</f>
        <v>3472192787</v>
      </c>
    </row>
    <row r="1314" spans="5:8" x14ac:dyDescent="0.25">
      <c r="E1314" t="str">
        <f>""</f>
        <v/>
      </c>
      <c r="F1314" t="str">
        <f>""</f>
        <v/>
      </c>
      <c r="H1314" t="str">
        <f>"3472192791"</f>
        <v>3472192791</v>
      </c>
    </row>
    <row r="1315" spans="5:8" x14ac:dyDescent="0.25">
      <c r="E1315" t="str">
        <f>""</f>
        <v/>
      </c>
      <c r="F1315" t="str">
        <f>""</f>
        <v/>
      </c>
      <c r="H1315" t="str">
        <f>"3472192792"</f>
        <v>3472192792</v>
      </c>
    </row>
    <row r="1316" spans="5:8" x14ac:dyDescent="0.25">
      <c r="E1316" t="str">
        <f>""</f>
        <v/>
      </c>
      <c r="F1316" t="str">
        <f>""</f>
        <v/>
      </c>
      <c r="H1316" t="str">
        <f>"3472192788"</f>
        <v>3472192788</v>
      </c>
    </row>
    <row r="1317" spans="5:8" x14ac:dyDescent="0.25">
      <c r="E1317" t="str">
        <f>""</f>
        <v/>
      </c>
      <c r="F1317" t="str">
        <f>""</f>
        <v/>
      </c>
      <c r="H1317" t="str">
        <f>"3472192789"</f>
        <v>3472192789</v>
      </c>
    </row>
    <row r="1318" spans="5:8" x14ac:dyDescent="0.25">
      <c r="E1318" t="str">
        <f>""</f>
        <v/>
      </c>
      <c r="F1318" t="str">
        <f>""</f>
        <v/>
      </c>
      <c r="H1318" t="str">
        <f>"3472192790"</f>
        <v>3472192790</v>
      </c>
    </row>
    <row r="1319" spans="5:8" x14ac:dyDescent="0.25">
      <c r="E1319" t="str">
        <f>""</f>
        <v/>
      </c>
      <c r="F1319" t="str">
        <f>""</f>
        <v/>
      </c>
      <c r="H1319" t="str">
        <f>"3472192793"</f>
        <v>3472192793</v>
      </c>
    </row>
    <row r="1320" spans="5:8" x14ac:dyDescent="0.25">
      <c r="E1320" t="str">
        <f>""</f>
        <v/>
      </c>
      <c r="F1320" t="str">
        <f>""</f>
        <v/>
      </c>
      <c r="H1320" t="str">
        <f>"3472192784"</f>
        <v>3472192784</v>
      </c>
    </row>
    <row r="1321" spans="5:8" x14ac:dyDescent="0.25">
      <c r="E1321" t="str">
        <f>""</f>
        <v/>
      </c>
      <c r="F1321" t="str">
        <f>""</f>
        <v/>
      </c>
      <c r="H1321" t="str">
        <f>"3472192778"</f>
        <v>3472192778</v>
      </c>
    </row>
    <row r="1322" spans="5:8" x14ac:dyDescent="0.25">
      <c r="E1322" t="str">
        <f>""</f>
        <v/>
      </c>
      <c r="F1322" t="str">
        <f>""</f>
        <v/>
      </c>
      <c r="H1322" t="str">
        <f>"3472192779"</f>
        <v>3472192779</v>
      </c>
    </row>
    <row r="1323" spans="5:8" x14ac:dyDescent="0.25">
      <c r="E1323" t="str">
        <f>""</f>
        <v/>
      </c>
      <c r="F1323" t="str">
        <f>""</f>
        <v/>
      </c>
      <c r="H1323" t="str">
        <f>"3472192780"</f>
        <v>3472192780</v>
      </c>
    </row>
    <row r="1324" spans="5:8" x14ac:dyDescent="0.25">
      <c r="E1324" t="str">
        <f>""</f>
        <v/>
      </c>
      <c r="F1324" t="str">
        <f>""</f>
        <v/>
      </c>
      <c r="H1324" t="str">
        <f>"3472192781"</f>
        <v>3472192781</v>
      </c>
    </row>
    <row r="1325" spans="5:8" x14ac:dyDescent="0.25">
      <c r="E1325" t="str">
        <f>""</f>
        <v/>
      </c>
      <c r="F1325" t="str">
        <f>""</f>
        <v/>
      </c>
      <c r="H1325" t="str">
        <f>"3472192782"</f>
        <v>3472192782</v>
      </c>
    </row>
    <row r="1326" spans="5:8" x14ac:dyDescent="0.25">
      <c r="E1326" t="str">
        <f>"8061782209"</f>
        <v>8061782209</v>
      </c>
      <c r="F1326" t="str">
        <f>"Statement"</f>
        <v>Statement</v>
      </c>
      <c r="G1326" s="1">
        <v>1887.63</v>
      </c>
      <c r="H1326" t="str">
        <f>"3473581495"</f>
        <v>3473581495</v>
      </c>
    </row>
    <row r="1327" spans="5:8" x14ac:dyDescent="0.25">
      <c r="E1327" t="str">
        <f>""</f>
        <v/>
      </c>
      <c r="F1327" t="str">
        <f>""</f>
        <v/>
      </c>
      <c r="H1327" t="str">
        <f>"3473581496"</f>
        <v>3473581496</v>
      </c>
    </row>
    <row r="1328" spans="5:8" x14ac:dyDescent="0.25">
      <c r="E1328" t="str">
        <f>""</f>
        <v/>
      </c>
      <c r="F1328" t="str">
        <f>""</f>
        <v/>
      </c>
      <c r="H1328" t="str">
        <f>"3473581492"</f>
        <v>3473581492</v>
      </c>
    </row>
    <row r="1329" spans="1:8" x14ac:dyDescent="0.25">
      <c r="E1329" t="str">
        <f>""</f>
        <v/>
      </c>
      <c r="F1329" t="str">
        <f>""</f>
        <v/>
      </c>
      <c r="H1329" t="str">
        <f>"3473581502"</f>
        <v>3473581502</v>
      </c>
    </row>
    <row r="1330" spans="1:8" x14ac:dyDescent="0.25">
      <c r="E1330" t="str">
        <f>""</f>
        <v/>
      </c>
      <c r="F1330" t="str">
        <f>""</f>
        <v/>
      </c>
      <c r="H1330" t="str">
        <f>"3473581503"</f>
        <v>3473581503</v>
      </c>
    </row>
    <row r="1331" spans="1:8" x14ac:dyDescent="0.25">
      <c r="E1331" t="str">
        <f>""</f>
        <v/>
      </c>
      <c r="F1331" t="str">
        <f>""</f>
        <v/>
      </c>
      <c r="H1331" t="str">
        <f>"3473581497"</f>
        <v>3473581497</v>
      </c>
    </row>
    <row r="1332" spans="1:8" x14ac:dyDescent="0.25">
      <c r="E1332" t="str">
        <f>""</f>
        <v/>
      </c>
      <c r="F1332" t="str">
        <f>""</f>
        <v/>
      </c>
      <c r="H1332" t="str">
        <f>"3473581499"</f>
        <v>3473581499</v>
      </c>
    </row>
    <row r="1333" spans="1:8" x14ac:dyDescent="0.25">
      <c r="E1333" t="str">
        <f>""</f>
        <v/>
      </c>
      <c r="F1333" t="str">
        <f>""</f>
        <v/>
      </c>
      <c r="H1333" t="str">
        <f>"3473581500"</f>
        <v>3473581500</v>
      </c>
    </row>
    <row r="1334" spans="1:8" x14ac:dyDescent="0.25">
      <c r="E1334" t="str">
        <f>""</f>
        <v/>
      </c>
      <c r="F1334" t="str">
        <f>""</f>
        <v/>
      </c>
      <c r="H1334" t="str">
        <f>"3473581493"</f>
        <v>3473581493</v>
      </c>
    </row>
    <row r="1335" spans="1:8" x14ac:dyDescent="0.25">
      <c r="E1335" t="str">
        <f>""</f>
        <v/>
      </c>
      <c r="F1335" t="str">
        <f>""</f>
        <v/>
      </c>
      <c r="H1335" t="str">
        <f>"3473581494"</f>
        <v>3473581494</v>
      </c>
    </row>
    <row r="1336" spans="1:8" x14ac:dyDescent="0.25">
      <c r="E1336" t="str">
        <f>""</f>
        <v/>
      </c>
      <c r="F1336" t="str">
        <f>""</f>
        <v/>
      </c>
      <c r="H1336" t="str">
        <f>"3473581501"</f>
        <v>3473581501</v>
      </c>
    </row>
    <row r="1337" spans="1:8" x14ac:dyDescent="0.25">
      <c r="A1337" t="s">
        <v>308</v>
      </c>
      <c r="B1337">
        <v>135392</v>
      </c>
      <c r="C1337" s="1">
        <v>1591.08</v>
      </c>
      <c r="D1337" s="6">
        <v>44312</v>
      </c>
      <c r="E1337" t="str">
        <f>"8061936486"</f>
        <v>8061936486</v>
      </c>
      <c r="F1337" t="str">
        <f>"Statement"</f>
        <v>Statement</v>
      </c>
      <c r="G1337" s="1">
        <v>1591.08</v>
      </c>
      <c r="H1337" t="str">
        <f>"3474714790"</f>
        <v>3474714790</v>
      </c>
    </row>
    <row r="1338" spans="1:8" x14ac:dyDescent="0.25">
      <c r="E1338" t="str">
        <f>""</f>
        <v/>
      </c>
      <c r="F1338" t="str">
        <f>""</f>
        <v/>
      </c>
      <c r="H1338" t="str">
        <f>"3474714794"</f>
        <v>3474714794</v>
      </c>
    </row>
    <row r="1339" spans="1:8" x14ac:dyDescent="0.25">
      <c r="E1339" t="str">
        <f>""</f>
        <v/>
      </c>
      <c r="F1339" t="str">
        <f>""</f>
        <v/>
      </c>
      <c r="H1339" t="str">
        <f>"3474714793"</f>
        <v>3474714793</v>
      </c>
    </row>
    <row r="1340" spans="1:8" x14ac:dyDescent="0.25">
      <c r="E1340" t="str">
        <f>""</f>
        <v/>
      </c>
      <c r="F1340" t="str">
        <f>""</f>
        <v/>
      </c>
      <c r="H1340" t="str">
        <f>"3474714788"</f>
        <v>3474714788</v>
      </c>
    </row>
    <row r="1341" spans="1:8" x14ac:dyDescent="0.25">
      <c r="E1341" t="str">
        <f>""</f>
        <v/>
      </c>
      <c r="F1341" t="str">
        <f>""</f>
        <v/>
      </c>
      <c r="H1341" t="str">
        <f>"3474714797"</f>
        <v>3474714797</v>
      </c>
    </row>
    <row r="1342" spans="1:8" x14ac:dyDescent="0.25">
      <c r="E1342" t="str">
        <f>""</f>
        <v/>
      </c>
      <c r="F1342" t="str">
        <f>""</f>
        <v/>
      </c>
      <c r="H1342" t="str">
        <f>"3474714791"</f>
        <v>3474714791</v>
      </c>
    </row>
    <row r="1343" spans="1:8" x14ac:dyDescent="0.25">
      <c r="E1343" t="str">
        <f>""</f>
        <v/>
      </c>
      <c r="F1343" t="str">
        <f>""</f>
        <v/>
      </c>
      <c r="H1343" t="str">
        <f>"3474714792"</f>
        <v>3474714792</v>
      </c>
    </row>
    <row r="1344" spans="1:8" x14ac:dyDescent="0.25">
      <c r="E1344" t="str">
        <f>""</f>
        <v/>
      </c>
      <c r="F1344" t="str">
        <f>""</f>
        <v/>
      </c>
      <c r="H1344" t="str">
        <f>"3474714796"</f>
        <v>3474714796</v>
      </c>
    </row>
    <row r="1345" spans="1:8" x14ac:dyDescent="0.25">
      <c r="E1345" t="str">
        <f>""</f>
        <v/>
      </c>
      <c r="F1345" t="str">
        <f>""</f>
        <v/>
      </c>
      <c r="H1345" t="str">
        <f>"3474714795"</f>
        <v>3474714795</v>
      </c>
    </row>
    <row r="1346" spans="1:8" x14ac:dyDescent="0.25">
      <c r="E1346" t="str">
        <f>""</f>
        <v/>
      </c>
      <c r="F1346" t="str">
        <f>""</f>
        <v/>
      </c>
      <c r="H1346" t="str">
        <f>"3474714789"</f>
        <v>3474714789</v>
      </c>
    </row>
    <row r="1347" spans="1:8" x14ac:dyDescent="0.25">
      <c r="A1347" t="s">
        <v>309</v>
      </c>
      <c r="B1347">
        <v>135393</v>
      </c>
      <c r="C1347" s="1">
        <v>675</v>
      </c>
      <c r="D1347" s="6">
        <v>44312</v>
      </c>
      <c r="E1347" t="str">
        <f>"202104212783"</f>
        <v>202104212783</v>
      </c>
      <c r="F1347" t="str">
        <f>"MARCH 2021"</f>
        <v>MARCH 2021</v>
      </c>
      <c r="G1347" s="1">
        <v>675</v>
      </c>
      <c r="H1347" t="str">
        <f>"MARCH 2021"</f>
        <v>MARCH 2021</v>
      </c>
    </row>
    <row r="1348" spans="1:8" x14ac:dyDescent="0.25">
      <c r="A1348" t="s">
        <v>310</v>
      </c>
      <c r="B1348">
        <v>135230</v>
      </c>
      <c r="C1348" s="1">
        <v>750</v>
      </c>
      <c r="D1348" s="6">
        <v>44298</v>
      </c>
      <c r="E1348" t="str">
        <f>"1009975"</f>
        <v>1009975</v>
      </c>
      <c r="F1348" t="str">
        <f>"PROJECT#20800-P7 STONY POINT"</f>
        <v>PROJECT#20800-P7 STONY POINT</v>
      </c>
      <c r="G1348" s="1">
        <v>750</v>
      </c>
      <c r="H1348" t="str">
        <f>"PROJECT#20800-P7 STONY POINT"</f>
        <v>PROJECT#20800-P7 STONY POINT</v>
      </c>
    </row>
    <row r="1349" spans="1:8" x14ac:dyDescent="0.25">
      <c r="A1349" t="s">
        <v>310</v>
      </c>
      <c r="B1349">
        <v>135394</v>
      </c>
      <c r="C1349" s="1">
        <v>750</v>
      </c>
      <c r="D1349" s="6">
        <v>44312</v>
      </c>
      <c r="E1349" t="str">
        <f>"1010175"</f>
        <v>1010175</v>
      </c>
      <c r="F1349" t="str">
        <f>"PROJECT#20800-P7 2019"</f>
        <v>PROJECT#20800-P7 2019</v>
      </c>
      <c r="G1349" s="1">
        <v>750</v>
      </c>
      <c r="H1349" t="str">
        <f>"PROJECT#20800-P7 2019"</f>
        <v>PROJECT#20800-P7 2019</v>
      </c>
    </row>
    <row r="1350" spans="1:8" x14ac:dyDescent="0.25">
      <c r="A1350" t="s">
        <v>311</v>
      </c>
      <c r="B1350">
        <v>135231</v>
      </c>
      <c r="C1350" s="1">
        <v>834.29</v>
      </c>
      <c r="D1350" s="6">
        <v>44298</v>
      </c>
      <c r="E1350" t="str">
        <f>"4010012435"</f>
        <v>4010012435</v>
      </c>
      <c r="F1350" t="str">
        <f>"INV 4010012435"</f>
        <v>INV 4010012435</v>
      </c>
      <c r="G1350" s="1">
        <v>834.29</v>
      </c>
      <c r="H1350" t="str">
        <f>"INV 4010012435"</f>
        <v>INV 4010012435</v>
      </c>
    </row>
    <row r="1351" spans="1:8" x14ac:dyDescent="0.25">
      <c r="A1351" t="s">
        <v>312</v>
      </c>
      <c r="B1351">
        <v>4264</v>
      </c>
      <c r="C1351" s="1">
        <v>598</v>
      </c>
      <c r="D1351" s="6">
        <v>44299</v>
      </c>
      <c r="E1351" t="str">
        <f>"202104062440"</f>
        <v>202104062440</v>
      </c>
      <c r="F1351" t="str">
        <f>"TRASH REMOVAL/ STEVE GRANADO"</f>
        <v>TRASH REMOVAL/ STEVE GRANADO</v>
      </c>
      <c r="G1351" s="1">
        <v>305.5</v>
      </c>
      <c r="H1351" t="str">
        <f>"TRASH REMOVAL/ STEVE GRANADO"</f>
        <v>TRASH REMOVAL/ STEVE GRANADO</v>
      </c>
    </row>
    <row r="1352" spans="1:8" x14ac:dyDescent="0.25">
      <c r="E1352" t="str">
        <f>"202104062441"</f>
        <v>202104062441</v>
      </c>
      <c r="F1352" t="str">
        <f>"TRASH REMOVAL/ STEVE GRANADO"</f>
        <v>TRASH REMOVAL/ STEVE GRANADO</v>
      </c>
      <c r="G1352" s="1">
        <v>292.5</v>
      </c>
      <c r="H1352" t="str">
        <f>"TRASH REMOVAL/ STEVE GRANADO"</f>
        <v>TRASH REMOVAL/ STEVE GRANADO</v>
      </c>
    </row>
    <row r="1353" spans="1:8" x14ac:dyDescent="0.25">
      <c r="A1353" t="s">
        <v>312</v>
      </c>
      <c r="B1353">
        <v>4340</v>
      </c>
      <c r="C1353" s="1">
        <v>474.5</v>
      </c>
      <c r="D1353" s="6">
        <v>44313</v>
      </c>
      <c r="E1353" t="str">
        <f>"202104202767"</f>
        <v>202104202767</v>
      </c>
      <c r="F1353" t="str">
        <f>"TRASH REMOVAL/STEVE GRANADO"</f>
        <v>TRASH REMOVAL/STEVE GRANADO</v>
      </c>
      <c r="G1353" s="1">
        <v>474.5</v>
      </c>
      <c r="H1353" t="str">
        <f>"TRASH REMOVAL/STEVE GRANADO"</f>
        <v>TRASH REMOVAL/STEVE GRANADO</v>
      </c>
    </row>
    <row r="1354" spans="1:8" x14ac:dyDescent="0.25">
      <c r="A1354" t="s">
        <v>313</v>
      </c>
      <c r="B1354">
        <v>135232</v>
      </c>
      <c r="C1354" s="1">
        <v>779.35</v>
      </c>
      <c r="D1354" s="6">
        <v>44298</v>
      </c>
      <c r="E1354" t="str">
        <f>"20210323B"</f>
        <v>20210323B</v>
      </c>
      <c r="F1354" t="str">
        <f>"INV 20210323B"</f>
        <v>INV 20210323B</v>
      </c>
      <c r="G1354" s="1">
        <v>779.35</v>
      </c>
      <c r="H1354" t="str">
        <f>"INV 20210323B"</f>
        <v>INV 20210323B</v>
      </c>
    </row>
    <row r="1355" spans="1:8" x14ac:dyDescent="0.25">
      <c r="A1355" t="s">
        <v>314</v>
      </c>
      <c r="B1355">
        <v>4288</v>
      </c>
      <c r="C1355" s="1">
        <v>10992.46</v>
      </c>
      <c r="D1355" s="6">
        <v>44299</v>
      </c>
      <c r="E1355" t="str">
        <f>"96016191"</f>
        <v>96016191</v>
      </c>
      <c r="F1355" t="str">
        <f>"ACCT#10187718/PCT#2"</f>
        <v>ACCT#10187718/PCT#2</v>
      </c>
      <c r="G1355" s="1">
        <v>4129.54</v>
      </c>
      <c r="H1355" t="str">
        <f>"ACCT#10187718/PCT#2"</f>
        <v>ACCT#10187718/PCT#2</v>
      </c>
    </row>
    <row r="1356" spans="1:8" x14ac:dyDescent="0.25">
      <c r="E1356" t="str">
        <f>"96023218"</f>
        <v>96023218</v>
      </c>
      <c r="F1356" t="str">
        <f>"ACCT#10187718/PCT#2"</f>
        <v>ACCT#10187718/PCT#2</v>
      </c>
      <c r="G1356" s="1">
        <v>3431.65</v>
      </c>
      <c r="H1356" t="str">
        <f>"ACCT#10187718/PCT#2"</f>
        <v>ACCT#10187718/PCT#2</v>
      </c>
    </row>
    <row r="1357" spans="1:8" x14ac:dyDescent="0.25">
      <c r="E1357" t="str">
        <f>"96032212"</f>
        <v>96032212</v>
      </c>
      <c r="F1357" t="str">
        <f>"ACCT#10187718/PCT#2"</f>
        <v>ACCT#10187718/PCT#2</v>
      </c>
      <c r="G1357" s="1">
        <v>3431.27</v>
      </c>
      <c r="H1357" t="str">
        <f>"ACCT#10187718/PCT#2"</f>
        <v>ACCT#10187718/PCT#2</v>
      </c>
    </row>
    <row r="1358" spans="1:8" x14ac:dyDescent="0.25">
      <c r="A1358" t="s">
        <v>314</v>
      </c>
      <c r="B1358">
        <v>4361</v>
      </c>
      <c r="C1358" s="1">
        <v>6036.07</v>
      </c>
      <c r="D1358" s="6">
        <v>44313</v>
      </c>
      <c r="E1358" t="str">
        <f>"96039245"</f>
        <v>96039245</v>
      </c>
      <c r="F1358" t="str">
        <f>"ACCT#10187718/PCT#2"</f>
        <v>ACCT#10187718/PCT#2</v>
      </c>
      <c r="G1358" s="1">
        <v>2985.23</v>
      </c>
      <c r="H1358" t="str">
        <f>"ACCT#10187718/PCT#2"</f>
        <v>ACCT#10187718/PCT#2</v>
      </c>
    </row>
    <row r="1359" spans="1:8" x14ac:dyDescent="0.25">
      <c r="E1359" t="str">
        <f>"96045507"</f>
        <v>96045507</v>
      </c>
      <c r="F1359" t="str">
        <f>"ACCT#10187930/PCT#2"</f>
        <v>ACCT#10187930/PCT#2</v>
      </c>
      <c r="G1359" s="1">
        <v>3050.84</v>
      </c>
      <c r="H1359" t="str">
        <f>"ACCT#10187930/PCT#2"</f>
        <v>ACCT#10187930/PCT#2</v>
      </c>
    </row>
    <row r="1360" spans="1:8" x14ac:dyDescent="0.25">
      <c r="A1360" t="s">
        <v>315</v>
      </c>
      <c r="B1360">
        <v>4274</v>
      </c>
      <c r="C1360" s="1">
        <v>92.16</v>
      </c>
      <c r="D1360" s="6">
        <v>44299</v>
      </c>
      <c r="E1360" t="str">
        <f>"21040108"</f>
        <v>21040108</v>
      </c>
      <c r="F1360" t="str">
        <f>"SVC CONTRACT 04/01/21"</f>
        <v>SVC CONTRACT 04/01/21</v>
      </c>
      <c r="G1360" s="1">
        <v>92.16</v>
      </c>
      <c r="H1360" t="str">
        <f>"SVC CONTRACT 04/01/21"</f>
        <v>SVC CONTRACT 04/01/21</v>
      </c>
    </row>
    <row r="1361" spans="1:8" x14ac:dyDescent="0.25">
      <c r="A1361" t="s">
        <v>316</v>
      </c>
      <c r="B1361">
        <v>135395</v>
      </c>
      <c r="C1361" s="1">
        <v>25</v>
      </c>
      <c r="D1361" s="6">
        <v>44312</v>
      </c>
      <c r="E1361" t="str">
        <f>"202104202761"</f>
        <v>202104202761</v>
      </c>
      <c r="F1361" t="str">
        <f>"TCOLE TEST/MARCUS WILLIAMS"</f>
        <v>TCOLE TEST/MARCUS WILLIAMS</v>
      </c>
      <c r="G1361" s="1">
        <v>25</v>
      </c>
      <c r="H1361" t="str">
        <f>"TCOLE TEST/MARCUS WILLIAMS"</f>
        <v>TCOLE TEST/MARCUS WILLIAMS</v>
      </c>
    </row>
    <row r="1362" spans="1:8" x14ac:dyDescent="0.25">
      <c r="A1362" t="s">
        <v>317</v>
      </c>
      <c r="B1362">
        <v>4393</v>
      </c>
      <c r="C1362" s="1">
        <v>221</v>
      </c>
      <c r="D1362" s="6">
        <v>44313</v>
      </c>
      <c r="E1362" t="str">
        <f>"2105068"</f>
        <v>2105068</v>
      </c>
      <c r="F1362" t="str">
        <f>"MONTHLY BILLING/APRIL"</f>
        <v>MONTHLY BILLING/APRIL</v>
      </c>
      <c r="G1362" s="1">
        <v>221</v>
      </c>
      <c r="H1362" t="str">
        <f>"MONTHLY BILLING/APRIL"</f>
        <v>MONTHLY BILLING/APRIL</v>
      </c>
    </row>
    <row r="1363" spans="1:8" x14ac:dyDescent="0.25">
      <c r="A1363" t="s">
        <v>318</v>
      </c>
      <c r="B1363">
        <v>135233</v>
      </c>
      <c r="C1363" s="1">
        <v>16791.990000000002</v>
      </c>
      <c r="D1363" s="6">
        <v>44298</v>
      </c>
      <c r="E1363" t="str">
        <f>"1068155-IN"</f>
        <v>1068155-IN</v>
      </c>
      <c r="F1363" t="str">
        <f t="shared" ref="F1363:F1368" si="23">"ACCT#01-0112917/PCT#3"</f>
        <v>ACCT#01-0112917/PCT#3</v>
      </c>
      <c r="G1363" s="1">
        <v>157.69</v>
      </c>
      <c r="H1363" t="str">
        <f t="shared" ref="H1363:H1368" si="24">"ACCT#01-0112917/PCT#3"</f>
        <v>ACCT#01-0112917/PCT#3</v>
      </c>
    </row>
    <row r="1364" spans="1:8" x14ac:dyDescent="0.25">
      <c r="E1364" t="str">
        <f>"1068178-IN"</f>
        <v>1068178-IN</v>
      </c>
      <c r="F1364" t="str">
        <f t="shared" si="23"/>
        <v>ACCT#01-0112917/PCT#3</v>
      </c>
      <c r="G1364" s="1">
        <v>109.48</v>
      </c>
      <c r="H1364" t="str">
        <f t="shared" si="24"/>
        <v>ACCT#01-0112917/PCT#3</v>
      </c>
    </row>
    <row r="1365" spans="1:8" x14ac:dyDescent="0.25">
      <c r="E1365" t="str">
        <f>"106846-IN"</f>
        <v>106846-IN</v>
      </c>
      <c r="F1365" t="str">
        <f t="shared" si="23"/>
        <v>ACCT#01-0112917/PCT#3</v>
      </c>
      <c r="G1365" s="1">
        <v>1125.6099999999999</v>
      </c>
      <c r="H1365" t="str">
        <f t="shared" si="24"/>
        <v>ACCT#01-0112917/PCT#3</v>
      </c>
    </row>
    <row r="1366" spans="1:8" x14ac:dyDescent="0.25">
      <c r="E1366" t="str">
        <f>"1068731-IN"</f>
        <v>1068731-IN</v>
      </c>
      <c r="F1366" t="str">
        <f t="shared" si="23"/>
        <v>ACCT#01-0112917/PCT#3</v>
      </c>
      <c r="G1366" s="1">
        <v>140.4</v>
      </c>
      <c r="H1366" t="str">
        <f t="shared" si="24"/>
        <v>ACCT#01-0112917/PCT#3</v>
      </c>
    </row>
    <row r="1367" spans="1:8" x14ac:dyDescent="0.25">
      <c r="E1367" t="str">
        <f>"1070787-IN"</f>
        <v>1070787-IN</v>
      </c>
      <c r="F1367" t="str">
        <f t="shared" si="23"/>
        <v>ACCT#01-0112917/PCT#3</v>
      </c>
      <c r="G1367" s="1">
        <v>374.76</v>
      </c>
      <c r="H1367" t="str">
        <f t="shared" si="24"/>
        <v>ACCT#01-0112917/PCT#3</v>
      </c>
    </row>
    <row r="1368" spans="1:8" x14ac:dyDescent="0.25">
      <c r="E1368" t="str">
        <f>"1071213-IN"</f>
        <v>1071213-IN</v>
      </c>
      <c r="F1368" t="str">
        <f t="shared" si="23"/>
        <v>ACCT#01-0112917/PCT#3</v>
      </c>
      <c r="G1368" s="1">
        <v>2713.74</v>
      </c>
      <c r="H1368" t="str">
        <f t="shared" si="24"/>
        <v>ACCT#01-0112917/PCT#3</v>
      </c>
    </row>
    <row r="1369" spans="1:8" x14ac:dyDescent="0.25">
      <c r="E1369" t="str">
        <f>"1071865-IN"</f>
        <v>1071865-IN</v>
      </c>
      <c r="F1369" t="str">
        <f>"ACCT#01-0112917/PCT#1"</f>
        <v>ACCT#01-0112917/PCT#1</v>
      </c>
      <c r="G1369" s="1">
        <v>240.12</v>
      </c>
      <c r="H1369" t="str">
        <f>"ACCT#01-0112917/PCT#1"</f>
        <v>ACCT#01-0112917/PCT#1</v>
      </c>
    </row>
    <row r="1370" spans="1:8" x14ac:dyDescent="0.25">
      <c r="E1370" t="str">
        <f>"1072311-IN"</f>
        <v>1072311-IN</v>
      </c>
      <c r="F1370" t="str">
        <f>"ACCT#01-0112917/PCT#2"</f>
        <v>ACCT#01-0112917/PCT#2</v>
      </c>
      <c r="G1370" s="1">
        <v>300.48</v>
      </c>
      <c r="H1370" t="str">
        <f>"ACCT#01-0112917/PCT#2"</f>
        <v>ACCT#01-0112917/PCT#2</v>
      </c>
    </row>
    <row r="1371" spans="1:8" x14ac:dyDescent="0.25">
      <c r="E1371" t="str">
        <f>"1072620"</f>
        <v>1072620</v>
      </c>
      <c r="F1371" t="str">
        <f>"ACCT#01-0112917/PCT#1"</f>
        <v>ACCT#01-0112917/PCT#1</v>
      </c>
      <c r="G1371" s="1">
        <v>3432.68</v>
      </c>
      <c r="H1371" t="str">
        <f>"ACCT#01-0112917/PCT#1"</f>
        <v>ACCT#01-0112917/PCT#1</v>
      </c>
    </row>
    <row r="1372" spans="1:8" x14ac:dyDescent="0.25">
      <c r="E1372" t="str">
        <f>"1074497-IN"</f>
        <v>1074497-IN</v>
      </c>
      <c r="F1372" t="str">
        <f>"ACCT#01-0112917/PCT#4"</f>
        <v>ACCT#01-0112917/PCT#4</v>
      </c>
      <c r="G1372" s="1">
        <v>4127.5200000000004</v>
      </c>
      <c r="H1372" t="str">
        <f>"ACCT#01-0112917/PCT#4"</f>
        <v>ACCT#01-0112917/PCT#4</v>
      </c>
    </row>
    <row r="1373" spans="1:8" x14ac:dyDescent="0.25">
      <c r="E1373" t="str">
        <f>"1075594-IN"</f>
        <v>1075594-IN</v>
      </c>
      <c r="F1373" t="str">
        <f>"ACCT#01-0112917/PCT#3"</f>
        <v>ACCT#01-0112917/PCT#3</v>
      </c>
      <c r="G1373" s="1">
        <v>4069.51</v>
      </c>
      <c r="H1373" t="str">
        <f>"ACCT#01-0112917/PCT#3"</f>
        <v>ACCT#01-0112917/PCT#3</v>
      </c>
    </row>
    <row r="1374" spans="1:8" x14ac:dyDescent="0.25">
      <c r="A1374" t="s">
        <v>318</v>
      </c>
      <c r="B1374">
        <v>135396</v>
      </c>
      <c r="C1374" s="1">
        <v>12724.57</v>
      </c>
      <c r="D1374" s="6">
        <v>44312</v>
      </c>
      <c r="E1374" t="str">
        <f>"1077601-IN"</f>
        <v>1077601-IN</v>
      </c>
      <c r="F1374" t="str">
        <f>"ACCT#01-0112917/PCT#1"</f>
        <v>ACCT#01-0112917/PCT#1</v>
      </c>
      <c r="G1374" s="1">
        <v>4218.87</v>
      </c>
      <c r="H1374" t="str">
        <f>"ACCT#01-0112917/PCT#1"</f>
        <v>ACCT#01-0112917/PCT#1</v>
      </c>
    </row>
    <row r="1375" spans="1:8" x14ac:dyDescent="0.25">
      <c r="E1375" t="str">
        <f>"1080856-IN"</f>
        <v>1080856-IN</v>
      </c>
      <c r="F1375" t="str">
        <f>"ACCT#01-0112917/PCT#4"</f>
        <v>ACCT#01-0112917/PCT#4</v>
      </c>
      <c r="G1375" s="1">
        <v>4048.12</v>
      </c>
      <c r="H1375" t="str">
        <f>"ACCT#01-0112917/PCT#4"</f>
        <v>ACCT#01-0112917/PCT#4</v>
      </c>
    </row>
    <row r="1376" spans="1:8" x14ac:dyDescent="0.25">
      <c r="E1376" t="str">
        <f>"1080884-IN"</f>
        <v>1080884-IN</v>
      </c>
      <c r="F1376" t="str">
        <f>"CUST#01-0112917/PCT#3"</f>
        <v>CUST#01-0112917/PCT#3</v>
      </c>
      <c r="G1376" s="1">
        <v>4457.58</v>
      </c>
      <c r="H1376" t="str">
        <f>"CUST#01-0112917/PCT#3"</f>
        <v>CUST#01-0112917/PCT#3</v>
      </c>
    </row>
    <row r="1377" spans="1:8" x14ac:dyDescent="0.25">
      <c r="A1377" t="s">
        <v>319</v>
      </c>
      <c r="B1377">
        <v>4326</v>
      </c>
      <c r="C1377" s="1">
        <v>1769.85</v>
      </c>
      <c r="D1377" s="6">
        <v>44299</v>
      </c>
      <c r="E1377" t="str">
        <f>"10070"</f>
        <v>10070</v>
      </c>
      <c r="F1377" t="str">
        <f>"RIP RAP/PCT#1"</f>
        <v>RIP RAP/PCT#1</v>
      </c>
      <c r="G1377" s="1">
        <v>970.55</v>
      </c>
      <c r="H1377" t="str">
        <f>"RIP RAP/PCT#1"</f>
        <v>RIP RAP/PCT#1</v>
      </c>
    </row>
    <row r="1378" spans="1:8" x14ac:dyDescent="0.25">
      <c r="E1378" t="str">
        <f>"10090"</f>
        <v>10090</v>
      </c>
      <c r="F1378" t="str">
        <f>"RIP RAP/PCT#1"</f>
        <v>RIP RAP/PCT#1</v>
      </c>
      <c r="G1378" s="1">
        <v>493.5</v>
      </c>
      <c r="H1378" t="str">
        <f>"RIP RAP/PCT#1"</f>
        <v>RIP RAP/PCT#1</v>
      </c>
    </row>
    <row r="1379" spans="1:8" x14ac:dyDescent="0.25">
      <c r="E1379" t="str">
        <f>"10173"</f>
        <v>10173</v>
      </c>
      <c r="F1379" t="str">
        <f>"BEDDING SAND/PCT#2"</f>
        <v>BEDDING SAND/PCT#2</v>
      </c>
      <c r="G1379" s="1">
        <v>305.8</v>
      </c>
      <c r="H1379" t="str">
        <f>"BEDDING SAND/PCT#2"</f>
        <v>BEDDING SAND/PCT#2</v>
      </c>
    </row>
    <row r="1380" spans="1:8" x14ac:dyDescent="0.25">
      <c r="A1380" t="s">
        <v>319</v>
      </c>
      <c r="B1380">
        <v>4397</v>
      </c>
      <c r="C1380" s="1">
        <v>774.2</v>
      </c>
      <c r="D1380" s="6">
        <v>44313</v>
      </c>
      <c r="E1380" t="str">
        <f>"10458"</f>
        <v>10458</v>
      </c>
      <c r="F1380" t="str">
        <f>"RIP RAP/PCT#1"</f>
        <v>RIP RAP/PCT#1</v>
      </c>
      <c r="G1380" s="1">
        <v>774.2</v>
      </c>
      <c r="H1380" t="str">
        <f>"RIP RAP/PCT#1"</f>
        <v>RIP RAP/PCT#1</v>
      </c>
    </row>
    <row r="1381" spans="1:8" x14ac:dyDescent="0.25">
      <c r="A1381" t="s">
        <v>320</v>
      </c>
      <c r="B1381">
        <v>135234</v>
      </c>
      <c r="C1381" s="1">
        <v>121</v>
      </c>
      <c r="D1381" s="6">
        <v>44298</v>
      </c>
      <c r="E1381" t="str">
        <f>"202104062477"</f>
        <v>202104062477</v>
      </c>
      <c r="F1381" t="str">
        <f>"APRIL BOND RENEWALS"</f>
        <v>APRIL BOND RENEWALS</v>
      </c>
      <c r="G1381" s="1">
        <v>50</v>
      </c>
      <c r="H1381" t="str">
        <f>"APRIL BOND RENEWALS"</f>
        <v>APRIL BOND RENEWALS</v>
      </c>
    </row>
    <row r="1382" spans="1:8" x14ac:dyDescent="0.25">
      <c r="E1382" t="str">
        <f>"6591"</f>
        <v>6591</v>
      </c>
      <c r="F1382" t="str">
        <f>"INV 6591"</f>
        <v>INV 6591</v>
      </c>
      <c r="G1382" s="1">
        <v>71</v>
      </c>
      <c r="H1382" t="str">
        <f>"INV 6591"</f>
        <v>INV 6591</v>
      </c>
    </row>
    <row r="1383" spans="1:8" x14ac:dyDescent="0.25">
      <c r="A1383" t="s">
        <v>320</v>
      </c>
      <c r="B1383">
        <v>135397</v>
      </c>
      <c r="C1383" s="1">
        <v>100</v>
      </c>
      <c r="D1383" s="6">
        <v>44312</v>
      </c>
      <c r="E1383" t="str">
        <f>"6593"</f>
        <v>6593</v>
      </c>
      <c r="F1383" t="str">
        <f>"INV 6593"</f>
        <v>INV 6593</v>
      </c>
      <c r="G1383" s="1">
        <v>50</v>
      </c>
      <c r="H1383" t="str">
        <f>"INV 6593"</f>
        <v>INV 6593</v>
      </c>
    </row>
    <row r="1384" spans="1:8" x14ac:dyDescent="0.25">
      <c r="E1384" t="str">
        <f>"6615"</f>
        <v>6615</v>
      </c>
      <c r="F1384" t="str">
        <f>"INV 6615"</f>
        <v>INV 6615</v>
      </c>
      <c r="G1384" s="1">
        <v>50</v>
      </c>
      <c r="H1384" t="str">
        <f>"INV 6615"</f>
        <v>INV 6615</v>
      </c>
    </row>
    <row r="1385" spans="1:8" x14ac:dyDescent="0.25">
      <c r="A1385" t="s">
        <v>321</v>
      </c>
      <c r="B1385">
        <v>135235</v>
      </c>
      <c r="C1385" s="1">
        <v>7334.78</v>
      </c>
      <c r="D1385" s="6">
        <v>44298</v>
      </c>
      <c r="E1385" t="str">
        <f>"D-2021-2-0110"</f>
        <v>D-2021-2-0110</v>
      </c>
      <c r="F1385" t="str">
        <f>"UNEMPLOYMENT QRTR END 03/31/21"</f>
        <v>UNEMPLOYMENT QRTR END 03/31/21</v>
      </c>
      <c r="G1385" s="1">
        <v>5489.59</v>
      </c>
      <c r="H1385" t="str">
        <f t="shared" ref="H1385:H1423" si="25">"UNEMPLOYMENT QRTR END 03/31/21"</f>
        <v>UNEMPLOYMENT QRTR END 03/31/21</v>
      </c>
    </row>
    <row r="1386" spans="1:8" x14ac:dyDescent="0.25">
      <c r="E1386" t="str">
        <f>""</f>
        <v/>
      </c>
      <c r="F1386" t="str">
        <f>""</f>
        <v/>
      </c>
      <c r="H1386" t="str">
        <f t="shared" si="25"/>
        <v>UNEMPLOYMENT QRTR END 03/31/21</v>
      </c>
    </row>
    <row r="1387" spans="1:8" x14ac:dyDescent="0.25">
      <c r="E1387" t="str">
        <f>""</f>
        <v/>
      </c>
      <c r="F1387" t="str">
        <f>""</f>
        <v/>
      </c>
      <c r="H1387" t="str">
        <f t="shared" si="25"/>
        <v>UNEMPLOYMENT QRTR END 03/31/21</v>
      </c>
    </row>
    <row r="1388" spans="1:8" x14ac:dyDescent="0.25">
      <c r="E1388" t="str">
        <f>""</f>
        <v/>
      </c>
      <c r="F1388" t="str">
        <f>""</f>
        <v/>
      </c>
      <c r="H1388" t="str">
        <f t="shared" si="25"/>
        <v>UNEMPLOYMENT QRTR END 03/31/21</v>
      </c>
    </row>
    <row r="1389" spans="1:8" x14ac:dyDescent="0.25">
      <c r="E1389" t="str">
        <f>""</f>
        <v/>
      </c>
      <c r="F1389" t="str">
        <f>""</f>
        <v/>
      </c>
      <c r="H1389" t="str">
        <f t="shared" si="25"/>
        <v>UNEMPLOYMENT QRTR END 03/31/21</v>
      </c>
    </row>
    <row r="1390" spans="1:8" x14ac:dyDescent="0.25">
      <c r="E1390" t="str">
        <f>""</f>
        <v/>
      </c>
      <c r="F1390" t="str">
        <f>""</f>
        <v/>
      </c>
      <c r="H1390" t="str">
        <f t="shared" si="25"/>
        <v>UNEMPLOYMENT QRTR END 03/31/21</v>
      </c>
    </row>
    <row r="1391" spans="1:8" x14ac:dyDescent="0.25">
      <c r="E1391" t="str">
        <f>""</f>
        <v/>
      </c>
      <c r="F1391" t="str">
        <f>""</f>
        <v/>
      </c>
      <c r="H1391" t="str">
        <f t="shared" si="25"/>
        <v>UNEMPLOYMENT QRTR END 03/31/21</v>
      </c>
    </row>
    <row r="1392" spans="1:8" x14ac:dyDescent="0.25">
      <c r="E1392" t="str">
        <f>""</f>
        <v/>
      </c>
      <c r="F1392" t="str">
        <f>""</f>
        <v/>
      </c>
      <c r="H1392" t="str">
        <f t="shared" si="25"/>
        <v>UNEMPLOYMENT QRTR END 03/31/21</v>
      </c>
    </row>
    <row r="1393" spans="5:8" x14ac:dyDescent="0.25">
      <c r="E1393" t="str">
        <f>""</f>
        <v/>
      </c>
      <c r="F1393" t="str">
        <f>""</f>
        <v/>
      </c>
      <c r="H1393" t="str">
        <f t="shared" si="25"/>
        <v>UNEMPLOYMENT QRTR END 03/31/21</v>
      </c>
    </row>
    <row r="1394" spans="5:8" x14ac:dyDescent="0.25">
      <c r="E1394" t="str">
        <f>""</f>
        <v/>
      </c>
      <c r="F1394" t="str">
        <f>""</f>
        <v/>
      </c>
      <c r="H1394" t="str">
        <f t="shared" si="25"/>
        <v>UNEMPLOYMENT QRTR END 03/31/21</v>
      </c>
    </row>
    <row r="1395" spans="5:8" x14ac:dyDescent="0.25">
      <c r="E1395" t="str">
        <f>""</f>
        <v/>
      </c>
      <c r="F1395" t="str">
        <f>""</f>
        <v/>
      </c>
      <c r="H1395" t="str">
        <f t="shared" si="25"/>
        <v>UNEMPLOYMENT QRTR END 03/31/21</v>
      </c>
    </row>
    <row r="1396" spans="5:8" x14ac:dyDescent="0.25">
      <c r="E1396" t="str">
        <f>""</f>
        <v/>
      </c>
      <c r="F1396" t="str">
        <f>""</f>
        <v/>
      </c>
      <c r="H1396" t="str">
        <f t="shared" si="25"/>
        <v>UNEMPLOYMENT QRTR END 03/31/21</v>
      </c>
    </row>
    <row r="1397" spans="5:8" x14ac:dyDescent="0.25">
      <c r="E1397" t="str">
        <f>""</f>
        <v/>
      </c>
      <c r="F1397" t="str">
        <f>""</f>
        <v/>
      </c>
      <c r="H1397" t="str">
        <f t="shared" si="25"/>
        <v>UNEMPLOYMENT QRTR END 03/31/21</v>
      </c>
    </row>
    <row r="1398" spans="5:8" x14ac:dyDescent="0.25">
      <c r="E1398" t="str">
        <f>""</f>
        <v/>
      </c>
      <c r="F1398" t="str">
        <f>""</f>
        <v/>
      </c>
      <c r="H1398" t="str">
        <f t="shared" si="25"/>
        <v>UNEMPLOYMENT QRTR END 03/31/21</v>
      </c>
    </row>
    <row r="1399" spans="5:8" x14ac:dyDescent="0.25">
      <c r="E1399" t="str">
        <f>""</f>
        <v/>
      </c>
      <c r="F1399" t="str">
        <f>""</f>
        <v/>
      </c>
      <c r="H1399" t="str">
        <f t="shared" si="25"/>
        <v>UNEMPLOYMENT QRTR END 03/31/21</v>
      </c>
    </row>
    <row r="1400" spans="5:8" x14ac:dyDescent="0.25">
      <c r="E1400" t="str">
        <f>""</f>
        <v/>
      </c>
      <c r="F1400" t="str">
        <f>""</f>
        <v/>
      </c>
      <c r="H1400" t="str">
        <f t="shared" si="25"/>
        <v>UNEMPLOYMENT QRTR END 03/31/21</v>
      </c>
    </row>
    <row r="1401" spans="5:8" x14ac:dyDescent="0.25">
      <c r="E1401" t="str">
        <f>""</f>
        <v/>
      </c>
      <c r="F1401" t="str">
        <f>""</f>
        <v/>
      </c>
      <c r="H1401" t="str">
        <f t="shared" si="25"/>
        <v>UNEMPLOYMENT QRTR END 03/31/21</v>
      </c>
    </row>
    <row r="1402" spans="5:8" x14ac:dyDescent="0.25">
      <c r="E1402" t="str">
        <f>""</f>
        <v/>
      </c>
      <c r="F1402" t="str">
        <f>""</f>
        <v/>
      </c>
      <c r="H1402" t="str">
        <f t="shared" si="25"/>
        <v>UNEMPLOYMENT QRTR END 03/31/21</v>
      </c>
    </row>
    <row r="1403" spans="5:8" x14ac:dyDescent="0.25">
      <c r="E1403" t="str">
        <f>""</f>
        <v/>
      </c>
      <c r="F1403" t="str">
        <f>""</f>
        <v/>
      </c>
      <c r="H1403" t="str">
        <f t="shared" si="25"/>
        <v>UNEMPLOYMENT QRTR END 03/31/21</v>
      </c>
    </row>
    <row r="1404" spans="5:8" x14ac:dyDescent="0.25">
      <c r="E1404" t="str">
        <f>""</f>
        <v/>
      </c>
      <c r="F1404" t="str">
        <f>""</f>
        <v/>
      </c>
      <c r="H1404" t="str">
        <f t="shared" si="25"/>
        <v>UNEMPLOYMENT QRTR END 03/31/21</v>
      </c>
    </row>
    <row r="1405" spans="5:8" x14ac:dyDescent="0.25">
      <c r="E1405" t="str">
        <f>""</f>
        <v/>
      </c>
      <c r="F1405" t="str">
        <f>""</f>
        <v/>
      </c>
      <c r="H1405" t="str">
        <f t="shared" si="25"/>
        <v>UNEMPLOYMENT QRTR END 03/31/21</v>
      </c>
    </row>
    <row r="1406" spans="5:8" x14ac:dyDescent="0.25">
      <c r="E1406" t="str">
        <f>""</f>
        <v/>
      </c>
      <c r="F1406" t="str">
        <f>""</f>
        <v/>
      </c>
      <c r="H1406" t="str">
        <f t="shared" si="25"/>
        <v>UNEMPLOYMENT QRTR END 03/31/21</v>
      </c>
    </row>
    <row r="1407" spans="5:8" x14ac:dyDescent="0.25">
      <c r="E1407" t="str">
        <f>""</f>
        <v/>
      </c>
      <c r="F1407" t="str">
        <f>""</f>
        <v/>
      </c>
      <c r="H1407" t="str">
        <f t="shared" si="25"/>
        <v>UNEMPLOYMENT QRTR END 03/31/21</v>
      </c>
    </row>
    <row r="1408" spans="5:8" x14ac:dyDescent="0.25">
      <c r="E1408" t="str">
        <f>""</f>
        <v/>
      </c>
      <c r="F1408" t="str">
        <f>""</f>
        <v/>
      </c>
      <c r="H1408" t="str">
        <f t="shared" si="25"/>
        <v>UNEMPLOYMENT QRTR END 03/31/21</v>
      </c>
    </row>
    <row r="1409" spans="5:8" x14ac:dyDescent="0.25">
      <c r="E1409" t="str">
        <f>""</f>
        <v/>
      </c>
      <c r="F1409" t="str">
        <f>""</f>
        <v/>
      </c>
      <c r="H1409" t="str">
        <f t="shared" si="25"/>
        <v>UNEMPLOYMENT QRTR END 03/31/21</v>
      </c>
    </row>
    <row r="1410" spans="5:8" x14ac:dyDescent="0.25">
      <c r="E1410" t="str">
        <f>""</f>
        <v/>
      </c>
      <c r="F1410" t="str">
        <f>""</f>
        <v/>
      </c>
      <c r="H1410" t="str">
        <f t="shared" si="25"/>
        <v>UNEMPLOYMENT QRTR END 03/31/21</v>
      </c>
    </row>
    <row r="1411" spans="5:8" x14ac:dyDescent="0.25">
      <c r="E1411" t="str">
        <f>""</f>
        <v/>
      </c>
      <c r="F1411" t="str">
        <f>""</f>
        <v/>
      </c>
      <c r="H1411" t="str">
        <f t="shared" si="25"/>
        <v>UNEMPLOYMENT QRTR END 03/31/21</v>
      </c>
    </row>
    <row r="1412" spans="5:8" x14ac:dyDescent="0.25">
      <c r="E1412" t="str">
        <f>""</f>
        <v/>
      </c>
      <c r="F1412" t="str">
        <f>""</f>
        <v/>
      </c>
      <c r="H1412" t="str">
        <f t="shared" si="25"/>
        <v>UNEMPLOYMENT QRTR END 03/31/21</v>
      </c>
    </row>
    <row r="1413" spans="5:8" x14ac:dyDescent="0.25">
      <c r="E1413" t="str">
        <f>""</f>
        <v/>
      </c>
      <c r="F1413" t="str">
        <f>""</f>
        <v/>
      </c>
      <c r="H1413" t="str">
        <f t="shared" si="25"/>
        <v>UNEMPLOYMENT QRTR END 03/31/21</v>
      </c>
    </row>
    <row r="1414" spans="5:8" x14ac:dyDescent="0.25">
      <c r="E1414" t="str">
        <f>""</f>
        <v/>
      </c>
      <c r="F1414" t="str">
        <f>""</f>
        <v/>
      </c>
      <c r="H1414" t="str">
        <f t="shared" si="25"/>
        <v>UNEMPLOYMENT QRTR END 03/31/21</v>
      </c>
    </row>
    <row r="1415" spans="5:8" x14ac:dyDescent="0.25">
      <c r="E1415" t="str">
        <f>""</f>
        <v/>
      </c>
      <c r="F1415" t="str">
        <f>""</f>
        <v/>
      </c>
      <c r="H1415" t="str">
        <f t="shared" si="25"/>
        <v>UNEMPLOYMENT QRTR END 03/31/21</v>
      </c>
    </row>
    <row r="1416" spans="5:8" x14ac:dyDescent="0.25">
      <c r="E1416" t="str">
        <f>""</f>
        <v/>
      </c>
      <c r="F1416" t="str">
        <f>""</f>
        <v/>
      </c>
      <c r="H1416" t="str">
        <f t="shared" si="25"/>
        <v>UNEMPLOYMENT QRTR END 03/31/21</v>
      </c>
    </row>
    <row r="1417" spans="5:8" x14ac:dyDescent="0.25">
      <c r="E1417" t="str">
        <f>""</f>
        <v/>
      </c>
      <c r="F1417" t="str">
        <f>""</f>
        <v/>
      </c>
      <c r="H1417" t="str">
        <f t="shared" si="25"/>
        <v>UNEMPLOYMENT QRTR END 03/31/21</v>
      </c>
    </row>
    <row r="1418" spans="5:8" x14ac:dyDescent="0.25">
      <c r="E1418" t="str">
        <f>""</f>
        <v/>
      </c>
      <c r="F1418" t="str">
        <f>""</f>
        <v/>
      </c>
      <c r="H1418" t="str">
        <f t="shared" si="25"/>
        <v>UNEMPLOYMENT QRTR END 03/31/21</v>
      </c>
    </row>
    <row r="1419" spans="5:8" x14ac:dyDescent="0.25">
      <c r="E1419" t="str">
        <f>""</f>
        <v/>
      </c>
      <c r="F1419" t="str">
        <f>""</f>
        <v/>
      </c>
      <c r="H1419" t="str">
        <f t="shared" si="25"/>
        <v>UNEMPLOYMENT QRTR END 03/31/21</v>
      </c>
    </row>
    <row r="1420" spans="5:8" x14ac:dyDescent="0.25">
      <c r="E1420" t="str">
        <f>""</f>
        <v/>
      </c>
      <c r="F1420" t="str">
        <f>""</f>
        <v/>
      </c>
      <c r="H1420" t="str">
        <f t="shared" si="25"/>
        <v>UNEMPLOYMENT QRTR END 03/31/21</v>
      </c>
    </row>
    <row r="1421" spans="5:8" x14ac:dyDescent="0.25">
      <c r="E1421" t="str">
        <f>""</f>
        <v/>
      </c>
      <c r="F1421" t="str">
        <f>""</f>
        <v/>
      </c>
      <c r="H1421" t="str">
        <f t="shared" si="25"/>
        <v>UNEMPLOYMENT QRTR END 03/31/21</v>
      </c>
    </row>
    <row r="1422" spans="5:8" x14ac:dyDescent="0.25">
      <c r="E1422" t="str">
        <f>""</f>
        <v/>
      </c>
      <c r="F1422" t="str">
        <f>""</f>
        <v/>
      </c>
      <c r="H1422" t="str">
        <f t="shared" si="25"/>
        <v>UNEMPLOYMENT QRTR END 03/31/21</v>
      </c>
    </row>
    <row r="1423" spans="5:8" x14ac:dyDescent="0.25">
      <c r="E1423" t="str">
        <f>""</f>
        <v/>
      </c>
      <c r="F1423" t="str">
        <f>""</f>
        <v/>
      </c>
      <c r="H1423" t="str">
        <f t="shared" si="25"/>
        <v>UNEMPLOYMENT QRTR END 03/31/21</v>
      </c>
    </row>
    <row r="1424" spans="5:8" x14ac:dyDescent="0.25">
      <c r="E1424" t="str">
        <f>"DP-2020-3-0110"</f>
        <v>DP-2020-3-0110</v>
      </c>
      <c r="F1424" t="str">
        <f>"UNEMPLOYMENT DEFICIT 2020"</f>
        <v>UNEMPLOYMENT DEFICIT 2020</v>
      </c>
      <c r="G1424" s="1">
        <v>1845.19</v>
      </c>
      <c r="H1424" t="str">
        <f t="shared" ref="H1424:H1462" si="26">"UNEMPLOYMENT DEFICIT 2020"</f>
        <v>UNEMPLOYMENT DEFICIT 2020</v>
      </c>
    </row>
    <row r="1425" spans="5:8" x14ac:dyDescent="0.25">
      <c r="E1425" t="str">
        <f>""</f>
        <v/>
      </c>
      <c r="F1425" t="str">
        <f>""</f>
        <v/>
      </c>
      <c r="H1425" t="str">
        <f t="shared" si="26"/>
        <v>UNEMPLOYMENT DEFICIT 2020</v>
      </c>
    </row>
    <row r="1426" spans="5:8" x14ac:dyDescent="0.25">
      <c r="E1426" t="str">
        <f>""</f>
        <v/>
      </c>
      <c r="F1426" t="str">
        <f>""</f>
        <v/>
      </c>
      <c r="H1426" t="str">
        <f t="shared" si="26"/>
        <v>UNEMPLOYMENT DEFICIT 2020</v>
      </c>
    </row>
    <row r="1427" spans="5:8" x14ac:dyDescent="0.25">
      <c r="E1427" t="str">
        <f>""</f>
        <v/>
      </c>
      <c r="F1427" t="str">
        <f>""</f>
        <v/>
      </c>
      <c r="H1427" t="str">
        <f t="shared" si="26"/>
        <v>UNEMPLOYMENT DEFICIT 2020</v>
      </c>
    </row>
    <row r="1428" spans="5:8" x14ac:dyDescent="0.25">
      <c r="E1428" t="str">
        <f>""</f>
        <v/>
      </c>
      <c r="F1428" t="str">
        <f>""</f>
        <v/>
      </c>
      <c r="H1428" t="str">
        <f t="shared" si="26"/>
        <v>UNEMPLOYMENT DEFICIT 2020</v>
      </c>
    </row>
    <row r="1429" spans="5:8" x14ac:dyDescent="0.25">
      <c r="E1429" t="str">
        <f>""</f>
        <v/>
      </c>
      <c r="F1429" t="str">
        <f>""</f>
        <v/>
      </c>
      <c r="H1429" t="str">
        <f t="shared" si="26"/>
        <v>UNEMPLOYMENT DEFICIT 2020</v>
      </c>
    </row>
    <row r="1430" spans="5:8" x14ac:dyDescent="0.25">
      <c r="E1430" t="str">
        <f>""</f>
        <v/>
      </c>
      <c r="F1430" t="str">
        <f>""</f>
        <v/>
      </c>
      <c r="H1430" t="str">
        <f t="shared" si="26"/>
        <v>UNEMPLOYMENT DEFICIT 2020</v>
      </c>
    </row>
    <row r="1431" spans="5:8" x14ac:dyDescent="0.25">
      <c r="E1431" t="str">
        <f>""</f>
        <v/>
      </c>
      <c r="F1431" t="str">
        <f>""</f>
        <v/>
      </c>
      <c r="H1431" t="str">
        <f t="shared" si="26"/>
        <v>UNEMPLOYMENT DEFICIT 2020</v>
      </c>
    </row>
    <row r="1432" spans="5:8" x14ac:dyDescent="0.25">
      <c r="E1432" t="str">
        <f>""</f>
        <v/>
      </c>
      <c r="F1432" t="str">
        <f>""</f>
        <v/>
      </c>
      <c r="H1432" t="str">
        <f t="shared" si="26"/>
        <v>UNEMPLOYMENT DEFICIT 2020</v>
      </c>
    </row>
    <row r="1433" spans="5:8" x14ac:dyDescent="0.25">
      <c r="E1433" t="str">
        <f>""</f>
        <v/>
      </c>
      <c r="F1433" t="str">
        <f>""</f>
        <v/>
      </c>
      <c r="H1433" t="str">
        <f t="shared" si="26"/>
        <v>UNEMPLOYMENT DEFICIT 2020</v>
      </c>
    </row>
    <row r="1434" spans="5:8" x14ac:dyDescent="0.25">
      <c r="E1434" t="str">
        <f>""</f>
        <v/>
      </c>
      <c r="F1434" t="str">
        <f>""</f>
        <v/>
      </c>
      <c r="H1434" t="str">
        <f t="shared" si="26"/>
        <v>UNEMPLOYMENT DEFICIT 2020</v>
      </c>
    </row>
    <row r="1435" spans="5:8" x14ac:dyDescent="0.25">
      <c r="E1435" t="str">
        <f>""</f>
        <v/>
      </c>
      <c r="F1435" t="str">
        <f>""</f>
        <v/>
      </c>
      <c r="H1435" t="str">
        <f t="shared" si="26"/>
        <v>UNEMPLOYMENT DEFICIT 2020</v>
      </c>
    </row>
    <row r="1436" spans="5:8" x14ac:dyDescent="0.25">
      <c r="E1436" t="str">
        <f>""</f>
        <v/>
      </c>
      <c r="F1436" t="str">
        <f>""</f>
        <v/>
      </c>
      <c r="H1436" t="str">
        <f t="shared" si="26"/>
        <v>UNEMPLOYMENT DEFICIT 2020</v>
      </c>
    </row>
    <row r="1437" spans="5:8" x14ac:dyDescent="0.25">
      <c r="E1437" t="str">
        <f>""</f>
        <v/>
      </c>
      <c r="F1437" t="str">
        <f>""</f>
        <v/>
      </c>
      <c r="H1437" t="str">
        <f t="shared" si="26"/>
        <v>UNEMPLOYMENT DEFICIT 2020</v>
      </c>
    </row>
    <row r="1438" spans="5:8" x14ac:dyDescent="0.25">
      <c r="E1438" t="str">
        <f>""</f>
        <v/>
      </c>
      <c r="F1438" t="str">
        <f>""</f>
        <v/>
      </c>
      <c r="H1438" t="str">
        <f t="shared" si="26"/>
        <v>UNEMPLOYMENT DEFICIT 2020</v>
      </c>
    </row>
    <row r="1439" spans="5:8" x14ac:dyDescent="0.25">
      <c r="E1439" t="str">
        <f>""</f>
        <v/>
      </c>
      <c r="F1439" t="str">
        <f>""</f>
        <v/>
      </c>
      <c r="H1439" t="str">
        <f t="shared" si="26"/>
        <v>UNEMPLOYMENT DEFICIT 2020</v>
      </c>
    </row>
    <row r="1440" spans="5:8" x14ac:dyDescent="0.25">
      <c r="E1440" t="str">
        <f>""</f>
        <v/>
      </c>
      <c r="F1440" t="str">
        <f>""</f>
        <v/>
      </c>
      <c r="H1440" t="str">
        <f t="shared" si="26"/>
        <v>UNEMPLOYMENT DEFICIT 2020</v>
      </c>
    </row>
    <row r="1441" spans="5:8" x14ac:dyDescent="0.25">
      <c r="E1441" t="str">
        <f>""</f>
        <v/>
      </c>
      <c r="F1441" t="str">
        <f>""</f>
        <v/>
      </c>
      <c r="H1441" t="str">
        <f t="shared" si="26"/>
        <v>UNEMPLOYMENT DEFICIT 2020</v>
      </c>
    </row>
    <row r="1442" spans="5:8" x14ac:dyDescent="0.25">
      <c r="E1442" t="str">
        <f>""</f>
        <v/>
      </c>
      <c r="F1442" t="str">
        <f>""</f>
        <v/>
      </c>
      <c r="H1442" t="str">
        <f t="shared" si="26"/>
        <v>UNEMPLOYMENT DEFICIT 2020</v>
      </c>
    </row>
    <row r="1443" spans="5:8" x14ac:dyDescent="0.25">
      <c r="E1443" t="str">
        <f>""</f>
        <v/>
      </c>
      <c r="F1443" t="str">
        <f>""</f>
        <v/>
      </c>
      <c r="H1443" t="str">
        <f t="shared" si="26"/>
        <v>UNEMPLOYMENT DEFICIT 2020</v>
      </c>
    </row>
    <row r="1444" spans="5:8" x14ac:dyDescent="0.25">
      <c r="E1444" t="str">
        <f>""</f>
        <v/>
      </c>
      <c r="F1444" t="str">
        <f>""</f>
        <v/>
      </c>
      <c r="H1444" t="str">
        <f t="shared" si="26"/>
        <v>UNEMPLOYMENT DEFICIT 2020</v>
      </c>
    </row>
    <row r="1445" spans="5:8" x14ac:dyDescent="0.25">
      <c r="E1445" t="str">
        <f>""</f>
        <v/>
      </c>
      <c r="F1445" t="str">
        <f>""</f>
        <v/>
      </c>
      <c r="H1445" t="str">
        <f t="shared" si="26"/>
        <v>UNEMPLOYMENT DEFICIT 2020</v>
      </c>
    </row>
    <row r="1446" spans="5:8" x14ac:dyDescent="0.25">
      <c r="E1446" t="str">
        <f>""</f>
        <v/>
      </c>
      <c r="F1446" t="str">
        <f>""</f>
        <v/>
      </c>
      <c r="H1446" t="str">
        <f t="shared" si="26"/>
        <v>UNEMPLOYMENT DEFICIT 2020</v>
      </c>
    </row>
    <row r="1447" spans="5:8" x14ac:dyDescent="0.25">
      <c r="E1447" t="str">
        <f>""</f>
        <v/>
      </c>
      <c r="F1447" t="str">
        <f>""</f>
        <v/>
      </c>
      <c r="H1447" t="str">
        <f t="shared" si="26"/>
        <v>UNEMPLOYMENT DEFICIT 2020</v>
      </c>
    </row>
    <row r="1448" spans="5:8" x14ac:dyDescent="0.25">
      <c r="E1448" t="str">
        <f>""</f>
        <v/>
      </c>
      <c r="F1448" t="str">
        <f>""</f>
        <v/>
      </c>
      <c r="H1448" t="str">
        <f t="shared" si="26"/>
        <v>UNEMPLOYMENT DEFICIT 2020</v>
      </c>
    </row>
    <row r="1449" spans="5:8" x14ac:dyDescent="0.25">
      <c r="E1449" t="str">
        <f>""</f>
        <v/>
      </c>
      <c r="F1449" t="str">
        <f>""</f>
        <v/>
      </c>
      <c r="H1449" t="str">
        <f t="shared" si="26"/>
        <v>UNEMPLOYMENT DEFICIT 2020</v>
      </c>
    </row>
    <row r="1450" spans="5:8" x14ac:dyDescent="0.25">
      <c r="E1450" t="str">
        <f>""</f>
        <v/>
      </c>
      <c r="F1450" t="str">
        <f>""</f>
        <v/>
      </c>
      <c r="H1450" t="str">
        <f t="shared" si="26"/>
        <v>UNEMPLOYMENT DEFICIT 2020</v>
      </c>
    </row>
    <row r="1451" spans="5:8" x14ac:dyDescent="0.25">
      <c r="E1451" t="str">
        <f>""</f>
        <v/>
      </c>
      <c r="F1451" t="str">
        <f>""</f>
        <v/>
      </c>
      <c r="H1451" t="str">
        <f t="shared" si="26"/>
        <v>UNEMPLOYMENT DEFICIT 2020</v>
      </c>
    </row>
    <row r="1452" spans="5:8" x14ac:dyDescent="0.25">
      <c r="E1452" t="str">
        <f>""</f>
        <v/>
      </c>
      <c r="F1452" t="str">
        <f>""</f>
        <v/>
      </c>
      <c r="H1452" t="str">
        <f t="shared" si="26"/>
        <v>UNEMPLOYMENT DEFICIT 2020</v>
      </c>
    </row>
    <row r="1453" spans="5:8" x14ac:dyDescent="0.25">
      <c r="E1453" t="str">
        <f>""</f>
        <v/>
      </c>
      <c r="F1453" t="str">
        <f>""</f>
        <v/>
      </c>
      <c r="H1453" t="str">
        <f t="shared" si="26"/>
        <v>UNEMPLOYMENT DEFICIT 2020</v>
      </c>
    </row>
    <row r="1454" spans="5:8" x14ac:dyDescent="0.25">
      <c r="E1454" t="str">
        <f>""</f>
        <v/>
      </c>
      <c r="F1454" t="str">
        <f>""</f>
        <v/>
      </c>
      <c r="H1454" t="str">
        <f t="shared" si="26"/>
        <v>UNEMPLOYMENT DEFICIT 2020</v>
      </c>
    </row>
    <row r="1455" spans="5:8" x14ac:dyDescent="0.25">
      <c r="E1455" t="str">
        <f>""</f>
        <v/>
      </c>
      <c r="F1455" t="str">
        <f>""</f>
        <v/>
      </c>
      <c r="H1455" t="str">
        <f t="shared" si="26"/>
        <v>UNEMPLOYMENT DEFICIT 2020</v>
      </c>
    </row>
    <row r="1456" spans="5:8" x14ac:dyDescent="0.25">
      <c r="E1456" t="str">
        <f>""</f>
        <v/>
      </c>
      <c r="F1456" t="str">
        <f>""</f>
        <v/>
      </c>
      <c r="H1456" t="str">
        <f t="shared" si="26"/>
        <v>UNEMPLOYMENT DEFICIT 2020</v>
      </c>
    </row>
    <row r="1457" spans="1:8" x14ac:dyDescent="0.25">
      <c r="E1457" t="str">
        <f>""</f>
        <v/>
      </c>
      <c r="F1457" t="str">
        <f>""</f>
        <v/>
      </c>
      <c r="H1457" t="str">
        <f t="shared" si="26"/>
        <v>UNEMPLOYMENT DEFICIT 2020</v>
      </c>
    </row>
    <row r="1458" spans="1:8" x14ac:dyDescent="0.25">
      <c r="E1458" t="str">
        <f>""</f>
        <v/>
      </c>
      <c r="F1458" t="str">
        <f>""</f>
        <v/>
      </c>
      <c r="H1458" t="str">
        <f t="shared" si="26"/>
        <v>UNEMPLOYMENT DEFICIT 2020</v>
      </c>
    </row>
    <row r="1459" spans="1:8" x14ac:dyDescent="0.25">
      <c r="E1459" t="str">
        <f>""</f>
        <v/>
      </c>
      <c r="F1459" t="str">
        <f>""</f>
        <v/>
      </c>
      <c r="H1459" t="str">
        <f t="shared" si="26"/>
        <v>UNEMPLOYMENT DEFICIT 2020</v>
      </c>
    </row>
    <row r="1460" spans="1:8" x14ac:dyDescent="0.25">
      <c r="E1460" t="str">
        <f>""</f>
        <v/>
      </c>
      <c r="F1460" t="str">
        <f>""</f>
        <v/>
      </c>
      <c r="H1460" t="str">
        <f t="shared" si="26"/>
        <v>UNEMPLOYMENT DEFICIT 2020</v>
      </c>
    </row>
    <row r="1461" spans="1:8" x14ac:dyDescent="0.25">
      <c r="E1461" t="str">
        <f>""</f>
        <v/>
      </c>
      <c r="F1461" t="str">
        <f>""</f>
        <v/>
      </c>
      <c r="H1461" t="str">
        <f t="shared" si="26"/>
        <v>UNEMPLOYMENT DEFICIT 2020</v>
      </c>
    </row>
    <row r="1462" spans="1:8" x14ac:dyDescent="0.25">
      <c r="E1462" t="str">
        <f>""</f>
        <v/>
      </c>
      <c r="F1462" t="str">
        <f>""</f>
        <v/>
      </c>
      <c r="H1462" t="str">
        <f t="shared" si="26"/>
        <v>UNEMPLOYMENT DEFICIT 2020</v>
      </c>
    </row>
    <row r="1463" spans="1:8" x14ac:dyDescent="0.25">
      <c r="A1463" t="s">
        <v>321</v>
      </c>
      <c r="B1463">
        <v>135398</v>
      </c>
      <c r="C1463" s="1">
        <v>390</v>
      </c>
      <c r="D1463" s="6">
        <v>44312</v>
      </c>
      <c r="E1463" t="str">
        <f>"314104"</f>
        <v>314104</v>
      </c>
      <c r="F1463" t="str">
        <f>"MEMBERID#255680/ELLEN OWENS"</f>
        <v>MEMBERID#255680/ELLEN OWENS</v>
      </c>
      <c r="G1463" s="1">
        <v>130</v>
      </c>
      <c r="H1463" t="str">
        <f>"MEMBERID#255680/ELLEN OWENS"</f>
        <v>MEMBERID#255680/ELLEN OWENS</v>
      </c>
    </row>
    <row r="1464" spans="1:8" x14ac:dyDescent="0.25">
      <c r="E1464" t="str">
        <f>"314106"</f>
        <v>314106</v>
      </c>
      <c r="F1464" t="str">
        <f>"MEMBER ID#256514/PATSY MIRELES"</f>
        <v>MEMBER ID#256514/PATSY MIRELES</v>
      </c>
      <c r="G1464" s="1">
        <v>130</v>
      </c>
      <c r="H1464" t="str">
        <f>"MEMBER ID#256514/PATSY MIRELES"</f>
        <v>MEMBER ID#256514/PATSY MIRELES</v>
      </c>
    </row>
    <row r="1465" spans="1:8" x14ac:dyDescent="0.25">
      <c r="E1465" t="str">
        <f>"314107"</f>
        <v>314107</v>
      </c>
      <c r="F1465" t="str">
        <f>"MEMBER ID#256513/ESMERALDA O."</f>
        <v>MEMBER ID#256513/ESMERALDA O.</v>
      </c>
      <c r="G1465" s="1">
        <v>130</v>
      </c>
      <c r="H1465" t="str">
        <f>"MEMBER ID#256513/ESMERALDA O."</f>
        <v>MEMBER ID#256513/ESMERALDA O.</v>
      </c>
    </row>
    <row r="1466" spans="1:8" x14ac:dyDescent="0.25">
      <c r="A1466" t="s">
        <v>322</v>
      </c>
      <c r="B1466">
        <v>135236</v>
      </c>
      <c r="C1466" s="1">
        <v>4080</v>
      </c>
      <c r="D1466" s="6">
        <v>44298</v>
      </c>
      <c r="E1466" t="str">
        <f>"WTR0056635"</f>
        <v>WTR0056635</v>
      </c>
      <c r="F1466" t="str">
        <f>"ACCT#0620010"</f>
        <v>ACCT#0620010</v>
      </c>
      <c r="G1466" s="1">
        <v>4080</v>
      </c>
      <c r="H1466" t="str">
        <f>"ACCT#0620010"</f>
        <v>ACCT#0620010</v>
      </c>
    </row>
    <row r="1467" spans="1:8" x14ac:dyDescent="0.25">
      <c r="A1467" t="s">
        <v>323</v>
      </c>
      <c r="B1467">
        <v>135399</v>
      </c>
      <c r="C1467" s="1">
        <v>4541.6000000000004</v>
      </c>
      <c r="D1467" s="6">
        <v>44312</v>
      </c>
      <c r="E1467" t="str">
        <f>"153158"</f>
        <v>153158</v>
      </c>
      <c r="F1467" t="str">
        <f>"GUARDRAIL REPAIR/PCT#1"</f>
        <v>GUARDRAIL REPAIR/PCT#1</v>
      </c>
      <c r="G1467" s="1">
        <v>4161.6000000000004</v>
      </c>
      <c r="H1467" t="str">
        <f>"GUARDRAIL REPAIR/PCT#1"</f>
        <v>GUARDRAIL REPAIR/PCT#1</v>
      </c>
    </row>
    <row r="1468" spans="1:8" x14ac:dyDescent="0.25">
      <c r="E1468" t="str">
        <f>"153232"</f>
        <v>153232</v>
      </c>
      <c r="F1468" t="str">
        <f>"DOMED TOP POST/PCT#1"</f>
        <v>DOMED TOP POST/PCT#1</v>
      </c>
      <c r="G1468" s="1">
        <v>380</v>
      </c>
      <c r="H1468" t="str">
        <f>"DOMED TOP POST/PCT#1"</f>
        <v>DOMED TOP POST/PCT#1</v>
      </c>
    </row>
    <row r="1469" spans="1:8" x14ac:dyDescent="0.25">
      <c r="A1469" t="s">
        <v>324</v>
      </c>
      <c r="B1469">
        <v>4291</v>
      </c>
      <c r="C1469" s="1">
        <v>110</v>
      </c>
      <c r="D1469" s="6">
        <v>44299</v>
      </c>
      <c r="E1469" t="str">
        <f>"17512"</f>
        <v>17512</v>
      </c>
      <c r="F1469" t="str">
        <f>"ACCT#1267/ANIMAL SHELTER"</f>
        <v>ACCT#1267/ANIMAL SHELTER</v>
      </c>
      <c r="G1469" s="1">
        <v>110</v>
      </c>
      <c r="H1469" t="str">
        <f>"ACCT#1267/ANIMAL SHELTER"</f>
        <v>ACCT#1267/ANIMAL SHELTER</v>
      </c>
    </row>
    <row r="1470" spans="1:8" x14ac:dyDescent="0.25">
      <c r="A1470" t="s">
        <v>325</v>
      </c>
      <c r="B1470">
        <v>135237</v>
      </c>
      <c r="C1470" s="1">
        <v>345</v>
      </c>
      <c r="D1470" s="6">
        <v>44298</v>
      </c>
      <c r="E1470" t="str">
        <f>"202103242316"</f>
        <v>202103242316</v>
      </c>
      <c r="F1470" t="str">
        <f>"OVERWEIGHT PERMITS/PCT#2"</f>
        <v>OVERWEIGHT PERMITS/PCT#2</v>
      </c>
      <c r="G1470" s="1">
        <v>345</v>
      </c>
      <c r="H1470" t="str">
        <f>"OVERWEIGHT PERMITS/PCT#2"</f>
        <v>OVERWEIGHT PERMITS/PCT#2</v>
      </c>
    </row>
    <row r="1471" spans="1:8" x14ac:dyDescent="0.25">
      <c r="A1471" t="s">
        <v>325</v>
      </c>
      <c r="B1471">
        <v>135400</v>
      </c>
      <c r="C1471" s="1">
        <v>1035</v>
      </c>
      <c r="D1471" s="6">
        <v>44312</v>
      </c>
      <c r="E1471" t="str">
        <f>"202104212793"</f>
        <v>202104212793</v>
      </c>
      <c r="F1471" t="str">
        <f>"CUST#298344/PCT#2"</f>
        <v>CUST#298344/PCT#2</v>
      </c>
      <c r="G1471" s="1">
        <v>1035</v>
      </c>
      <c r="H1471" t="str">
        <f>"CUST#298344/PCT#2"</f>
        <v>CUST#298344/PCT#2</v>
      </c>
    </row>
    <row r="1472" spans="1:8" x14ac:dyDescent="0.25">
      <c r="A1472" t="s">
        <v>326</v>
      </c>
      <c r="B1472">
        <v>135238</v>
      </c>
      <c r="C1472" s="1">
        <v>155</v>
      </c>
      <c r="D1472" s="6">
        <v>44298</v>
      </c>
      <c r="E1472" t="str">
        <f>"5881821"</f>
        <v>5881821</v>
      </c>
      <c r="F1472" t="str">
        <f>"CUST#1-238865"</f>
        <v>CUST#1-238865</v>
      </c>
      <c r="G1472" s="1">
        <v>155</v>
      </c>
      <c r="H1472" t="str">
        <f>"CUST#1-238865"</f>
        <v>CUST#1-238865</v>
      </c>
    </row>
    <row r="1473" spans="1:8" x14ac:dyDescent="0.25">
      <c r="A1473" t="s">
        <v>327</v>
      </c>
      <c r="B1473">
        <v>135239</v>
      </c>
      <c r="C1473" s="1">
        <v>2269.8000000000002</v>
      </c>
      <c r="D1473" s="6">
        <v>44298</v>
      </c>
      <c r="E1473" t="str">
        <f>"200942711"</f>
        <v>200942711</v>
      </c>
      <c r="F1473" t="str">
        <f>"CUST#255120/PCT#2"</f>
        <v>CUST#255120/PCT#2</v>
      </c>
      <c r="G1473" s="1">
        <v>2269.8000000000002</v>
      </c>
      <c r="H1473" t="str">
        <f>"CUST#255120/PCT#2"</f>
        <v>CUST#255120/PCT#2</v>
      </c>
    </row>
    <row r="1474" spans="1:8" x14ac:dyDescent="0.25">
      <c r="A1474" t="s">
        <v>328</v>
      </c>
      <c r="B1474">
        <v>135401</v>
      </c>
      <c r="C1474" s="1">
        <v>2206.5</v>
      </c>
      <c r="D1474" s="6">
        <v>44312</v>
      </c>
      <c r="E1474" t="str">
        <f>"16-1277J4"</f>
        <v>16-1277J4</v>
      </c>
      <c r="F1474" t="str">
        <f>"A8167363/MIGUEL BALLEGOS"</f>
        <v>A8167363/MIGUEL BALLEGOS</v>
      </c>
      <c r="G1474" s="1">
        <v>114.75</v>
      </c>
      <c r="H1474" t="str">
        <f>"A8167363/MIGUEL BALLEGOS"</f>
        <v>A8167363/MIGUEL BALLEGOS</v>
      </c>
    </row>
    <row r="1475" spans="1:8" x14ac:dyDescent="0.25">
      <c r="E1475" t="str">
        <f>"1CO-2059-20"</f>
        <v>1CO-2059-20</v>
      </c>
      <c r="F1475" t="str">
        <f>"A8329824/BRIAN ROMAN"</f>
        <v>A8329824/BRIAN ROMAN</v>
      </c>
      <c r="G1475" s="1">
        <v>157.25</v>
      </c>
      <c r="H1475" t="str">
        <f>"A8329824/BRIAN ROMAN"</f>
        <v>A8329824/BRIAN ROMAN</v>
      </c>
    </row>
    <row r="1476" spans="1:8" x14ac:dyDescent="0.25">
      <c r="E1476" t="str">
        <f>"ICO-0704-21"</f>
        <v>ICO-0704-21</v>
      </c>
      <c r="F1476" t="str">
        <f>"A8329874/JOSUE SANS/ROBINSON"</f>
        <v>A8329874/JOSUE SANS/ROBINSON</v>
      </c>
      <c r="G1476" s="1">
        <v>114.75</v>
      </c>
      <c r="H1476" t="str">
        <f>"A8329874/JOSUE SANS/ROBINSON"</f>
        <v>A8329874/JOSUE SANS/ROBINSON</v>
      </c>
    </row>
    <row r="1477" spans="1:8" x14ac:dyDescent="0.25">
      <c r="E1477" t="str">
        <f>"ICO-1010-10"</f>
        <v>ICO-1010-10</v>
      </c>
      <c r="F1477" t="str">
        <f>"A0730447/IRIS WEBER"</f>
        <v>A0730447/IRIS WEBER</v>
      </c>
      <c r="G1477" s="1">
        <v>114.75</v>
      </c>
      <c r="H1477" t="str">
        <f>"A0730447/IRIS WEBER"</f>
        <v>A0730447/IRIS WEBER</v>
      </c>
    </row>
    <row r="1478" spans="1:8" x14ac:dyDescent="0.25">
      <c r="E1478" t="str">
        <f>"ICO-4171-20"</f>
        <v>ICO-4171-20</v>
      </c>
      <c r="F1478" t="str">
        <f>"A8329859/ALAN GARBER"</f>
        <v>A8329859/ALAN GARBER</v>
      </c>
      <c r="G1478" s="1">
        <v>382.5</v>
      </c>
      <c r="H1478" t="str">
        <f>"A8329859/ALAN GARBER"</f>
        <v>A8329859/ALAN GARBER</v>
      </c>
    </row>
    <row r="1479" spans="1:8" x14ac:dyDescent="0.25">
      <c r="E1479" t="str">
        <f>"ico-4845-20"</f>
        <v>ico-4845-20</v>
      </c>
      <c r="F1479" t="str">
        <f>"A8286539/THUNDER OSBORN"</f>
        <v>A8286539/THUNDER OSBORN</v>
      </c>
      <c r="G1479" s="1">
        <v>175</v>
      </c>
      <c r="H1479" t="str">
        <f>"A8286539/THUNDER OSBORN"</f>
        <v>A8286539/THUNDER OSBORN</v>
      </c>
    </row>
    <row r="1480" spans="1:8" x14ac:dyDescent="0.25">
      <c r="E1480" t="str">
        <f>"J2-47936"</f>
        <v>J2-47936</v>
      </c>
      <c r="F1480" t="str">
        <f>"A-13086/ANJANETTE LASHAY"</f>
        <v>A-13086/ANJANETTE LASHAY</v>
      </c>
      <c r="G1480" s="1">
        <v>114.75</v>
      </c>
      <c r="H1480" t="str">
        <f>"A-13086/ANJANETTE LASHAY"</f>
        <v>A-13086/ANJANETTE LASHAY</v>
      </c>
    </row>
    <row r="1481" spans="1:8" x14ac:dyDescent="0.25">
      <c r="E1481" t="str">
        <f>"J2-59593"</f>
        <v>J2-59593</v>
      </c>
      <c r="F1481" t="str">
        <f>"A8245768/JOHN PACHICANO"</f>
        <v>A8245768/JOHN PACHICANO</v>
      </c>
      <c r="G1481" s="1">
        <v>114.75</v>
      </c>
      <c r="H1481" t="str">
        <f>"A8245768/JOHN PACHICANO"</f>
        <v>A8245768/JOHN PACHICANO</v>
      </c>
    </row>
    <row r="1482" spans="1:8" x14ac:dyDescent="0.25">
      <c r="E1482" t="str">
        <f>"J2-66955"</f>
        <v>J2-66955</v>
      </c>
      <c r="F1482" t="str">
        <f>"A8329208/ANTHONY NIELSEN"</f>
        <v>A8329208/ANTHONY NIELSEN</v>
      </c>
      <c r="G1482" s="1">
        <v>114.75</v>
      </c>
      <c r="H1482" t="str">
        <f>"A8329208/ANTHONY NIELSEN"</f>
        <v>A8329208/ANTHONY NIELSEN</v>
      </c>
    </row>
    <row r="1483" spans="1:8" x14ac:dyDescent="0.25">
      <c r="E1483" t="str">
        <f>"J2-67610"</f>
        <v>J2-67610</v>
      </c>
      <c r="F1483" t="str">
        <f>"A8303711/JEREMY GILBERT"</f>
        <v>A8303711/JEREMY GILBERT</v>
      </c>
      <c r="G1483" s="1">
        <v>114.75</v>
      </c>
      <c r="H1483" t="str">
        <f>"A8303711/JEREMY GILBERT"</f>
        <v>A8303711/JEREMY GILBERT</v>
      </c>
    </row>
    <row r="1484" spans="1:8" x14ac:dyDescent="0.25">
      <c r="E1484" t="str">
        <f>"J2-67822"</f>
        <v>J2-67822</v>
      </c>
      <c r="F1484" t="str">
        <f>"A3288638/JOSHUA THORSPN"</f>
        <v>A3288638/JOSHUA THORSPN</v>
      </c>
      <c r="G1484" s="1">
        <v>114.75</v>
      </c>
      <c r="H1484" t="str">
        <f>"A3233638/JOSH THOSPN"</f>
        <v>A3233638/JOSH THOSPN</v>
      </c>
    </row>
    <row r="1485" spans="1:8" x14ac:dyDescent="0.25">
      <c r="E1485" t="str">
        <f>"J2-69317"</f>
        <v>J2-69317</v>
      </c>
      <c r="F1485" t="str">
        <f>"A8270660/BILLI FARRIS"</f>
        <v>A8270660/BILLI FARRIS</v>
      </c>
      <c r="G1485" s="1">
        <v>114.75</v>
      </c>
      <c r="H1485" t="str">
        <f>"A8270660/BILLI FARRIS"</f>
        <v>A8270660/BILLI FARRIS</v>
      </c>
    </row>
    <row r="1486" spans="1:8" x14ac:dyDescent="0.25">
      <c r="E1486" t="str">
        <f>"J2-69522"</f>
        <v>J2-69522</v>
      </c>
      <c r="F1486" t="str">
        <f>"A8353807/SEAN ERTONS"</f>
        <v>A8353807/SEAN ERTONS</v>
      </c>
      <c r="G1486" s="1">
        <v>114.75</v>
      </c>
      <c r="H1486" t="str">
        <f>"A8353807/SEAN ERTONS"</f>
        <v>A8353807/SEAN ERTONS</v>
      </c>
    </row>
    <row r="1487" spans="1:8" x14ac:dyDescent="0.25">
      <c r="E1487" t="str">
        <f>"J2-69553"</f>
        <v>J2-69553</v>
      </c>
      <c r="F1487" t="str">
        <f>"A8353808/ MICHAEL SMITH"</f>
        <v>A8353808/ MICHAEL SMITH</v>
      </c>
      <c r="G1487" s="1">
        <v>114.75</v>
      </c>
      <c r="H1487" t="str">
        <f>"A8353808/ MICHAEL SMITH"</f>
        <v>A8353808/ MICHAEL SMITH</v>
      </c>
    </row>
    <row r="1488" spans="1:8" x14ac:dyDescent="0.25">
      <c r="E1488" t="str">
        <f>"J2-69589"</f>
        <v>J2-69589</v>
      </c>
      <c r="F1488" t="str">
        <f>"A8361127/JOHN EAHEART"</f>
        <v>A8361127/JOHN EAHEART</v>
      </c>
      <c r="G1488" s="1">
        <v>114.75</v>
      </c>
      <c r="H1488" t="str">
        <f>"A8361127/JOHN EAHEART"</f>
        <v>A8361127/JOHN EAHEART</v>
      </c>
    </row>
    <row r="1489" spans="1:8" x14ac:dyDescent="0.25">
      <c r="E1489" t="str">
        <f>"JP-69451"</f>
        <v>JP-69451</v>
      </c>
      <c r="F1489" t="str">
        <f>"A8329889/JUAN VILLARAL"</f>
        <v>A8329889/JUAN VILLARAL</v>
      </c>
      <c r="G1489" s="1">
        <v>114.75</v>
      </c>
      <c r="H1489" t="str">
        <f>"A8329889/JUAN VILLARAL"</f>
        <v>A8329889/JUAN VILLARAL</v>
      </c>
    </row>
    <row r="1490" spans="1:8" x14ac:dyDescent="0.25">
      <c r="A1490" t="s">
        <v>329</v>
      </c>
      <c r="B1490">
        <v>135402</v>
      </c>
      <c r="C1490" s="1">
        <v>1245.3599999999999</v>
      </c>
      <c r="D1490" s="6">
        <v>44312</v>
      </c>
      <c r="E1490" t="str">
        <f>"210408"</f>
        <v>210408</v>
      </c>
      <c r="F1490" t="str">
        <f>"MOB A HOSE/PCT#2"</f>
        <v>MOB A HOSE/PCT#2</v>
      </c>
      <c r="G1490" s="1">
        <v>1245.3599999999999</v>
      </c>
      <c r="H1490" t="str">
        <f>"MOB A HOSE/PCT#2"</f>
        <v>MOB A HOSE/PCT#2</v>
      </c>
    </row>
    <row r="1491" spans="1:8" x14ac:dyDescent="0.25">
      <c r="A1491" t="s">
        <v>330</v>
      </c>
      <c r="B1491">
        <v>135096</v>
      </c>
      <c r="C1491" s="1">
        <v>100</v>
      </c>
      <c r="D1491" s="6">
        <v>44287</v>
      </c>
      <c r="E1491" t="str">
        <f>"C0110-2021"</f>
        <v>C0110-2021</v>
      </c>
      <c r="F1491" t="str">
        <f>"Annual Membership"</f>
        <v>Annual Membership</v>
      </c>
      <c r="G1491" s="1">
        <v>100</v>
      </c>
      <c r="H1491" t="str">
        <f>"Annual Membership"</f>
        <v>Annual Membership</v>
      </c>
    </row>
    <row r="1492" spans="1:8" x14ac:dyDescent="0.25">
      <c r="A1492" t="s">
        <v>331</v>
      </c>
      <c r="B1492">
        <v>4362</v>
      </c>
      <c r="C1492" s="1">
        <v>239.92</v>
      </c>
      <c r="D1492" s="6">
        <v>44313</v>
      </c>
      <c r="E1492" t="str">
        <f>"202104212817"</f>
        <v>202104212817</v>
      </c>
      <c r="F1492" t="str">
        <f>"INDIGENT HEALTH"</f>
        <v>INDIGENT HEALTH</v>
      </c>
      <c r="G1492" s="1">
        <v>239.92</v>
      </c>
      <c r="H1492" t="str">
        <f>"INDIGENT HEALTH"</f>
        <v>INDIGENT HEALTH</v>
      </c>
    </row>
    <row r="1493" spans="1:8" x14ac:dyDescent="0.25">
      <c r="A1493" t="s">
        <v>332</v>
      </c>
      <c r="B1493">
        <v>135403</v>
      </c>
      <c r="C1493" s="1">
        <v>68.61</v>
      </c>
      <c r="D1493" s="6">
        <v>44312</v>
      </c>
      <c r="E1493" t="str">
        <f>"846677"</f>
        <v>846677</v>
      </c>
      <c r="F1493" t="str">
        <f>"CUST#BASTR5/PCT#4"</f>
        <v>CUST#BASTR5/PCT#4</v>
      </c>
      <c r="G1493" s="1">
        <v>68.61</v>
      </c>
      <c r="H1493" t="str">
        <f>"CUST#BASTR5/PCT#4"</f>
        <v>CUST#BASTR5/PCT#4</v>
      </c>
    </row>
    <row r="1494" spans="1:8" x14ac:dyDescent="0.25">
      <c r="A1494" t="s">
        <v>333</v>
      </c>
      <c r="B1494">
        <v>4279</v>
      </c>
      <c r="C1494" s="1">
        <v>1316</v>
      </c>
      <c r="D1494" s="6">
        <v>44299</v>
      </c>
      <c r="E1494" t="str">
        <f>"212078"</f>
        <v>212078</v>
      </c>
      <c r="F1494" t="str">
        <f>"ACCT#188757/MIKE FISHER BLDG."</f>
        <v>ACCT#188757/MIKE FISHER BLDG.</v>
      </c>
      <c r="G1494" s="1">
        <v>112</v>
      </c>
      <c r="H1494" t="str">
        <f>"ACCT#188757/MIKE FISHER BLDG."</f>
        <v>ACCT#188757/MIKE FISHER BLDG.</v>
      </c>
    </row>
    <row r="1495" spans="1:8" x14ac:dyDescent="0.25">
      <c r="E1495" t="str">
        <f>"212095"</f>
        <v>212095</v>
      </c>
      <c r="F1495" t="str">
        <f>"ACCT#188757/PCT#1/SIGN SHOP"</f>
        <v>ACCT#188757/PCT#1/SIGN SHOP</v>
      </c>
      <c r="G1495" s="1">
        <v>95</v>
      </c>
      <c r="H1495" t="str">
        <f>"ACCT#188757/PCT#1/SIGN SHOP"</f>
        <v>ACCT#188757/PCT#1/SIGN SHOP</v>
      </c>
    </row>
    <row r="1496" spans="1:8" x14ac:dyDescent="0.25">
      <c r="E1496" t="str">
        <f>"212140"</f>
        <v>212140</v>
      </c>
      <c r="F1496" t="str">
        <f>"ACCT#188757/ JUVENILE BOOTCAMP"</f>
        <v>ACCT#188757/ JUVENILE BOOTCAMP</v>
      </c>
      <c r="G1496" s="1">
        <v>118.5</v>
      </c>
      <c r="H1496" t="str">
        <f>"ACCT#188757/ JUVENILE BOOTCAMP"</f>
        <v>ACCT#188757/ JUVENILE BOOTCAMP</v>
      </c>
    </row>
    <row r="1497" spans="1:8" x14ac:dyDescent="0.25">
      <c r="E1497" t="str">
        <f>"212732"</f>
        <v>212732</v>
      </c>
      <c r="F1497" t="str">
        <f>"ACCT#188757/EXTENSION HABITAT"</f>
        <v>ACCT#188757/EXTENSION HABITAT</v>
      </c>
      <c r="G1497" s="1">
        <v>89</v>
      </c>
      <c r="H1497" t="str">
        <f>"ACCT#188757/EXTENSION HABITAT"</f>
        <v>ACCT#188757/EXTENSION HABITAT</v>
      </c>
    </row>
    <row r="1498" spans="1:8" x14ac:dyDescent="0.25">
      <c r="E1498" t="str">
        <f>"212752"</f>
        <v>212752</v>
      </c>
      <c r="F1498" t="str">
        <f>"ACCT#188757/HISTORIC JAIL"</f>
        <v>ACCT#188757/HISTORIC JAIL</v>
      </c>
      <c r="G1498" s="1">
        <v>76</v>
      </c>
      <c r="H1498" t="str">
        <f>"ACCT#188757/HISTORIC JAIL"</f>
        <v>ACCT#188757/HISTORIC JAIL</v>
      </c>
    </row>
    <row r="1499" spans="1:8" x14ac:dyDescent="0.25">
      <c r="E1499" t="str">
        <f>"212771"</f>
        <v>212771</v>
      </c>
      <c r="F1499" t="str">
        <f>"ACCT#188757/COURHOUSE ANNEX"</f>
        <v>ACCT#188757/COURHOUSE ANNEX</v>
      </c>
      <c r="G1499" s="1">
        <v>137</v>
      </c>
      <c r="H1499" t="str">
        <f>"ACCT#188757/COURHOUSE ANNEX"</f>
        <v>ACCT#188757/COURHOUSE ANNEX</v>
      </c>
    </row>
    <row r="1500" spans="1:8" x14ac:dyDescent="0.25">
      <c r="E1500" t="str">
        <f>"212856"</f>
        <v>212856</v>
      </c>
      <c r="F1500" t="str">
        <f>"ACCT#188757/JUVENILE PROBATION"</f>
        <v>ACCT#188757/JUVENILE PROBATION</v>
      </c>
      <c r="G1500" s="1">
        <v>132</v>
      </c>
      <c r="H1500" t="str">
        <f>"ACCT#188757/JUVENILE PROBATION"</f>
        <v>ACCT#188757/JUVENILE PROBATION</v>
      </c>
    </row>
    <row r="1501" spans="1:8" x14ac:dyDescent="0.25">
      <c r="E1501" t="str">
        <f>"213100"</f>
        <v>213100</v>
      </c>
      <c r="F1501" t="str">
        <f>"ACCT#188757/TAX OFFICE"</f>
        <v>ACCT#188757/TAX OFFICE</v>
      </c>
      <c r="G1501" s="1">
        <v>102</v>
      </c>
      <c r="H1501" t="str">
        <f>"ACCT#188757/TAX OFFICE"</f>
        <v>ACCT#188757/TAX OFFICE</v>
      </c>
    </row>
    <row r="1502" spans="1:8" x14ac:dyDescent="0.25">
      <c r="E1502" t="str">
        <f>"213163"</f>
        <v>213163</v>
      </c>
      <c r="F1502" t="str">
        <f>"ACCT#188757/PRECINCT#4"</f>
        <v>ACCT#188757/PRECINCT#4</v>
      </c>
      <c r="G1502" s="1">
        <v>95.5</v>
      </c>
      <c r="H1502" t="str">
        <f>"ACCT#188757/PRECINCT#4"</f>
        <v>ACCT#188757/PRECINCT#4</v>
      </c>
    </row>
    <row r="1503" spans="1:8" x14ac:dyDescent="0.25">
      <c r="E1503" t="str">
        <f>"213179"</f>
        <v>213179</v>
      </c>
      <c r="F1503" t="str">
        <f>"ACCT#18757/LBJ BUILDING"</f>
        <v>ACCT#18757/LBJ BUILDING</v>
      </c>
      <c r="G1503" s="1">
        <v>69</v>
      </c>
      <c r="H1503" t="str">
        <f>"ACCT#18757/LBJ BUILDING"</f>
        <v>ACCT#18757/LBJ BUILDING</v>
      </c>
    </row>
    <row r="1504" spans="1:8" x14ac:dyDescent="0.25">
      <c r="E1504" t="str">
        <f>"214183"</f>
        <v>214183</v>
      </c>
      <c r="F1504" t="str">
        <f>"ACCT#188757/ANIMAL SHELTER"</f>
        <v>ACCT#188757/ANIMAL SHELTER</v>
      </c>
      <c r="G1504" s="1">
        <v>290</v>
      </c>
      <c r="H1504" t="str">
        <f>"ACCT#188757/ANIMAL SHELTER"</f>
        <v>ACCT#188757/ANIMAL SHELTER</v>
      </c>
    </row>
    <row r="1505" spans="1:8" x14ac:dyDescent="0.25">
      <c r="A1505" t="s">
        <v>333</v>
      </c>
      <c r="B1505">
        <v>4354</v>
      </c>
      <c r="C1505" s="1">
        <v>671</v>
      </c>
      <c r="D1505" s="6">
        <v>44313</v>
      </c>
      <c r="E1505" t="str">
        <f>"210360"</f>
        <v>210360</v>
      </c>
      <c r="F1505" t="str">
        <f>"ACCT#188757/CEDAR CREEK PARK"</f>
        <v>ACCT#188757/CEDAR CREEK PARK</v>
      </c>
      <c r="G1505" s="1">
        <v>125</v>
      </c>
      <c r="H1505" t="str">
        <f>"ACCT#188757/CEDAR CREEK PARK"</f>
        <v>ACCT#188757/CEDAR CREEK PARK</v>
      </c>
    </row>
    <row r="1506" spans="1:8" x14ac:dyDescent="0.25">
      <c r="E1506" t="str">
        <f>"216655"</f>
        <v>216655</v>
      </c>
      <c r="F1506" t="str">
        <f>"ACCT#188757/CEDAR CREEK PARK"</f>
        <v>ACCT#188757/CEDAR CREEK PARK</v>
      </c>
      <c r="G1506" s="1">
        <v>125</v>
      </c>
      <c r="H1506" t="str">
        <f>"ACCT#188757/CEDAR CREEK PARK"</f>
        <v>ACCT#188757/CEDAR CREEK PARK</v>
      </c>
    </row>
    <row r="1507" spans="1:8" x14ac:dyDescent="0.25">
      <c r="E1507" t="str">
        <f>"217161"</f>
        <v>217161</v>
      </c>
      <c r="F1507" t="str">
        <f>"ACCT#118757/DPS/TDL"</f>
        <v>ACCT#118757/DPS/TDL</v>
      </c>
      <c r="G1507" s="1">
        <v>76</v>
      </c>
      <c r="H1507" t="str">
        <f>"ACCT#118757/DPS/TDL"</f>
        <v>ACCT#118757/DPS/TDL</v>
      </c>
    </row>
    <row r="1508" spans="1:8" x14ac:dyDescent="0.25">
      <c r="E1508" t="str">
        <f>"217728"</f>
        <v>217728</v>
      </c>
      <c r="F1508" t="str">
        <f>"ACCT#188757/COURTHOUSE"</f>
        <v>ACCT#188757/COURTHOUSE</v>
      </c>
      <c r="G1508" s="1">
        <v>250</v>
      </c>
      <c r="H1508" t="str">
        <f>"ACCT#188757/COURTHOUSE"</f>
        <v>ACCT#188757/COURTHOUSE</v>
      </c>
    </row>
    <row r="1509" spans="1:8" x14ac:dyDescent="0.25">
      <c r="E1509" t="str">
        <f>"217985"</f>
        <v>217985</v>
      </c>
      <c r="F1509" t="str">
        <f>"ACCT#188757/JP 3"</f>
        <v>ACCT#188757/JP 3</v>
      </c>
      <c r="G1509" s="1">
        <v>95</v>
      </c>
      <c r="H1509" t="str">
        <f>"ACCT#188757/JP 3"</f>
        <v>ACCT#188757/JP 3</v>
      </c>
    </row>
    <row r="1510" spans="1:8" x14ac:dyDescent="0.25">
      <c r="A1510" t="s">
        <v>334</v>
      </c>
      <c r="B1510">
        <v>4266</v>
      </c>
      <c r="C1510" s="1">
        <v>4100</v>
      </c>
      <c r="D1510" s="6">
        <v>44299</v>
      </c>
      <c r="E1510" t="str">
        <f>"202103242291"</f>
        <v>202103242291</v>
      </c>
      <c r="F1510" t="str">
        <f>"1751-21"</f>
        <v>1751-21</v>
      </c>
      <c r="G1510" s="1">
        <v>100</v>
      </c>
      <c r="H1510" t="str">
        <f>"1751-21"</f>
        <v>1751-21</v>
      </c>
    </row>
    <row r="1511" spans="1:8" x14ac:dyDescent="0.25">
      <c r="E1511" t="str">
        <f>"202103292359"</f>
        <v>202103292359</v>
      </c>
      <c r="F1511" t="str">
        <f>"311182020A"</f>
        <v>311182020A</v>
      </c>
      <c r="G1511" s="1">
        <v>100</v>
      </c>
      <c r="H1511" t="str">
        <f>"311182020A"</f>
        <v>311182020A</v>
      </c>
    </row>
    <row r="1512" spans="1:8" x14ac:dyDescent="0.25">
      <c r="E1512" t="str">
        <f>"202104062465"</f>
        <v>202104062465</v>
      </c>
      <c r="F1512" t="str">
        <f>"17-041"</f>
        <v>17-041</v>
      </c>
      <c r="G1512" s="1">
        <v>3500</v>
      </c>
      <c r="H1512" t="str">
        <f>"17-041"</f>
        <v>17-041</v>
      </c>
    </row>
    <row r="1513" spans="1:8" x14ac:dyDescent="0.25">
      <c r="E1513" t="str">
        <f>"202104062466"</f>
        <v>202104062466</v>
      </c>
      <c r="F1513" t="str">
        <f>"DCPC -20-140"</f>
        <v>DCPC -20-140</v>
      </c>
      <c r="G1513" s="1">
        <v>400</v>
      </c>
      <c r="H1513" t="str">
        <f>"DCPC -20-140"</f>
        <v>DCPC -20-140</v>
      </c>
    </row>
    <row r="1514" spans="1:8" x14ac:dyDescent="0.25">
      <c r="A1514" t="s">
        <v>334</v>
      </c>
      <c r="B1514">
        <v>4342</v>
      </c>
      <c r="C1514" s="1">
        <v>700</v>
      </c>
      <c r="D1514" s="6">
        <v>44313</v>
      </c>
      <c r="E1514" t="str">
        <f>"202104152645"</f>
        <v>202104152645</v>
      </c>
      <c r="F1514" t="str">
        <f>"1764-335"</f>
        <v>1764-335</v>
      </c>
      <c r="G1514" s="1">
        <v>100</v>
      </c>
      <c r="H1514" t="str">
        <f>"1764-335"</f>
        <v>1764-335</v>
      </c>
    </row>
    <row r="1515" spans="1:8" x14ac:dyDescent="0.25">
      <c r="E1515" t="str">
        <f>"202104152646"</f>
        <v>202104152646</v>
      </c>
      <c r="F1515" t="str">
        <f>"1763-335 423-7755"</f>
        <v>1763-335 423-7755</v>
      </c>
      <c r="G1515" s="1">
        <v>200</v>
      </c>
      <c r="H1515" t="str">
        <f>"1763-335 423-7755"</f>
        <v>1763-335 423-7755</v>
      </c>
    </row>
    <row r="1516" spans="1:8" x14ac:dyDescent="0.25">
      <c r="E1516" t="str">
        <f>"202104152649"</f>
        <v>202104152649</v>
      </c>
      <c r="F1516" t="str">
        <f>"JP-02-0722-10"</f>
        <v>JP-02-0722-10</v>
      </c>
      <c r="G1516" s="1">
        <v>150</v>
      </c>
      <c r="H1516" t="str">
        <f>"JP-02-0722-10"</f>
        <v>JP-02-0722-10</v>
      </c>
    </row>
    <row r="1517" spans="1:8" x14ac:dyDescent="0.25">
      <c r="E1517" t="str">
        <f>"202104152651"</f>
        <v>202104152651</v>
      </c>
      <c r="F1517" t="str">
        <f>"57-402"</f>
        <v>57-402</v>
      </c>
      <c r="G1517" s="1">
        <v>250</v>
      </c>
      <c r="H1517" t="str">
        <f>"57-402"</f>
        <v>57-402</v>
      </c>
    </row>
    <row r="1518" spans="1:8" x14ac:dyDescent="0.25">
      <c r="A1518" t="s">
        <v>335</v>
      </c>
      <c r="B1518">
        <v>4319</v>
      </c>
      <c r="C1518" s="1">
        <v>853</v>
      </c>
      <c r="D1518" s="6">
        <v>44299</v>
      </c>
      <c r="E1518" t="str">
        <f>"250953"</f>
        <v>250953</v>
      </c>
      <c r="F1518" t="str">
        <f>"THE NITSCHE GROUP"</f>
        <v>THE NITSCHE GROUP</v>
      </c>
      <c r="G1518" s="1">
        <v>853</v>
      </c>
      <c r="H1518" t="str">
        <f>"Comm Endorsement"</f>
        <v>Comm Endorsement</v>
      </c>
    </row>
    <row r="1519" spans="1:8" x14ac:dyDescent="0.25">
      <c r="A1519" t="s">
        <v>336</v>
      </c>
      <c r="B1519">
        <v>135240</v>
      </c>
      <c r="C1519" s="1">
        <v>874.5</v>
      </c>
      <c r="D1519" s="6">
        <v>44298</v>
      </c>
      <c r="E1519" t="str">
        <f>"000590855"</f>
        <v>000590855</v>
      </c>
      <c r="F1519" t="str">
        <f>"THE TRAVELERS INDEMNITY COMPAN"</f>
        <v>THE TRAVELERS INDEMNITY COMPAN</v>
      </c>
      <c r="G1519" s="1">
        <v>381</v>
      </c>
      <c r="H1519" t="str">
        <f>"Insurance Inv"</f>
        <v>Insurance Inv</v>
      </c>
    </row>
    <row r="1520" spans="1:8" x14ac:dyDescent="0.25">
      <c r="E1520" t="str">
        <f>"000593239"</f>
        <v>000593239</v>
      </c>
      <c r="F1520" t="str">
        <f>"ACCT#4812W1083"</f>
        <v>ACCT#4812W1083</v>
      </c>
      <c r="G1520" s="1">
        <v>493.5</v>
      </c>
      <c r="H1520" t="str">
        <f>"ACCT#4812W1083"</f>
        <v>ACCT#4812W1083</v>
      </c>
    </row>
    <row r="1521" spans="1:8" x14ac:dyDescent="0.25">
      <c r="A1521" t="s">
        <v>337</v>
      </c>
      <c r="B1521">
        <v>135241</v>
      </c>
      <c r="C1521" s="1">
        <v>1456.59</v>
      </c>
      <c r="D1521" s="6">
        <v>44298</v>
      </c>
      <c r="E1521" t="str">
        <f>"844072050"</f>
        <v>844072050</v>
      </c>
      <c r="F1521" t="str">
        <f>"ACCT#1000648597"</f>
        <v>ACCT#1000648597</v>
      </c>
      <c r="G1521" s="1">
        <v>600</v>
      </c>
      <c r="H1521" t="str">
        <f>"ACCT#1000648597"</f>
        <v>ACCT#1000648597</v>
      </c>
    </row>
    <row r="1522" spans="1:8" x14ac:dyDescent="0.25">
      <c r="E1522" t="str">
        <f>"844083396"</f>
        <v>844083396</v>
      </c>
      <c r="F1522" t="str">
        <f>"ACCT#1000310962"</f>
        <v>ACCT#1000310962</v>
      </c>
      <c r="G1522" s="1">
        <v>856.59</v>
      </c>
      <c r="H1522" t="str">
        <f>"ACCT#1000310962"</f>
        <v>ACCT#1000310962</v>
      </c>
    </row>
    <row r="1523" spans="1:8" x14ac:dyDescent="0.25">
      <c r="A1523" t="s">
        <v>338</v>
      </c>
      <c r="B1523">
        <v>135242</v>
      </c>
      <c r="C1523" s="1">
        <v>755.66</v>
      </c>
      <c r="D1523" s="6">
        <v>44298</v>
      </c>
      <c r="E1523" t="str">
        <f>"0155923031221"</f>
        <v>0155923031221</v>
      </c>
      <c r="F1523" t="str">
        <f>"ACCT#8260160170155923"</f>
        <v>ACCT#8260160170155923</v>
      </c>
      <c r="G1523" s="1">
        <v>120.14</v>
      </c>
      <c r="H1523" t="str">
        <f>"ACCT#8260160170155923"</f>
        <v>ACCT#8260160170155923</v>
      </c>
    </row>
    <row r="1524" spans="1:8" x14ac:dyDescent="0.25">
      <c r="E1524" t="str">
        <f>"0167100031621"</f>
        <v>0167100031621</v>
      </c>
      <c r="F1524" t="str">
        <f>"ACCT#8260160170167100"</f>
        <v>ACCT#8260160170167100</v>
      </c>
      <c r="G1524" s="1">
        <v>635.52</v>
      </c>
      <c r="H1524" t="str">
        <f>"ACCT#8260160170167100"</f>
        <v>ACCT#8260160170167100</v>
      </c>
    </row>
    <row r="1525" spans="1:8" x14ac:dyDescent="0.25">
      <c r="A1525" t="s">
        <v>338</v>
      </c>
      <c r="B1525">
        <v>135404</v>
      </c>
      <c r="C1525" s="1">
        <v>5074.5600000000004</v>
      </c>
      <c r="D1525" s="6">
        <v>44312</v>
      </c>
      <c r="E1525" t="str">
        <f>"0046206072220"</f>
        <v>0046206072220</v>
      </c>
      <c r="F1525" t="str">
        <f>"ACCT#8260161110046206"</f>
        <v>ACCT#8260161110046206</v>
      </c>
      <c r="G1525" s="1">
        <v>1888.25</v>
      </c>
      <c r="H1525" t="str">
        <f>"ACCT#8260161110046206"</f>
        <v>ACCT#8260161110046206</v>
      </c>
    </row>
    <row r="1526" spans="1:8" x14ac:dyDescent="0.25">
      <c r="E1526" t="str">
        <f>"0155923041221"</f>
        <v>0155923041221</v>
      </c>
      <c r="F1526" t="str">
        <f>"ACCT#8260160170155923"</f>
        <v>ACCT#8260160170155923</v>
      </c>
      <c r="G1526" s="1">
        <v>120.14</v>
      </c>
      <c r="H1526" t="str">
        <f>"ACCT#8260160170155923"</f>
        <v>ACCT#8260160170155923</v>
      </c>
    </row>
    <row r="1527" spans="1:8" x14ac:dyDescent="0.25">
      <c r="E1527" t="str">
        <f>"202104192720"</f>
        <v>202104192720</v>
      </c>
      <c r="F1527" t="str">
        <f>"ACCT#8260163000003669"</f>
        <v>ACCT#8260163000003669</v>
      </c>
      <c r="G1527" s="1">
        <v>3066.17</v>
      </c>
      <c r="H1527" t="str">
        <f>"ACCT#8260163000003669"</f>
        <v>ACCT#8260163000003669</v>
      </c>
    </row>
    <row r="1528" spans="1:8" x14ac:dyDescent="0.25">
      <c r="E1528" t="str">
        <f>""</f>
        <v/>
      </c>
      <c r="F1528" t="str">
        <f>""</f>
        <v/>
      </c>
      <c r="H1528" t="str">
        <f>"ACCT#8260163000003669"</f>
        <v>ACCT#8260163000003669</v>
      </c>
    </row>
    <row r="1529" spans="1:8" x14ac:dyDescent="0.25">
      <c r="A1529" t="s">
        <v>339</v>
      </c>
      <c r="B1529">
        <v>135243</v>
      </c>
      <c r="C1529" s="1">
        <v>727.88</v>
      </c>
      <c r="D1529" s="6">
        <v>44298</v>
      </c>
      <c r="E1529" t="str">
        <f>"23046"</f>
        <v>23046</v>
      </c>
      <c r="F1529" t="str">
        <f>"White Board IT"</f>
        <v>White Board IT</v>
      </c>
      <c r="G1529" s="1">
        <v>727.88</v>
      </c>
      <c r="H1529" t="str">
        <f>"Balt 83909 4x6 board"</f>
        <v>Balt 83909 4x6 board</v>
      </c>
    </row>
    <row r="1530" spans="1:8" x14ac:dyDescent="0.25">
      <c r="E1530" t="str">
        <f>""</f>
        <v/>
      </c>
      <c r="F1530" t="str">
        <f>""</f>
        <v/>
      </c>
      <c r="H1530" t="str">
        <f>"Shipping Lift Gate"</f>
        <v>Shipping Lift Gate</v>
      </c>
    </row>
    <row r="1531" spans="1:8" x14ac:dyDescent="0.25">
      <c r="A1531" t="s">
        <v>340</v>
      </c>
      <c r="B1531">
        <v>135244</v>
      </c>
      <c r="C1531" s="1">
        <v>140.61000000000001</v>
      </c>
      <c r="D1531" s="6">
        <v>44298</v>
      </c>
      <c r="E1531" t="str">
        <f>"202104052422"</f>
        <v>202104052422</v>
      </c>
      <c r="F1531" t="str">
        <f>"Statement"</f>
        <v>Statement</v>
      </c>
      <c r="G1531" s="1">
        <v>140.61000000000001</v>
      </c>
      <c r="H1531" t="str">
        <f>"Due"</f>
        <v>Due</v>
      </c>
    </row>
    <row r="1532" spans="1:8" x14ac:dyDescent="0.25">
      <c r="A1532" t="s">
        <v>341</v>
      </c>
      <c r="B1532">
        <v>135245</v>
      </c>
      <c r="C1532" s="1">
        <v>951</v>
      </c>
      <c r="D1532" s="6">
        <v>44298</v>
      </c>
      <c r="E1532" t="str">
        <f>"21-000572"</f>
        <v>21-000572</v>
      </c>
      <c r="F1532" t="str">
        <f>"C-1-MH-21-000572"</f>
        <v>C-1-MH-21-000572</v>
      </c>
      <c r="G1532" s="1">
        <v>488</v>
      </c>
      <c r="H1532" t="str">
        <f>"C-1-MH-21-000572"</f>
        <v>C-1-MH-21-000572</v>
      </c>
    </row>
    <row r="1533" spans="1:8" x14ac:dyDescent="0.25">
      <c r="E1533" t="str">
        <f>"21-000634"</f>
        <v>21-000634</v>
      </c>
      <c r="F1533" t="str">
        <f>"C-1-MH-21-000634"</f>
        <v>C-1-MH-21-000634</v>
      </c>
      <c r="G1533" s="1">
        <v>463</v>
      </c>
      <c r="H1533" t="str">
        <f>"C-1-MH-21-000634"</f>
        <v>C-1-MH-21-000634</v>
      </c>
    </row>
    <row r="1534" spans="1:8" x14ac:dyDescent="0.25">
      <c r="A1534" t="s">
        <v>342</v>
      </c>
      <c r="B1534">
        <v>135246</v>
      </c>
      <c r="C1534" s="1">
        <v>1760</v>
      </c>
      <c r="D1534" s="6">
        <v>44298</v>
      </c>
      <c r="E1534" t="str">
        <f>"11389"</f>
        <v>11389</v>
      </c>
      <c r="F1534" t="str">
        <f t="shared" ref="F1534:F1544" si="27">"SERVICE"</f>
        <v>SERVICE</v>
      </c>
      <c r="G1534" s="1">
        <v>140</v>
      </c>
      <c r="H1534" t="str">
        <f t="shared" ref="H1534:H1544" si="28">"SERVICE"</f>
        <v>SERVICE</v>
      </c>
    </row>
    <row r="1535" spans="1:8" x14ac:dyDescent="0.25">
      <c r="E1535" t="str">
        <f>"12245"</f>
        <v>12245</v>
      </c>
      <c r="F1535" t="str">
        <f t="shared" si="27"/>
        <v>SERVICE</v>
      </c>
      <c r="G1535" s="1">
        <v>300</v>
      </c>
      <c r="H1535" t="str">
        <f t="shared" si="28"/>
        <v>SERVICE</v>
      </c>
    </row>
    <row r="1536" spans="1:8" x14ac:dyDescent="0.25">
      <c r="E1536" t="str">
        <f>"12374"</f>
        <v>12374</v>
      </c>
      <c r="F1536" t="str">
        <f t="shared" si="27"/>
        <v>SERVICE</v>
      </c>
      <c r="G1536" s="1">
        <v>75</v>
      </c>
      <c r="H1536" t="str">
        <f t="shared" si="28"/>
        <v>SERVICE</v>
      </c>
    </row>
    <row r="1537" spans="1:8" x14ac:dyDescent="0.25">
      <c r="E1537" t="str">
        <f>"12494"</f>
        <v>12494</v>
      </c>
      <c r="F1537" t="str">
        <f t="shared" si="27"/>
        <v>SERVICE</v>
      </c>
      <c r="G1537" s="1">
        <v>300</v>
      </c>
      <c r="H1537" t="str">
        <f t="shared" si="28"/>
        <v>SERVICE</v>
      </c>
    </row>
    <row r="1538" spans="1:8" x14ac:dyDescent="0.25">
      <c r="E1538" t="str">
        <f>"12940-3-4-21"</f>
        <v>12940-3-4-21</v>
      </c>
      <c r="F1538" t="str">
        <f t="shared" si="27"/>
        <v>SERVICE</v>
      </c>
      <c r="G1538" s="1">
        <v>25</v>
      </c>
      <c r="H1538" t="str">
        <f t="shared" si="28"/>
        <v>SERVICE</v>
      </c>
    </row>
    <row r="1539" spans="1:8" x14ac:dyDescent="0.25">
      <c r="E1539" t="str">
        <f>"12980"</f>
        <v>12980</v>
      </c>
      <c r="F1539" t="str">
        <f t="shared" si="27"/>
        <v>SERVICE</v>
      </c>
      <c r="G1539" s="1">
        <v>150</v>
      </c>
      <c r="H1539" t="str">
        <f t="shared" si="28"/>
        <v>SERVICE</v>
      </c>
    </row>
    <row r="1540" spans="1:8" x14ac:dyDescent="0.25">
      <c r="E1540" t="str">
        <f>"13088"</f>
        <v>13088</v>
      </c>
      <c r="F1540" t="str">
        <f t="shared" si="27"/>
        <v>SERVICE</v>
      </c>
      <c r="G1540" s="1">
        <v>225</v>
      </c>
      <c r="H1540" t="str">
        <f t="shared" si="28"/>
        <v>SERVICE</v>
      </c>
    </row>
    <row r="1541" spans="1:8" x14ac:dyDescent="0.25">
      <c r="E1541" t="str">
        <f>"13163"</f>
        <v>13163</v>
      </c>
      <c r="F1541" t="str">
        <f t="shared" si="27"/>
        <v>SERVICE</v>
      </c>
      <c r="G1541" s="1">
        <v>75</v>
      </c>
      <c r="H1541" t="str">
        <f t="shared" si="28"/>
        <v>SERVICE</v>
      </c>
    </row>
    <row r="1542" spans="1:8" x14ac:dyDescent="0.25">
      <c r="E1542" t="str">
        <f>"13299"</f>
        <v>13299</v>
      </c>
      <c r="F1542" t="str">
        <f t="shared" si="27"/>
        <v>SERVICE</v>
      </c>
      <c r="G1542" s="1">
        <v>310</v>
      </c>
      <c r="H1542" t="str">
        <f t="shared" si="28"/>
        <v>SERVICE</v>
      </c>
    </row>
    <row r="1543" spans="1:8" x14ac:dyDescent="0.25">
      <c r="E1543" t="str">
        <f>"13301"</f>
        <v>13301</v>
      </c>
      <c r="F1543" t="str">
        <f t="shared" si="27"/>
        <v>SERVICE</v>
      </c>
      <c r="G1543" s="1">
        <v>80</v>
      </c>
      <c r="H1543" t="str">
        <f t="shared" si="28"/>
        <v>SERVICE</v>
      </c>
    </row>
    <row r="1544" spans="1:8" x14ac:dyDescent="0.25">
      <c r="E1544" t="str">
        <f>"13395"</f>
        <v>13395</v>
      </c>
      <c r="F1544" t="str">
        <f t="shared" si="27"/>
        <v>SERVICE</v>
      </c>
      <c r="G1544" s="1">
        <v>80</v>
      </c>
      <c r="H1544" t="str">
        <f t="shared" si="28"/>
        <v>SERVICE</v>
      </c>
    </row>
    <row r="1545" spans="1:8" x14ac:dyDescent="0.25">
      <c r="A1545" t="s">
        <v>343</v>
      </c>
      <c r="B1545">
        <v>135273</v>
      </c>
      <c r="C1545" s="1">
        <v>80</v>
      </c>
      <c r="D1545" s="6">
        <v>44300</v>
      </c>
      <c r="E1545" t="str">
        <f>"202104142606"</f>
        <v>202104142606</v>
      </c>
      <c r="F1545" t="str">
        <f>"PERSONAL SERVICE CITATION-G348"</f>
        <v>PERSONAL SERVICE CITATION-G348</v>
      </c>
      <c r="G1545" s="1">
        <v>80</v>
      </c>
      <c r="H1545" t="str">
        <f>"PERSONAL SERVICE CITATION-G348"</f>
        <v>PERSONAL SERVICE CITATION-G348</v>
      </c>
    </row>
    <row r="1546" spans="1:8" x14ac:dyDescent="0.25">
      <c r="A1546" t="s">
        <v>342</v>
      </c>
      <c r="B1546">
        <v>135405</v>
      </c>
      <c r="C1546" s="1">
        <v>310</v>
      </c>
      <c r="D1546" s="6">
        <v>44312</v>
      </c>
      <c r="E1546" t="str">
        <f>"13222"</f>
        <v>13222</v>
      </c>
      <c r="F1546" t="str">
        <f>"SERVICE"</f>
        <v>SERVICE</v>
      </c>
      <c r="G1546" s="1">
        <v>150</v>
      </c>
      <c r="H1546" t="str">
        <f>"SERVICE"</f>
        <v>SERVICE</v>
      </c>
    </row>
    <row r="1547" spans="1:8" x14ac:dyDescent="0.25">
      <c r="E1547" t="str">
        <f>"13540"</f>
        <v>13540</v>
      </c>
      <c r="F1547" t="str">
        <f>"SERVICE"</f>
        <v>SERVICE</v>
      </c>
      <c r="G1547" s="1">
        <v>80</v>
      </c>
      <c r="H1547" t="str">
        <f>"SERVICE"</f>
        <v>SERVICE</v>
      </c>
    </row>
    <row r="1548" spans="1:8" x14ac:dyDescent="0.25">
      <c r="E1548" t="str">
        <f>"13595"</f>
        <v>13595</v>
      </c>
      <c r="F1548" t="str">
        <f>"SERVICE"</f>
        <v>SERVICE</v>
      </c>
      <c r="G1548" s="1">
        <v>80</v>
      </c>
      <c r="H1548" t="str">
        <f>"SERVICE"</f>
        <v>SERVICE</v>
      </c>
    </row>
    <row r="1549" spans="1:8" x14ac:dyDescent="0.25">
      <c r="A1549" t="s">
        <v>344</v>
      </c>
      <c r="B1549">
        <v>135406</v>
      </c>
      <c r="C1549" s="1">
        <v>18270</v>
      </c>
      <c r="D1549" s="6">
        <v>44312</v>
      </c>
      <c r="E1549" t="str">
        <f>"3300004289"</f>
        <v>3300004289</v>
      </c>
      <c r="F1549" t="str">
        <f>"CUST#100011#3300004289"</f>
        <v>CUST#100011#3300004289</v>
      </c>
      <c r="G1549" s="1">
        <v>14935</v>
      </c>
      <c r="H1549" t="str">
        <f>"CUST#100011#3300004289"</f>
        <v>CUST#100011#3300004289</v>
      </c>
    </row>
    <row r="1550" spans="1:8" x14ac:dyDescent="0.25">
      <c r="E1550" t="str">
        <f>"3300004587"</f>
        <v>3300004587</v>
      </c>
      <c r="F1550" t="str">
        <f>"CUST#100011/INV#3300004587"</f>
        <v>CUST#100011/INV#3300004587</v>
      </c>
      <c r="G1550" s="1">
        <v>3335</v>
      </c>
      <c r="H1550" t="str">
        <f>"CUST#100011/INV#3300004587"</f>
        <v>CUST#100011/INV#3300004587</v>
      </c>
    </row>
    <row r="1551" spans="1:8" x14ac:dyDescent="0.25">
      <c r="A1551" t="s">
        <v>345</v>
      </c>
      <c r="B1551">
        <v>135247</v>
      </c>
      <c r="C1551" s="1">
        <v>921.57</v>
      </c>
      <c r="D1551" s="6">
        <v>44298</v>
      </c>
      <c r="E1551" t="str">
        <f>"T70055"</f>
        <v>T70055</v>
      </c>
      <c r="F1551" t="str">
        <f>"BULL ROCK/PCT#1"</f>
        <v>BULL ROCK/PCT#1</v>
      </c>
      <c r="G1551" s="1">
        <v>86.58</v>
      </c>
      <c r="H1551" t="str">
        <f>"BULL ROCK/PCT#1"</f>
        <v>BULL ROCK/PCT#1</v>
      </c>
    </row>
    <row r="1552" spans="1:8" x14ac:dyDescent="0.25">
      <c r="E1552" t="str">
        <f>"t70137"</f>
        <v>t70137</v>
      </c>
      <c r="F1552" t="str">
        <f>"BULL ROCK/PCT#1"</f>
        <v>BULL ROCK/PCT#1</v>
      </c>
      <c r="G1552" s="1">
        <v>191.88</v>
      </c>
      <c r="H1552" t="str">
        <f>"BULL ROCK/PCT#1"</f>
        <v>BULL ROCK/PCT#1</v>
      </c>
    </row>
    <row r="1553" spans="1:8" x14ac:dyDescent="0.25">
      <c r="E1553" t="str">
        <f>"T70327"</f>
        <v>T70327</v>
      </c>
      <c r="F1553" t="str">
        <f>"BULL ROCK/PCT#1"</f>
        <v>BULL ROCK/PCT#1</v>
      </c>
      <c r="G1553" s="1">
        <v>643.11</v>
      </c>
      <c r="H1553" t="str">
        <f>"BULL ROCK/PCT#1"</f>
        <v>BULL ROCK/PCT#1</v>
      </c>
    </row>
    <row r="1554" spans="1:8" x14ac:dyDescent="0.25">
      <c r="A1554" t="s">
        <v>345</v>
      </c>
      <c r="B1554">
        <v>135407</v>
      </c>
      <c r="C1554" s="1">
        <v>21000.95</v>
      </c>
      <c r="D1554" s="6">
        <v>44312</v>
      </c>
      <c r="E1554" t="str">
        <f>"T71182"</f>
        <v>T71182</v>
      </c>
      <c r="F1554" t="str">
        <f t="shared" ref="F1554:F1560" si="29">"PEA GRAVEL/PCT#4"</f>
        <v>PEA GRAVEL/PCT#4</v>
      </c>
      <c r="G1554" s="1">
        <v>2940.45</v>
      </c>
      <c r="H1554" t="str">
        <f t="shared" ref="H1554:H1560" si="30">"PEA GRAVEL/PCT#4"</f>
        <v>PEA GRAVEL/PCT#4</v>
      </c>
    </row>
    <row r="1555" spans="1:8" x14ac:dyDescent="0.25">
      <c r="E1555" t="str">
        <f>"T71270"</f>
        <v>T71270</v>
      </c>
      <c r="F1555" t="str">
        <f t="shared" si="29"/>
        <v>PEA GRAVEL/PCT#4</v>
      </c>
      <c r="G1555" s="1">
        <v>2300.04</v>
      </c>
      <c r="H1555" t="str">
        <f t="shared" si="30"/>
        <v>PEA GRAVEL/PCT#4</v>
      </c>
    </row>
    <row r="1556" spans="1:8" x14ac:dyDescent="0.25">
      <c r="E1556" t="str">
        <f>"T71362"</f>
        <v>T71362</v>
      </c>
      <c r="F1556" t="str">
        <f t="shared" si="29"/>
        <v>PEA GRAVEL/PCT#4</v>
      </c>
      <c r="G1556" s="1">
        <v>607.26</v>
      </c>
      <c r="H1556" t="str">
        <f t="shared" si="30"/>
        <v>PEA GRAVEL/PCT#4</v>
      </c>
    </row>
    <row r="1557" spans="1:8" x14ac:dyDescent="0.25">
      <c r="E1557" t="str">
        <f>"T71451"</f>
        <v>T71451</v>
      </c>
      <c r="F1557" t="str">
        <f t="shared" si="29"/>
        <v>PEA GRAVEL/PCT#4</v>
      </c>
      <c r="G1557" s="1">
        <v>2100.16</v>
      </c>
      <c r="H1557" t="str">
        <f t="shared" si="30"/>
        <v>PEA GRAVEL/PCT#4</v>
      </c>
    </row>
    <row r="1558" spans="1:8" x14ac:dyDescent="0.25">
      <c r="E1558" t="str">
        <f>"T71701"</f>
        <v>T71701</v>
      </c>
      <c r="F1558" t="str">
        <f t="shared" si="29"/>
        <v>PEA GRAVEL/PCT#4</v>
      </c>
      <c r="G1558" s="1">
        <v>3957.53</v>
      </c>
      <c r="H1558" t="str">
        <f t="shared" si="30"/>
        <v>PEA GRAVEL/PCT#4</v>
      </c>
    </row>
    <row r="1559" spans="1:8" x14ac:dyDescent="0.25">
      <c r="E1559" t="str">
        <f>"T71793"</f>
        <v>T71793</v>
      </c>
      <c r="F1559" t="str">
        <f t="shared" si="29"/>
        <v>PEA GRAVEL/PCT#4</v>
      </c>
      <c r="G1559" s="1">
        <v>4478.8599999999997</v>
      </c>
      <c r="H1559" t="str">
        <f t="shared" si="30"/>
        <v>PEA GRAVEL/PCT#4</v>
      </c>
    </row>
    <row r="1560" spans="1:8" x14ac:dyDescent="0.25">
      <c r="E1560" t="str">
        <f>"T71882"</f>
        <v>T71882</v>
      </c>
      <c r="F1560" t="str">
        <f t="shared" si="29"/>
        <v>PEA GRAVEL/PCT#4</v>
      </c>
      <c r="G1560" s="1">
        <v>4616.6499999999996</v>
      </c>
      <c r="H1560" t="str">
        <f t="shared" si="30"/>
        <v>PEA GRAVEL/PCT#4</v>
      </c>
    </row>
    <row r="1561" spans="1:8" x14ac:dyDescent="0.25">
      <c r="A1561" t="s">
        <v>346</v>
      </c>
      <c r="B1561">
        <v>4254</v>
      </c>
      <c r="C1561" s="1">
        <v>1111.5</v>
      </c>
      <c r="D1561" s="6">
        <v>44299</v>
      </c>
      <c r="E1561" t="str">
        <f>"372527"</f>
        <v>372527</v>
      </c>
      <c r="F1561" t="str">
        <f>"INV 372527/375947/379484."</f>
        <v>INV 372527/375947/379484.</v>
      </c>
      <c r="G1561" s="1">
        <v>1111.5</v>
      </c>
      <c r="H1561" t="str">
        <f>"INV 372527"</f>
        <v>INV 372527</v>
      </c>
    </row>
    <row r="1562" spans="1:8" x14ac:dyDescent="0.25">
      <c r="E1562" t="str">
        <f>""</f>
        <v/>
      </c>
      <c r="F1562" t="str">
        <f>""</f>
        <v/>
      </c>
      <c r="H1562" t="str">
        <f>"INV 375947"</f>
        <v>INV 375947</v>
      </c>
    </row>
    <row r="1563" spans="1:8" x14ac:dyDescent="0.25">
      <c r="E1563" t="str">
        <f>""</f>
        <v/>
      </c>
      <c r="F1563" t="str">
        <f>""</f>
        <v/>
      </c>
      <c r="H1563" t="str">
        <f>"INV 379484"</f>
        <v>INV 379484</v>
      </c>
    </row>
    <row r="1564" spans="1:8" x14ac:dyDescent="0.25">
      <c r="E1564" t="str">
        <f>""</f>
        <v/>
      </c>
      <c r="F1564" t="str">
        <f>""</f>
        <v/>
      </c>
      <c r="H1564" t="str">
        <f>"INV 382951"</f>
        <v>INV 382951</v>
      </c>
    </row>
    <row r="1565" spans="1:8" x14ac:dyDescent="0.25">
      <c r="E1565" t="str">
        <f>""</f>
        <v/>
      </c>
      <c r="F1565" t="str">
        <f>""</f>
        <v/>
      </c>
      <c r="H1565" t="str">
        <f>"INV 384051"</f>
        <v>INV 384051</v>
      </c>
    </row>
    <row r="1566" spans="1:8" x14ac:dyDescent="0.25">
      <c r="E1566" t="str">
        <f>""</f>
        <v/>
      </c>
      <c r="F1566" t="str">
        <f>""</f>
        <v/>
      </c>
      <c r="H1566" t="str">
        <f>"INV 389058"</f>
        <v>INV 389058</v>
      </c>
    </row>
    <row r="1567" spans="1:8" x14ac:dyDescent="0.25">
      <c r="E1567" t="str">
        <f>""</f>
        <v/>
      </c>
      <c r="F1567" t="str">
        <f>""</f>
        <v/>
      </c>
      <c r="H1567" t="str">
        <f>"INV 398285"</f>
        <v>INV 398285</v>
      </c>
    </row>
    <row r="1568" spans="1:8" x14ac:dyDescent="0.25">
      <c r="E1568" t="str">
        <f>""</f>
        <v/>
      </c>
      <c r="F1568" t="str">
        <f>""</f>
        <v/>
      </c>
      <c r="H1568" t="str">
        <f>"INV 419692"</f>
        <v>INV 419692</v>
      </c>
    </row>
    <row r="1569" spans="1:8" x14ac:dyDescent="0.25">
      <c r="E1569" t="str">
        <f>""</f>
        <v/>
      </c>
      <c r="F1569" t="str">
        <f>""</f>
        <v/>
      </c>
      <c r="H1569" t="str">
        <f>"INV 433942"</f>
        <v>INV 433942</v>
      </c>
    </row>
    <row r="1570" spans="1:8" x14ac:dyDescent="0.25">
      <c r="A1570" t="s">
        <v>347</v>
      </c>
      <c r="B1570">
        <v>4325</v>
      </c>
      <c r="C1570" s="1">
        <v>3100</v>
      </c>
      <c r="D1570" s="6">
        <v>44299</v>
      </c>
      <c r="E1570" t="str">
        <f>"202104052393"</f>
        <v>202104052393</v>
      </c>
      <c r="F1570" t="str">
        <f>"JP-121218P"</f>
        <v>JP-121218P</v>
      </c>
      <c r="G1570" s="1">
        <v>400</v>
      </c>
      <c r="H1570" t="str">
        <f>"JP-121218P"</f>
        <v>JP-121218P</v>
      </c>
    </row>
    <row r="1571" spans="1:8" x14ac:dyDescent="0.25">
      <c r="E1571" t="str">
        <f>"202104052394"</f>
        <v>202104052394</v>
      </c>
      <c r="F1571" t="str">
        <f>"CH-2018-0604"</f>
        <v>CH-2018-0604</v>
      </c>
      <c r="G1571" s="1">
        <v>400</v>
      </c>
      <c r="H1571" t="str">
        <f>"CH-2018-0604"</f>
        <v>CH-2018-0604</v>
      </c>
    </row>
    <row r="1572" spans="1:8" x14ac:dyDescent="0.25">
      <c r="E1572" t="str">
        <f>"202104052395"</f>
        <v>202104052395</v>
      </c>
      <c r="F1572" t="str">
        <f>"312282018B"</f>
        <v>312282018B</v>
      </c>
      <c r="G1572" s="1">
        <v>400</v>
      </c>
      <c r="H1572" t="str">
        <f>"312282018B"</f>
        <v>312282018B</v>
      </c>
    </row>
    <row r="1573" spans="1:8" x14ac:dyDescent="0.25">
      <c r="E1573" t="str">
        <f>"202104052396"</f>
        <v>202104052396</v>
      </c>
      <c r="F1573" t="str">
        <f>"02-0109-2"</f>
        <v>02-0109-2</v>
      </c>
      <c r="G1573" s="1">
        <v>400</v>
      </c>
      <c r="H1573" t="str">
        <f>"02-0109-2"</f>
        <v>02-0109-2</v>
      </c>
    </row>
    <row r="1574" spans="1:8" x14ac:dyDescent="0.25">
      <c r="E1574" t="str">
        <f>"202104052398"</f>
        <v>202104052398</v>
      </c>
      <c r="F1574" t="str">
        <f>"BV20191008A"</f>
        <v>BV20191008A</v>
      </c>
      <c r="G1574" s="1">
        <v>400</v>
      </c>
      <c r="H1574" t="str">
        <f>"BV20191008A"</f>
        <v>BV20191008A</v>
      </c>
    </row>
    <row r="1575" spans="1:8" x14ac:dyDescent="0.25">
      <c r="E1575" t="str">
        <f>"202104052399"</f>
        <v>202104052399</v>
      </c>
      <c r="F1575" t="str">
        <f>"02-0526-3"</f>
        <v>02-0526-3</v>
      </c>
      <c r="G1575" s="1">
        <v>400</v>
      </c>
      <c r="H1575" t="str">
        <f>"02-0526-3"</f>
        <v>02-0526-3</v>
      </c>
    </row>
    <row r="1576" spans="1:8" x14ac:dyDescent="0.25">
      <c r="E1576" t="str">
        <f>"202104052404"</f>
        <v>202104052404</v>
      </c>
      <c r="F1576" t="str">
        <f>"17-200"</f>
        <v>17-200</v>
      </c>
      <c r="G1576" s="1">
        <v>300</v>
      </c>
      <c r="H1576" t="str">
        <f>"17-200"</f>
        <v>17-200</v>
      </c>
    </row>
    <row r="1577" spans="1:8" x14ac:dyDescent="0.25">
      <c r="E1577" t="str">
        <f>"202104052405"</f>
        <v>202104052405</v>
      </c>
      <c r="F1577" t="str">
        <f>"17-333"</f>
        <v>17-333</v>
      </c>
      <c r="G1577" s="1">
        <v>400</v>
      </c>
      <c r="H1577" t="str">
        <f>"17-333"</f>
        <v>17-333</v>
      </c>
    </row>
    <row r="1578" spans="1:8" x14ac:dyDescent="0.25">
      <c r="A1578" t="s">
        <v>347</v>
      </c>
      <c r="B1578">
        <v>4396</v>
      </c>
      <c r="C1578" s="1">
        <v>1000</v>
      </c>
      <c r="D1578" s="6">
        <v>44313</v>
      </c>
      <c r="E1578" t="str">
        <f>"202104152643"</f>
        <v>202104152643</v>
      </c>
      <c r="F1578" t="str">
        <f>"17-273"</f>
        <v>17-273</v>
      </c>
      <c r="G1578" s="1">
        <v>400</v>
      </c>
      <c r="H1578" t="str">
        <f>"17-273"</f>
        <v>17-273</v>
      </c>
    </row>
    <row r="1579" spans="1:8" x14ac:dyDescent="0.25">
      <c r="E1579" t="str">
        <f>"202104152675"</f>
        <v>202104152675</v>
      </c>
      <c r="F1579" t="str">
        <f>"18-5-05920/18-5-03933"</f>
        <v>18-5-05920/18-5-03933</v>
      </c>
      <c r="G1579" s="1">
        <v>600</v>
      </c>
      <c r="H1579" t="str">
        <f>"18-5-05920/18-5-03933"</f>
        <v>18-5-05920/18-5-03933</v>
      </c>
    </row>
    <row r="1580" spans="1:8" x14ac:dyDescent="0.25">
      <c r="A1580" t="s">
        <v>348</v>
      </c>
      <c r="B1580">
        <v>135248</v>
      </c>
      <c r="C1580" s="1">
        <v>693</v>
      </c>
      <c r="D1580" s="6">
        <v>44298</v>
      </c>
      <c r="E1580" t="str">
        <f>"020-128470"</f>
        <v>020-128470</v>
      </c>
      <c r="F1580" t="str">
        <f>"ACCT#42161"</f>
        <v>ACCT#42161</v>
      </c>
      <c r="G1580" s="1">
        <v>555</v>
      </c>
      <c r="H1580" t="str">
        <f>"ACCT#42161"</f>
        <v>ACCT#42161</v>
      </c>
    </row>
    <row r="1581" spans="1:8" x14ac:dyDescent="0.25">
      <c r="E1581" t="str">
        <f>"025-323408"</f>
        <v>025-323408</v>
      </c>
      <c r="F1581" t="str">
        <f>"CUST#42161"</f>
        <v>CUST#42161</v>
      </c>
      <c r="G1581" s="1">
        <v>138</v>
      </c>
      <c r="H1581" t="str">
        <f>"CUST#42161"</f>
        <v>CUST#42161</v>
      </c>
    </row>
    <row r="1582" spans="1:8" x14ac:dyDescent="0.25">
      <c r="A1582" t="s">
        <v>348</v>
      </c>
      <c r="B1582">
        <v>135408</v>
      </c>
      <c r="C1582" s="1">
        <v>2966</v>
      </c>
      <c r="D1582" s="6">
        <v>44312</v>
      </c>
      <c r="E1582" t="str">
        <f>"20978"</f>
        <v>20978</v>
      </c>
      <c r="F1582" t="str">
        <f>"Card Reader"</f>
        <v>Card Reader</v>
      </c>
      <c r="G1582" s="1">
        <v>2966</v>
      </c>
      <c r="H1582" t="str">
        <f>"MX 915"</f>
        <v>MX 915</v>
      </c>
    </row>
    <row r="1583" spans="1:8" x14ac:dyDescent="0.25">
      <c r="A1583" t="s">
        <v>349</v>
      </c>
      <c r="B1583">
        <v>4261</v>
      </c>
      <c r="C1583" s="1">
        <v>9765.7800000000007</v>
      </c>
      <c r="D1583" s="6">
        <v>44299</v>
      </c>
      <c r="E1583" t="str">
        <f>"11389222"</f>
        <v>11389222</v>
      </c>
      <c r="F1583" t="str">
        <f>"ACCT#38052/PCT#4"</f>
        <v>ACCT#38052/PCT#4</v>
      </c>
      <c r="G1583" s="1">
        <v>855.29</v>
      </c>
      <c r="H1583" t="str">
        <f>"ACCT#38052/PCT#4"</f>
        <v>ACCT#38052/PCT#4</v>
      </c>
    </row>
    <row r="1584" spans="1:8" x14ac:dyDescent="0.25">
      <c r="E1584" t="str">
        <f>"11389231"</f>
        <v>11389231</v>
      </c>
      <c r="F1584" t="str">
        <f>"ACCT#38052/PCT#4"</f>
        <v>ACCT#38052/PCT#4</v>
      </c>
      <c r="G1584" s="1">
        <v>1319.47</v>
      </c>
      <c r="H1584" t="str">
        <f>"ACCT#38052/PCT#4"</f>
        <v>ACCT#38052/PCT#4</v>
      </c>
    </row>
    <row r="1585" spans="1:8" x14ac:dyDescent="0.25">
      <c r="E1585" t="str">
        <f>"11389259"</f>
        <v>11389259</v>
      </c>
      <c r="F1585" t="str">
        <f>"ACCT#38049/PCT#4"</f>
        <v>ACCT#38049/PCT#4</v>
      </c>
      <c r="G1585" s="1">
        <v>193.41</v>
      </c>
      <c r="H1585" t="str">
        <f>"ACCT#38049/PCT#4"</f>
        <v>ACCT#38049/PCT#4</v>
      </c>
    </row>
    <row r="1586" spans="1:8" x14ac:dyDescent="0.25">
      <c r="E1586" t="str">
        <f>"11389262"</f>
        <v>11389262</v>
      </c>
      <c r="F1586" t="str">
        <f>"ACCT#38049/PCT#4"</f>
        <v>ACCT#38049/PCT#4</v>
      </c>
      <c r="G1586" s="1">
        <v>7397.61</v>
      </c>
      <c r="H1586" t="str">
        <f>"ACCT#38049/PCT#4"</f>
        <v>ACCT#38049/PCT#4</v>
      </c>
    </row>
    <row r="1587" spans="1:8" x14ac:dyDescent="0.25">
      <c r="A1587" t="s">
        <v>349</v>
      </c>
      <c r="B1587">
        <v>4338</v>
      </c>
      <c r="C1587" s="1">
        <v>293.45</v>
      </c>
      <c r="D1587" s="6">
        <v>44313</v>
      </c>
      <c r="E1587" t="str">
        <f>"997224"</f>
        <v>997224</v>
      </c>
      <c r="F1587" t="str">
        <f>"ACCT#38049/PCT#4"</f>
        <v>ACCT#38049/PCT#4</v>
      </c>
      <c r="G1587" s="1">
        <v>293.45</v>
      </c>
      <c r="H1587" t="str">
        <f>"ACCT#38049/PCT#4"</f>
        <v>ACCT#38049/PCT#4</v>
      </c>
    </row>
    <row r="1588" spans="1:8" x14ac:dyDescent="0.25">
      <c r="A1588" t="s">
        <v>350</v>
      </c>
      <c r="B1588">
        <v>135249</v>
      </c>
      <c r="C1588" s="1">
        <v>948</v>
      </c>
      <c r="D1588" s="6">
        <v>44298</v>
      </c>
      <c r="E1588" t="str">
        <f>"0045481"</f>
        <v>0045481</v>
      </c>
      <c r="F1588" t="str">
        <f>"INV 0045481"</f>
        <v>INV 0045481</v>
      </c>
      <c r="G1588" s="1">
        <v>948</v>
      </c>
      <c r="H1588" t="str">
        <f>"INV 0045481"</f>
        <v>INV 0045481</v>
      </c>
    </row>
    <row r="1589" spans="1:8" x14ac:dyDescent="0.25">
      <c r="A1589" t="s">
        <v>350</v>
      </c>
      <c r="B1589">
        <v>135409</v>
      </c>
      <c r="C1589" s="1">
        <v>245.25</v>
      </c>
      <c r="D1589" s="6">
        <v>44312</v>
      </c>
      <c r="E1589" t="str">
        <f>"046705"</f>
        <v>046705</v>
      </c>
      <c r="F1589" t="str">
        <f>"INV 046705"</f>
        <v>INV 046705</v>
      </c>
      <c r="G1589" s="1">
        <v>245.25</v>
      </c>
      <c r="H1589" t="str">
        <f>"INV 046705"</f>
        <v>INV 046705</v>
      </c>
    </row>
    <row r="1590" spans="1:8" x14ac:dyDescent="0.25">
      <c r="A1590" t="s">
        <v>351</v>
      </c>
      <c r="B1590">
        <v>135410</v>
      </c>
      <c r="C1590" s="1">
        <v>237.9</v>
      </c>
      <c r="D1590" s="6">
        <v>44312</v>
      </c>
      <c r="E1590" t="str">
        <f>"2013169"</f>
        <v>2013169</v>
      </c>
      <c r="F1590" t="str">
        <f>"ACCT#17460002268-003"</f>
        <v>ACCT#17460002268-003</v>
      </c>
      <c r="G1590" s="1">
        <v>237.9</v>
      </c>
      <c r="H1590" t="str">
        <f>"ACCT#17460002268-003"</f>
        <v>ACCT#17460002268-003</v>
      </c>
    </row>
    <row r="1591" spans="1:8" x14ac:dyDescent="0.25">
      <c r="A1591" t="s">
        <v>352</v>
      </c>
      <c r="B1591">
        <v>4356</v>
      </c>
      <c r="C1591" s="1">
        <v>850</v>
      </c>
      <c r="D1591" s="6">
        <v>44313</v>
      </c>
      <c r="E1591" t="str">
        <f>"16561"</f>
        <v>16561</v>
      </c>
      <c r="F1591" t="str">
        <f>"COMPETENCY EVAL-TOMMY MARTINEZ"</f>
        <v>COMPETENCY EVAL-TOMMY MARTINEZ</v>
      </c>
      <c r="G1591" s="1">
        <v>850</v>
      </c>
      <c r="H1591" t="str">
        <f>"COMPETENCY EVAL-TOMMY MARTINEZ"</f>
        <v>COMPETENCY EVAL-TOMMY MARTINEZ</v>
      </c>
    </row>
    <row r="1592" spans="1:8" x14ac:dyDescent="0.25">
      <c r="A1592" t="s">
        <v>353</v>
      </c>
      <c r="B1592">
        <v>135411</v>
      </c>
      <c r="C1592" s="1">
        <v>1151.94</v>
      </c>
      <c r="D1592" s="6">
        <v>44312</v>
      </c>
      <c r="E1592" t="str">
        <f>"202104202775"</f>
        <v>202104202775</v>
      </c>
      <c r="F1592" t="str">
        <f>"INV 974661"</f>
        <v>INV 974661</v>
      </c>
      <c r="G1592" s="1">
        <v>1151.94</v>
      </c>
      <c r="H1592" t="str">
        <f>"INV 974661"</f>
        <v>INV 974661</v>
      </c>
    </row>
    <row r="1593" spans="1:8" x14ac:dyDescent="0.25">
      <c r="A1593" t="s">
        <v>354</v>
      </c>
      <c r="B1593">
        <v>4289</v>
      </c>
      <c r="C1593" s="1">
        <v>37110.32</v>
      </c>
      <c r="D1593" s="6">
        <v>44299</v>
      </c>
      <c r="E1593" t="str">
        <f>"8693959212113"</f>
        <v>8693959212113</v>
      </c>
      <c r="F1593" t="str">
        <f>"Statement"</f>
        <v>Statement</v>
      </c>
      <c r="G1593" s="1">
        <v>37110.32</v>
      </c>
      <c r="H1593" t="str">
        <f>"rebate"</f>
        <v>rebate</v>
      </c>
    </row>
    <row r="1594" spans="1:8" x14ac:dyDescent="0.25">
      <c r="E1594" t="str">
        <f>""</f>
        <v/>
      </c>
      <c r="F1594" t="str">
        <f>""</f>
        <v/>
      </c>
      <c r="H1594" t="str">
        <f>"fuel"</f>
        <v>fuel</v>
      </c>
    </row>
    <row r="1595" spans="1:8" x14ac:dyDescent="0.25">
      <c r="E1595" t="str">
        <f>""</f>
        <v/>
      </c>
      <c r="F1595" t="str">
        <f>""</f>
        <v/>
      </c>
      <c r="H1595" t="str">
        <f>"tax"</f>
        <v>tax</v>
      </c>
    </row>
    <row r="1596" spans="1:8" x14ac:dyDescent="0.25">
      <c r="E1596" t="str">
        <f>""</f>
        <v/>
      </c>
      <c r="F1596" t="str">
        <f>""</f>
        <v/>
      </c>
      <c r="H1596" t="str">
        <f>"fuel"</f>
        <v>fuel</v>
      </c>
    </row>
    <row r="1597" spans="1:8" x14ac:dyDescent="0.25">
      <c r="E1597" t="str">
        <f>""</f>
        <v/>
      </c>
      <c r="F1597" t="str">
        <f>""</f>
        <v/>
      </c>
      <c r="H1597" t="str">
        <f>"tax"</f>
        <v>tax</v>
      </c>
    </row>
    <row r="1598" spans="1:8" x14ac:dyDescent="0.25">
      <c r="E1598" t="str">
        <f>""</f>
        <v/>
      </c>
      <c r="F1598" t="str">
        <f>""</f>
        <v/>
      </c>
      <c r="H1598" t="str">
        <f>"fuel"</f>
        <v>fuel</v>
      </c>
    </row>
    <row r="1599" spans="1:8" x14ac:dyDescent="0.25">
      <c r="E1599" t="str">
        <f>""</f>
        <v/>
      </c>
      <c r="F1599" t="str">
        <f>""</f>
        <v/>
      </c>
      <c r="H1599" t="str">
        <f>"tax"</f>
        <v>tax</v>
      </c>
    </row>
    <row r="1600" spans="1:8" x14ac:dyDescent="0.25">
      <c r="E1600" t="str">
        <f>""</f>
        <v/>
      </c>
      <c r="F1600" t="str">
        <f>""</f>
        <v/>
      </c>
      <c r="H1600" t="str">
        <f>"maintenance"</f>
        <v>maintenance</v>
      </c>
    </row>
    <row r="1601" spans="5:8" x14ac:dyDescent="0.25">
      <c r="E1601" t="str">
        <f>""</f>
        <v/>
      </c>
      <c r="F1601" t="str">
        <f>""</f>
        <v/>
      </c>
      <c r="H1601" t="str">
        <f>"fuel"</f>
        <v>fuel</v>
      </c>
    </row>
    <row r="1602" spans="5:8" x14ac:dyDescent="0.25">
      <c r="E1602" t="str">
        <f>""</f>
        <v/>
      </c>
      <c r="F1602" t="str">
        <f>""</f>
        <v/>
      </c>
      <c r="H1602" t="str">
        <f>"tax"</f>
        <v>tax</v>
      </c>
    </row>
    <row r="1603" spans="5:8" x14ac:dyDescent="0.25">
      <c r="E1603" t="str">
        <f>""</f>
        <v/>
      </c>
      <c r="F1603" t="str">
        <f>""</f>
        <v/>
      </c>
      <c r="H1603" t="str">
        <f>"fuel"</f>
        <v>fuel</v>
      </c>
    </row>
    <row r="1604" spans="5:8" x14ac:dyDescent="0.25">
      <c r="E1604" t="str">
        <f>""</f>
        <v/>
      </c>
      <c r="F1604" t="str">
        <f>""</f>
        <v/>
      </c>
      <c r="H1604" t="str">
        <f>"tax"</f>
        <v>tax</v>
      </c>
    </row>
    <row r="1605" spans="5:8" x14ac:dyDescent="0.25">
      <c r="E1605" t="str">
        <f>""</f>
        <v/>
      </c>
      <c r="F1605" t="str">
        <f>""</f>
        <v/>
      </c>
      <c r="H1605" t="str">
        <f>"maintenance"</f>
        <v>maintenance</v>
      </c>
    </row>
    <row r="1606" spans="5:8" x14ac:dyDescent="0.25">
      <c r="E1606" t="str">
        <f>""</f>
        <v/>
      </c>
      <c r="F1606" t="str">
        <f>""</f>
        <v/>
      </c>
      <c r="H1606" t="str">
        <f>"fuel"</f>
        <v>fuel</v>
      </c>
    </row>
    <row r="1607" spans="5:8" x14ac:dyDescent="0.25">
      <c r="E1607" t="str">
        <f>""</f>
        <v/>
      </c>
      <c r="F1607" t="str">
        <f>""</f>
        <v/>
      </c>
      <c r="H1607" t="str">
        <f>"maintenance"</f>
        <v>maintenance</v>
      </c>
    </row>
    <row r="1608" spans="5:8" x14ac:dyDescent="0.25">
      <c r="E1608" t="str">
        <f>""</f>
        <v/>
      </c>
      <c r="F1608" t="str">
        <f>""</f>
        <v/>
      </c>
      <c r="H1608" t="str">
        <f>"fuel"</f>
        <v>fuel</v>
      </c>
    </row>
    <row r="1609" spans="5:8" x14ac:dyDescent="0.25">
      <c r="E1609" t="str">
        <f>""</f>
        <v/>
      </c>
      <c r="F1609" t="str">
        <f>""</f>
        <v/>
      </c>
      <c r="H1609" t="str">
        <f>"tax"</f>
        <v>tax</v>
      </c>
    </row>
    <row r="1610" spans="5:8" x14ac:dyDescent="0.25">
      <c r="E1610" t="str">
        <f>""</f>
        <v/>
      </c>
      <c r="F1610" t="str">
        <f>""</f>
        <v/>
      </c>
      <c r="H1610" t="str">
        <f>"maintenance"</f>
        <v>maintenance</v>
      </c>
    </row>
    <row r="1611" spans="5:8" x14ac:dyDescent="0.25">
      <c r="E1611" t="str">
        <f>""</f>
        <v/>
      </c>
      <c r="F1611" t="str">
        <f>""</f>
        <v/>
      </c>
      <c r="H1611" t="str">
        <f>"fuel"</f>
        <v>fuel</v>
      </c>
    </row>
    <row r="1612" spans="5:8" x14ac:dyDescent="0.25">
      <c r="E1612" t="str">
        <f>""</f>
        <v/>
      </c>
      <c r="F1612" t="str">
        <f>""</f>
        <v/>
      </c>
      <c r="H1612" t="str">
        <f>"tax"</f>
        <v>tax</v>
      </c>
    </row>
    <row r="1613" spans="5:8" x14ac:dyDescent="0.25">
      <c r="E1613" t="str">
        <f>""</f>
        <v/>
      </c>
      <c r="F1613" t="str">
        <f>""</f>
        <v/>
      </c>
      <c r="H1613" t="str">
        <f>"maintenance"</f>
        <v>maintenance</v>
      </c>
    </row>
    <row r="1614" spans="5:8" x14ac:dyDescent="0.25">
      <c r="E1614" t="str">
        <f>""</f>
        <v/>
      </c>
      <c r="F1614" t="str">
        <f>""</f>
        <v/>
      </c>
      <c r="H1614" t="str">
        <f>"fuel"</f>
        <v>fuel</v>
      </c>
    </row>
    <row r="1615" spans="5:8" x14ac:dyDescent="0.25">
      <c r="E1615" t="str">
        <f>""</f>
        <v/>
      </c>
      <c r="F1615" t="str">
        <f>""</f>
        <v/>
      </c>
      <c r="H1615" t="str">
        <f>"tax"</f>
        <v>tax</v>
      </c>
    </row>
    <row r="1616" spans="5:8" x14ac:dyDescent="0.25">
      <c r="E1616" t="str">
        <f>""</f>
        <v/>
      </c>
      <c r="F1616" t="str">
        <f>""</f>
        <v/>
      </c>
      <c r="H1616" t="str">
        <f>"fuel"</f>
        <v>fuel</v>
      </c>
    </row>
    <row r="1617" spans="1:8" x14ac:dyDescent="0.25">
      <c r="E1617" t="str">
        <f>""</f>
        <v/>
      </c>
      <c r="F1617" t="str">
        <f>""</f>
        <v/>
      </c>
      <c r="H1617" t="str">
        <f>"tax"</f>
        <v>tax</v>
      </c>
    </row>
    <row r="1618" spans="1:8" x14ac:dyDescent="0.25">
      <c r="E1618" t="str">
        <f>""</f>
        <v/>
      </c>
      <c r="F1618" t="str">
        <f>""</f>
        <v/>
      </c>
      <c r="H1618" t="str">
        <f>"maintenance"</f>
        <v>maintenance</v>
      </c>
    </row>
    <row r="1619" spans="1:8" x14ac:dyDescent="0.25">
      <c r="E1619" t="str">
        <f>""</f>
        <v/>
      </c>
      <c r="F1619" t="str">
        <f>""</f>
        <v/>
      </c>
      <c r="H1619" t="str">
        <f>"maintenance"</f>
        <v>maintenance</v>
      </c>
    </row>
    <row r="1620" spans="1:8" x14ac:dyDescent="0.25">
      <c r="E1620" t="str">
        <f>""</f>
        <v/>
      </c>
      <c r="F1620" t="str">
        <f>""</f>
        <v/>
      </c>
      <c r="H1620" t="str">
        <f>"fuel"</f>
        <v>fuel</v>
      </c>
    </row>
    <row r="1621" spans="1:8" x14ac:dyDescent="0.25">
      <c r="E1621" t="str">
        <f>""</f>
        <v/>
      </c>
      <c r="F1621" t="str">
        <f>""</f>
        <v/>
      </c>
      <c r="H1621" t="str">
        <f>"tax"</f>
        <v>tax</v>
      </c>
    </row>
    <row r="1622" spans="1:8" x14ac:dyDescent="0.25">
      <c r="A1622" t="s">
        <v>355</v>
      </c>
      <c r="B1622">
        <v>135250</v>
      </c>
      <c r="C1622" s="1">
        <v>90</v>
      </c>
      <c r="D1622" s="6">
        <v>44298</v>
      </c>
      <c r="E1622" t="str">
        <f>"10405717"</f>
        <v>10405717</v>
      </c>
      <c r="F1622" t="str">
        <f>"ACCT#00010699-4/PCT#3"</f>
        <v>ACCT#00010699-4/PCT#3</v>
      </c>
      <c r="G1622" s="1">
        <v>90</v>
      </c>
      <c r="H1622" t="str">
        <f>"ACCT#00010699-4/PCT#3"</f>
        <v>ACCT#00010699-4/PCT#3</v>
      </c>
    </row>
    <row r="1623" spans="1:8" x14ac:dyDescent="0.25">
      <c r="A1623" t="s">
        <v>356</v>
      </c>
      <c r="B1623">
        <v>135412</v>
      </c>
      <c r="C1623" s="1">
        <v>104.4</v>
      </c>
      <c r="D1623" s="6">
        <v>44312</v>
      </c>
      <c r="E1623" t="str">
        <f>"0321-DR14926"</f>
        <v>0321-DR14926</v>
      </c>
      <c r="F1623" t="str">
        <f>"ACCT#1892548668"</f>
        <v>ACCT#1892548668</v>
      </c>
      <c r="G1623" s="1">
        <v>104.4</v>
      </c>
      <c r="H1623" t="str">
        <f>"ACCT#1892548668"</f>
        <v>ACCT#1892548668</v>
      </c>
    </row>
    <row r="1624" spans="1:8" x14ac:dyDescent="0.25">
      <c r="A1624" t="s">
        <v>357</v>
      </c>
      <c r="B1624">
        <v>4271</v>
      </c>
      <c r="C1624" s="1">
        <v>12646.22</v>
      </c>
      <c r="D1624" s="6">
        <v>44299</v>
      </c>
      <c r="E1624" t="str">
        <f>"20417"</f>
        <v>20417</v>
      </c>
      <c r="F1624" t="str">
        <f>"COLD MIX AND FRIEGHT/PCT#4"</f>
        <v>COLD MIX AND FRIEGHT/PCT#4</v>
      </c>
      <c r="G1624" s="1">
        <v>2472.6</v>
      </c>
      <c r="H1624" t="str">
        <f>"COLD MIX AND FRIEGHT/PCT#4"</f>
        <v>COLD MIX AND FRIEGHT/PCT#4</v>
      </c>
    </row>
    <row r="1625" spans="1:8" x14ac:dyDescent="0.25">
      <c r="E1625" t="str">
        <f>"20445"</f>
        <v>20445</v>
      </c>
      <c r="F1625" t="str">
        <f>"COLD MIX AND FRIEGHT/PCT#4"</f>
        <v>COLD MIX AND FRIEGHT/PCT#4</v>
      </c>
      <c r="G1625" s="1">
        <v>2530.59</v>
      </c>
      <c r="H1625" t="str">
        <f>"COLD MIX AND FRIEGHT/PCT#4"</f>
        <v>COLD MIX AND FRIEGHT/PCT#4</v>
      </c>
    </row>
    <row r="1626" spans="1:8" x14ac:dyDescent="0.25">
      <c r="E1626" t="str">
        <f>"20499"</f>
        <v>20499</v>
      </c>
      <c r="F1626" t="str">
        <f>"COLD MIX/FRIGHT/PCT#4"</f>
        <v>COLD MIX/FRIGHT/PCT#4</v>
      </c>
      <c r="G1626" s="1">
        <v>2574.81</v>
      </c>
      <c r="H1626" t="str">
        <f>"COLD MIX/FRIGHT/PCT#4"</f>
        <v>COLD MIX/FRIGHT/PCT#4</v>
      </c>
    </row>
    <row r="1627" spans="1:8" x14ac:dyDescent="0.25">
      <c r="E1627" t="str">
        <f>"20533"</f>
        <v>20533</v>
      </c>
      <c r="F1627" t="str">
        <f>"COLD MIX/PCT#4"</f>
        <v>COLD MIX/PCT#4</v>
      </c>
      <c r="G1627" s="1">
        <v>2510.4899999999998</v>
      </c>
      <c r="H1627" t="str">
        <f>"COLD MIX/PCT#4"</f>
        <v>COLD MIX/PCT#4</v>
      </c>
    </row>
    <row r="1628" spans="1:8" x14ac:dyDescent="0.25">
      <c r="E1628" t="str">
        <f>"20542"</f>
        <v>20542</v>
      </c>
      <c r="F1628" t="str">
        <f>"COLD MIX/PCT#4"</f>
        <v>COLD MIX/PCT#4</v>
      </c>
      <c r="G1628" s="1">
        <v>2557.73</v>
      </c>
      <c r="H1628" t="str">
        <f>"COLD MIX/PCT#4"</f>
        <v>COLD MIX/PCT#4</v>
      </c>
    </row>
    <row r="1629" spans="1:8" x14ac:dyDescent="0.25">
      <c r="A1629" t="s">
        <v>357</v>
      </c>
      <c r="B1629">
        <v>4346</v>
      </c>
      <c r="C1629" s="1">
        <v>5104.3999999999996</v>
      </c>
      <c r="D1629" s="6">
        <v>44313</v>
      </c>
      <c r="E1629" t="str">
        <f>"20601"</f>
        <v>20601</v>
      </c>
      <c r="F1629" t="str">
        <f>"COLD MIX/PCT#4"</f>
        <v>COLD MIX/PCT#4</v>
      </c>
      <c r="G1629" s="1">
        <v>2597.9299999999998</v>
      </c>
      <c r="H1629" t="str">
        <f>"COLD MIX/PCT#4"</f>
        <v>COLD MIX/PCT#4</v>
      </c>
    </row>
    <row r="1630" spans="1:8" x14ac:dyDescent="0.25">
      <c r="E1630" t="str">
        <f>"20631"</f>
        <v>20631</v>
      </c>
      <c r="F1630" t="str">
        <f>"COLD MIX/PCT#4"</f>
        <v>COLD MIX/PCT#4</v>
      </c>
      <c r="G1630" s="1">
        <v>2506.4699999999998</v>
      </c>
      <c r="H1630" t="str">
        <f>"COLD MIX/PCT#4"</f>
        <v>COLD MIX/PCT#4</v>
      </c>
    </row>
    <row r="1631" spans="1:8" x14ac:dyDescent="0.25">
      <c r="A1631" t="s">
        <v>358</v>
      </c>
      <c r="B1631">
        <v>135271</v>
      </c>
      <c r="C1631" s="1">
        <v>12318.39</v>
      </c>
      <c r="D1631" s="6">
        <v>44299</v>
      </c>
      <c r="E1631" t="str">
        <f>"11080010"</f>
        <v>11080010</v>
      </c>
      <c r="F1631" t="str">
        <f>"ACCT#5150-005117630/04012021"</f>
        <v>ACCT#5150-005117630/04012021</v>
      </c>
      <c r="G1631" s="1">
        <v>262.81</v>
      </c>
      <c r="H1631" t="str">
        <f>"WASTE CONNECTIONS LONE STAR. I"</f>
        <v>WASTE CONNECTIONS LONE STAR. I</v>
      </c>
    </row>
    <row r="1632" spans="1:8" x14ac:dyDescent="0.25">
      <c r="E1632" t="str">
        <f>"11080021"</f>
        <v>11080021</v>
      </c>
      <c r="F1632" t="str">
        <f>"ACCT#5150-005117838/04012021"</f>
        <v>ACCT#5150-005117838/04012021</v>
      </c>
      <c r="G1632" s="1">
        <v>106.76</v>
      </c>
      <c r="H1632" t="str">
        <f>"WASTE CONNECTIONS LONE STAR. I"</f>
        <v>WASTE CONNECTIONS LONE STAR. I</v>
      </c>
    </row>
    <row r="1633" spans="1:8" x14ac:dyDescent="0.25">
      <c r="E1633" t="str">
        <f>"11080023"</f>
        <v>11080023</v>
      </c>
      <c r="F1633" t="str">
        <f>"ACCT#5150-005117882/04012021"</f>
        <v>ACCT#5150-005117882/04012021</v>
      </c>
      <c r="G1633" s="1">
        <v>144.19</v>
      </c>
      <c r="H1633" t="str">
        <f>"WASTE CONNECTIONS LONE STAR. I"</f>
        <v>WASTE CONNECTIONS LONE STAR. I</v>
      </c>
    </row>
    <row r="1634" spans="1:8" x14ac:dyDescent="0.25">
      <c r="E1634" t="str">
        <f>"11080031"</f>
        <v>11080031</v>
      </c>
      <c r="F1634" t="str">
        <f>"ACCT#5150-005118183/04012021"</f>
        <v>ACCT#5150-005118183/04012021</v>
      </c>
      <c r="G1634" s="1">
        <v>618.96</v>
      </c>
      <c r="H1634" t="str">
        <f>"ACCT#5150-005118183/04012021"</f>
        <v>ACCT#5150-005118183/04012021</v>
      </c>
    </row>
    <row r="1635" spans="1:8" x14ac:dyDescent="0.25">
      <c r="E1635" t="str">
        <f>"11080059"</f>
        <v>11080059</v>
      </c>
      <c r="F1635" t="str">
        <f>"ACCT#5150-005129483/04012021"</f>
        <v>ACCT#5150-005129483/04012021</v>
      </c>
      <c r="G1635" s="1">
        <v>11048.3</v>
      </c>
      <c r="H1635" t="str">
        <f>"WASTE CONNECTIONS LONE STAR. I"</f>
        <v>WASTE CONNECTIONS LONE STAR. I</v>
      </c>
    </row>
    <row r="1636" spans="1:8" x14ac:dyDescent="0.25">
      <c r="E1636" t="str">
        <f>"11084130"</f>
        <v>11084130</v>
      </c>
      <c r="F1636" t="str">
        <f>"ACCT#5150-16203415/04012021"</f>
        <v>ACCT#5150-16203415/04012021</v>
      </c>
      <c r="G1636" s="1">
        <v>108.48</v>
      </c>
      <c r="H1636" t="str">
        <f>"WASTE CONNECTIONS LONE STAR. I"</f>
        <v>WASTE CONNECTIONS LONE STAR. I</v>
      </c>
    </row>
    <row r="1637" spans="1:8" x14ac:dyDescent="0.25">
      <c r="E1637" t="str">
        <f>"11084131"</f>
        <v>11084131</v>
      </c>
      <c r="F1637" t="str">
        <f>"ACCT#5150-16203417/04012021"</f>
        <v>ACCT#5150-16203417/04012021</v>
      </c>
      <c r="G1637" s="1">
        <v>28.89</v>
      </c>
      <c r="H1637" t="str">
        <f>"WASTE CONNECTIONS LONE STAR. I"</f>
        <v>WASTE CONNECTIONS LONE STAR. I</v>
      </c>
    </row>
    <row r="1638" spans="1:8" x14ac:dyDescent="0.25">
      <c r="A1638" t="s">
        <v>359</v>
      </c>
      <c r="B1638">
        <v>135251</v>
      </c>
      <c r="C1638" s="1">
        <v>7491.16</v>
      </c>
      <c r="D1638" s="6">
        <v>44298</v>
      </c>
      <c r="E1638" t="str">
        <f>"0031354-2161-2"</f>
        <v>0031354-2161-2</v>
      </c>
      <c r="F1638" t="str">
        <f>"ACCT#2-57060-55062/PCT#4"</f>
        <v>ACCT#2-57060-55062/PCT#4</v>
      </c>
      <c r="G1638" s="1">
        <v>6083.98</v>
      </c>
      <c r="H1638" t="str">
        <f>"ACCT#2-57060-55062/PCT#4"</f>
        <v>ACCT#2-57060-55062/PCT#4</v>
      </c>
    </row>
    <row r="1639" spans="1:8" x14ac:dyDescent="0.25">
      <c r="E1639" t="str">
        <f>"0113404-2161-6"</f>
        <v>0113404-2161-6</v>
      </c>
      <c r="F1639" t="str">
        <f>"ACCT#2-56581-95066/ANIMAL SHEL"</f>
        <v>ACCT#2-56581-95066/ANIMAL SHEL</v>
      </c>
      <c r="G1639" s="1">
        <v>905.28</v>
      </c>
      <c r="H1639" t="str">
        <f>"ACCT#2-56581-95066/ANIMAL SHEL"</f>
        <v>ACCT#2-56581-95066/ANIMAL SHEL</v>
      </c>
    </row>
    <row r="1640" spans="1:8" x14ac:dyDescent="0.25">
      <c r="E1640" t="str">
        <f>"6712383-2161-4"</f>
        <v>6712383-2161-4</v>
      </c>
      <c r="F1640" t="str">
        <f>"ACCT#23-90244-23005/PCT#4"</f>
        <v>ACCT#23-90244-23005/PCT#4</v>
      </c>
      <c r="G1640" s="1">
        <v>501.9</v>
      </c>
      <c r="H1640" t="str">
        <f>"ACCT#23-90244-23005/PCT#4"</f>
        <v>ACCT#23-90244-23005/PCT#4</v>
      </c>
    </row>
    <row r="1641" spans="1:8" x14ac:dyDescent="0.25">
      <c r="A1641" t="s">
        <v>359</v>
      </c>
      <c r="B1641">
        <v>135413</v>
      </c>
      <c r="C1641" s="1">
        <v>246.73</v>
      </c>
      <c r="D1641" s="6">
        <v>44312</v>
      </c>
      <c r="E1641" t="str">
        <f>"0042494-2162-1"</f>
        <v>0042494-2162-1</v>
      </c>
      <c r="F1641" t="str">
        <f>"CUST#16-27603-83003/AMINAL SHE"</f>
        <v>CUST#16-27603-83003/AMINAL SHE</v>
      </c>
      <c r="G1641" s="1">
        <v>246.73</v>
      </c>
      <c r="H1641" t="str">
        <f>"CUST#16-27603-83003/AMINAL SHE"</f>
        <v>CUST#16-27603-83003/AMINAL SHE</v>
      </c>
    </row>
    <row r="1642" spans="1:8" x14ac:dyDescent="0.25">
      <c r="A1642" t="s">
        <v>360</v>
      </c>
      <c r="B1642">
        <v>135414</v>
      </c>
      <c r="C1642" s="1">
        <v>612</v>
      </c>
      <c r="D1642" s="6">
        <v>44312</v>
      </c>
      <c r="E1642" t="str">
        <f>"202104202777"</f>
        <v>202104202777</v>
      </c>
      <c r="F1642" t="str">
        <f>"quote for VIS-SHR-CLP-100"</f>
        <v>quote for VIS-SHR-CLP-100</v>
      </c>
      <c r="G1642" s="1">
        <v>612</v>
      </c>
      <c r="H1642" t="str">
        <f>"quote for VIS-SHR-CLP-100"</f>
        <v>quote for VIS-SHR-CLP-100</v>
      </c>
    </row>
    <row r="1643" spans="1:8" x14ac:dyDescent="0.25">
      <c r="E1643" t="str">
        <f>""</f>
        <v/>
      </c>
      <c r="F1643" t="str">
        <f>""</f>
        <v/>
      </c>
      <c r="H1643" t="str">
        <f>"SHIPPING"</f>
        <v>SHIPPING</v>
      </c>
    </row>
    <row r="1644" spans="1:8" x14ac:dyDescent="0.25">
      <c r="A1644" t="s">
        <v>361</v>
      </c>
      <c r="B1644">
        <v>135252</v>
      </c>
      <c r="C1644" s="1">
        <v>77.11</v>
      </c>
      <c r="D1644" s="6">
        <v>44298</v>
      </c>
      <c r="E1644" t="str">
        <f>"202103242313"</f>
        <v>202103242313</v>
      </c>
      <c r="F1644" t="str">
        <f>"AMMO REIMBURSEMENT/WAYNE WOOD"</f>
        <v>AMMO REIMBURSEMENT/WAYNE WOOD</v>
      </c>
      <c r="G1644" s="1">
        <v>77.11</v>
      </c>
      <c r="H1644" t="str">
        <f>"AMMO REIMBURSEMENT/WAYNE WOOD"</f>
        <v>AMMO REIMBURSEMENT/WAYNE WOOD</v>
      </c>
    </row>
    <row r="1645" spans="1:8" x14ac:dyDescent="0.25">
      <c r="A1645" t="s">
        <v>362</v>
      </c>
      <c r="B1645">
        <v>135415</v>
      </c>
      <c r="C1645" s="1">
        <v>100</v>
      </c>
      <c r="D1645" s="6">
        <v>44312</v>
      </c>
      <c r="E1645" t="str">
        <f>"10-738"</f>
        <v>10-738</v>
      </c>
      <c r="F1645" t="str">
        <f>"RESTITUTION/ROEL FLORES JR."</f>
        <v>RESTITUTION/ROEL FLORES JR.</v>
      </c>
      <c r="G1645" s="1">
        <v>100</v>
      </c>
      <c r="H1645" t="str">
        <f>"RESTITUTION/ROEL FLORES JR."</f>
        <v>RESTITUTION/ROEL FLORES JR.</v>
      </c>
    </row>
    <row r="1646" spans="1:8" x14ac:dyDescent="0.25">
      <c r="A1646" t="s">
        <v>363</v>
      </c>
      <c r="B1646">
        <v>135416</v>
      </c>
      <c r="C1646" s="1">
        <v>100</v>
      </c>
      <c r="D1646" s="6">
        <v>44312</v>
      </c>
      <c r="E1646" t="str">
        <f>"202104192741"</f>
        <v>202104192741</v>
      </c>
      <c r="F1646" t="str">
        <f>"RESTITUTION/COY FERRIS"</f>
        <v>RESTITUTION/COY FERRIS</v>
      </c>
      <c r="G1646" s="1">
        <v>100</v>
      </c>
      <c r="H1646" t="str">
        <f>"RESTITUTION/COY FERRIS"</f>
        <v>RESTITUTION/COY FERRIS</v>
      </c>
    </row>
    <row r="1647" spans="1:8" x14ac:dyDescent="0.25">
      <c r="A1647" t="s">
        <v>364</v>
      </c>
      <c r="B1647">
        <v>135417</v>
      </c>
      <c r="C1647" s="1">
        <v>250</v>
      </c>
      <c r="D1647" s="6">
        <v>44312</v>
      </c>
      <c r="E1647" t="str">
        <f>"202104152669"</f>
        <v>202104152669</v>
      </c>
      <c r="F1647" t="str">
        <f>"INTERPRETATION/OLIVIA PENA"</f>
        <v>INTERPRETATION/OLIVIA PENA</v>
      </c>
      <c r="G1647" s="1">
        <v>250</v>
      </c>
      <c r="H1647" t="str">
        <f>"INTERPRETATION/OLIVIA PENA"</f>
        <v>INTERPRETATION/OLIVIA PENA</v>
      </c>
    </row>
    <row r="1648" spans="1:8" x14ac:dyDescent="0.25">
      <c r="A1648" t="s">
        <v>365</v>
      </c>
      <c r="B1648">
        <v>4349</v>
      </c>
      <c r="C1648" s="1">
        <v>12440.25</v>
      </c>
      <c r="D1648" s="6">
        <v>44313</v>
      </c>
      <c r="E1648" t="str">
        <f>"27477"</f>
        <v>27477</v>
      </c>
      <c r="F1648" t="str">
        <f>"INV 27477"</f>
        <v>INV 27477</v>
      </c>
      <c r="G1648" s="1">
        <v>12440.25</v>
      </c>
      <c r="H1648" t="str">
        <f>"INV 27477"</f>
        <v>INV 27477</v>
      </c>
    </row>
    <row r="1649" spans="1:8" x14ac:dyDescent="0.25">
      <c r="A1649" t="s">
        <v>366</v>
      </c>
      <c r="B1649">
        <v>135253</v>
      </c>
      <c r="C1649" s="1">
        <v>70</v>
      </c>
      <c r="D1649" s="6">
        <v>44298</v>
      </c>
      <c r="E1649" t="str">
        <f>"12768"</f>
        <v>12768</v>
      </c>
      <c r="F1649" t="str">
        <f>"SERVICE"</f>
        <v>SERVICE</v>
      </c>
      <c r="G1649" s="1">
        <v>70</v>
      </c>
      <c r="H1649" t="str">
        <f>"SERVICE"</f>
        <v>SERVICE</v>
      </c>
    </row>
    <row r="1650" spans="1:8" x14ac:dyDescent="0.25">
      <c r="A1650" t="s">
        <v>367</v>
      </c>
      <c r="B1650">
        <v>135254</v>
      </c>
      <c r="C1650" s="1">
        <v>331</v>
      </c>
      <c r="D1650" s="6">
        <v>44298</v>
      </c>
      <c r="E1650" t="str">
        <f>"S006551-IN"</f>
        <v>S006551-IN</v>
      </c>
      <c r="F1650" t="str">
        <f>"INV S006551-IN"</f>
        <v>INV S006551-IN</v>
      </c>
      <c r="G1650" s="1">
        <v>331</v>
      </c>
      <c r="H1650" t="str">
        <f>"INV S006551-IN"</f>
        <v>INV S006551-IN</v>
      </c>
    </row>
    <row r="1651" spans="1:8" x14ac:dyDescent="0.25">
      <c r="A1651" t="s">
        <v>368</v>
      </c>
      <c r="B1651">
        <v>135255</v>
      </c>
      <c r="C1651" s="1">
        <v>820.03</v>
      </c>
      <c r="D1651" s="6">
        <v>44298</v>
      </c>
      <c r="E1651" t="str">
        <f>"6795694"</f>
        <v>6795694</v>
      </c>
      <c r="F1651" t="str">
        <f>"ACCT#339435/PCT#3"</f>
        <v>ACCT#339435/PCT#3</v>
      </c>
      <c r="G1651" s="1">
        <v>700.53</v>
      </c>
      <c r="H1651" t="str">
        <f>"ACCT#339435/PCT#3"</f>
        <v>ACCT#339435/PCT#3</v>
      </c>
    </row>
    <row r="1652" spans="1:8" x14ac:dyDescent="0.25">
      <c r="E1652" t="str">
        <f>"6835241"</f>
        <v>6835241</v>
      </c>
      <c r="F1652" t="str">
        <f>"ACCT#339435/PCT#3"</f>
        <v>ACCT#339435/PCT#3</v>
      </c>
      <c r="G1652" s="1">
        <v>119.5</v>
      </c>
      <c r="H1652" t="str">
        <f>"ACCT#339435/PCT#3"</f>
        <v>ACCT#339435/PCT#3</v>
      </c>
    </row>
    <row r="1653" spans="1:8" x14ac:dyDescent="0.25">
      <c r="A1653" t="s">
        <v>369</v>
      </c>
      <c r="B1653">
        <v>135418</v>
      </c>
      <c r="C1653" s="1">
        <v>50</v>
      </c>
      <c r="D1653" s="6">
        <v>44312</v>
      </c>
      <c r="E1653" t="str">
        <f>"13-163"</f>
        <v>13-163</v>
      </c>
      <c r="F1653" t="str">
        <f>"RESTITUTION"</f>
        <v>RESTITUTION</v>
      </c>
      <c r="G1653" s="1">
        <v>50</v>
      </c>
      <c r="H1653" t="str">
        <f>"RESTITUTION"</f>
        <v>RESTITUTION</v>
      </c>
    </row>
    <row r="1654" spans="1:8" x14ac:dyDescent="0.25">
      <c r="A1654" t="s">
        <v>370</v>
      </c>
      <c r="B1654">
        <v>135256</v>
      </c>
      <c r="C1654" s="1">
        <v>4961.3</v>
      </c>
      <c r="D1654" s="6">
        <v>44298</v>
      </c>
      <c r="E1654" t="str">
        <f>"9012721280"</f>
        <v>9012721280</v>
      </c>
      <c r="F1654" t="str">
        <f t="shared" ref="F1654:F1659" si="31">"CUST#1000113183/ANIMAL SRVS"</f>
        <v>CUST#1000113183/ANIMAL SRVS</v>
      </c>
      <c r="G1654" s="1">
        <v>924.2</v>
      </c>
      <c r="H1654" t="str">
        <f t="shared" ref="H1654:H1659" si="32">"CUST#1000113183/ANIMAL SRVS"</f>
        <v>CUST#1000113183/ANIMAL SRVS</v>
      </c>
    </row>
    <row r="1655" spans="1:8" x14ac:dyDescent="0.25">
      <c r="E1655" t="str">
        <f>"9012763116"</f>
        <v>9012763116</v>
      </c>
      <c r="F1655" t="str">
        <f t="shared" si="31"/>
        <v>CUST#1000113183/ANIMAL SRVS</v>
      </c>
      <c r="G1655" s="1">
        <v>300</v>
      </c>
      <c r="H1655" t="str">
        <f t="shared" si="32"/>
        <v>CUST#1000113183/ANIMAL SRVS</v>
      </c>
    </row>
    <row r="1656" spans="1:8" x14ac:dyDescent="0.25">
      <c r="E1656" t="str">
        <f>"9012813388"</f>
        <v>9012813388</v>
      </c>
      <c r="F1656" t="str">
        <f t="shared" si="31"/>
        <v>CUST#1000113183/ANIMAL SRVS</v>
      </c>
      <c r="G1656" s="1">
        <v>1296</v>
      </c>
      <c r="H1656" t="str">
        <f t="shared" si="32"/>
        <v>CUST#1000113183/ANIMAL SRVS</v>
      </c>
    </row>
    <row r="1657" spans="1:8" x14ac:dyDescent="0.25">
      <c r="E1657" t="str">
        <f>"9012846549"</f>
        <v>9012846549</v>
      </c>
      <c r="F1657" t="str">
        <f t="shared" si="31"/>
        <v>CUST#1000113183/ANIMAL SRVS</v>
      </c>
      <c r="G1657" s="1">
        <v>1833.6</v>
      </c>
      <c r="H1657" t="str">
        <f t="shared" si="32"/>
        <v>CUST#1000113183/ANIMAL SRVS</v>
      </c>
    </row>
    <row r="1658" spans="1:8" x14ac:dyDescent="0.25">
      <c r="E1658" t="str">
        <f>"9012846587"</f>
        <v>9012846587</v>
      </c>
      <c r="F1658" t="str">
        <f t="shared" si="31"/>
        <v>CUST#1000113183/ANIMAL SRVS</v>
      </c>
      <c r="G1658" s="1">
        <v>307.5</v>
      </c>
      <c r="H1658" t="str">
        <f t="shared" si="32"/>
        <v>CUST#1000113183/ANIMAL SRVS</v>
      </c>
    </row>
    <row r="1659" spans="1:8" x14ac:dyDescent="0.25">
      <c r="E1659" t="str">
        <f>"9012863548"</f>
        <v>9012863548</v>
      </c>
      <c r="F1659" t="str">
        <f t="shared" si="31"/>
        <v>CUST#1000113183/ANIMAL SRVS</v>
      </c>
      <c r="G1659" s="1">
        <v>300</v>
      </c>
      <c r="H1659" t="str">
        <f t="shared" si="32"/>
        <v>CUST#1000113183/ANIMAL SRVS</v>
      </c>
    </row>
    <row r="1660" spans="1:8" x14ac:dyDescent="0.25">
      <c r="A1660" t="s">
        <v>371</v>
      </c>
      <c r="B1660">
        <v>135257</v>
      </c>
      <c r="C1660" s="1">
        <v>1085</v>
      </c>
      <c r="D1660" s="6">
        <v>44298</v>
      </c>
      <c r="E1660" t="str">
        <f>"1021"</f>
        <v>1021</v>
      </c>
      <c r="F1660" t="str">
        <f>"Tents for Vac. Pod"</f>
        <v>Tents for Vac. Pod</v>
      </c>
      <c r="G1660" s="1">
        <v>1085</v>
      </c>
      <c r="H1660" t="str">
        <f>"Tent Rental 02.12.21"</f>
        <v>Tent Rental 02.12.21</v>
      </c>
    </row>
    <row r="1661" spans="1:8" x14ac:dyDescent="0.25">
      <c r="E1661" t="str">
        <f>""</f>
        <v/>
      </c>
      <c r="F1661" t="str">
        <f>""</f>
        <v/>
      </c>
      <c r="H1661" t="str">
        <f>"Tent Siding 02.12.21"</f>
        <v>Tent Siding 02.12.21</v>
      </c>
    </row>
    <row r="1662" spans="1:8" x14ac:dyDescent="0.25">
      <c r="E1662" t="str">
        <f>""</f>
        <v/>
      </c>
      <c r="F1662" t="str">
        <f>""</f>
        <v/>
      </c>
      <c r="H1662" t="str">
        <f>"Delivery 02.12.21"</f>
        <v>Delivery 02.12.21</v>
      </c>
    </row>
    <row r="1663" spans="1:8" x14ac:dyDescent="0.25">
      <c r="E1663" t="str">
        <f>""</f>
        <v/>
      </c>
      <c r="F1663" t="str">
        <f>""</f>
        <v/>
      </c>
      <c r="H1663" t="str">
        <f>"Tent Rental 02.11.21"</f>
        <v>Tent Rental 02.11.21</v>
      </c>
    </row>
    <row r="1664" spans="1:8" x14ac:dyDescent="0.25">
      <c r="E1664" t="str">
        <f>""</f>
        <v/>
      </c>
      <c r="F1664" t="str">
        <f>""</f>
        <v/>
      </c>
      <c r="H1664" t="str">
        <f>"Tent Siding 02.11.21"</f>
        <v>Tent Siding 02.11.21</v>
      </c>
    </row>
    <row r="1665" spans="1:8" x14ac:dyDescent="0.25">
      <c r="E1665" t="str">
        <f>""</f>
        <v/>
      </c>
      <c r="F1665" t="str">
        <f>""</f>
        <v/>
      </c>
      <c r="H1665" t="str">
        <f>"Delivery 02.11.21"</f>
        <v>Delivery 02.11.21</v>
      </c>
    </row>
    <row r="1666" spans="1:8" x14ac:dyDescent="0.25">
      <c r="A1666" t="s">
        <v>26</v>
      </c>
      <c r="B1666">
        <v>135258</v>
      </c>
      <c r="C1666" s="1">
        <v>18</v>
      </c>
      <c r="D1666" s="6">
        <v>44298</v>
      </c>
      <c r="E1666" t="str">
        <f>"269426"</f>
        <v>269426</v>
      </c>
      <c r="F1666" t="str">
        <f>"ACCT#015397"</f>
        <v>ACCT#015397</v>
      </c>
      <c r="G1666" s="1">
        <v>18</v>
      </c>
      <c r="H1666" t="str">
        <f>"ACCT#015397"</f>
        <v>ACCT#015397</v>
      </c>
    </row>
    <row r="1667" spans="1:8" x14ac:dyDescent="0.25">
      <c r="A1667" t="s">
        <v>26</v>
      </c>
      <c r="B1667">
        <v>135274</v>
      </c>
      <c r="C1667" s="1">
        <v>2706</v>
      </c>
      <c r="D1667" s="6">
        <v>44307</v>
      </c>
      <c r="E1667" t="str">
        <f>"133536"</f>
        <v>133536</v>
      </c>
      <c r="F1667" t="str">
        <f>"Water for Winter Storm"</f>
        <v>Water for Winter Storm</v>
      </c>
      <c r="G1667" s="1">
        <v>2706</v>
      </c>
      <c r="H1667" t="str">
        <f>"Five Gallon Bottles"</f>
        <v>Five Gallon Bottles</v>
      </c>
    </row>
    <row r="1668" spans="1:8" x14ac:dyDescent="0.25">
      <c r="E1668" t="str">
        <f>""</f>
        <v/>
      </c>
      <c r="F1668" t="str">
        <f>""</f>
        <v/>
      </c>
      <c r="H1668" t="str">
        <f>"Deposit Bottles/Rack"</f>
        <v>Deposit Bottles/Rack</v>
      </c>
    </row>
    <row r="1669" spans="1:8" x14ac:dyDescent="0.25">
      <c r="A1669" t="s">
        <v>33</v>
      </c>
      <c r="B1669">
        <v>135259</v>
      </c>
      <c r="C1669" s="1">
        <v>156.87</v>
      </c>
      <c r="D1669" s="6">
        <v>44298</v>
      </c>
      <c r="E1669" t="str">
        <f>"202104072487"</f>
        <v>202104072487</v>
      </c>
      <c r="F1669" t="str">
        <f>"ACCT#287290524359"</f>
        <v>ACCT#287290524359</v>
      </c>
      <c r="G1669" s="1">
        <v>156.87</v>
      </c>
      <c r="H1669" t="str">
        <f>"ACCT#287290524359"</f>
        <v>ACCT#287290524359</v>
      </c>
    </row>
    <row r="1670" spans="1:8" x14ac:dyDescent="0.25">
      <c r="A1670" t="s">
        <v>372</v>
      </c>
      <c r="B1670">
        <v>135260</v>
      </c>
      <c r="C1670" s="1">
        <v>12660</v>
      </c>
      <c r="D1670" s="6">
        <v>44298</v>
      </c>
      <c r="E1670" t="str">
        <f>"18015"</f>
        <v>18015</v>
      </c>
      <c r="F1670" t="str">
        <f>"Emergency Repairs"</f>
        <v>Emergency Repairs</v>
      </c>
      <c r="G1670" s="1">
        <v>12660</v>
      </c>
      <c r="H1670" t="str">
        <f>"Invoice #18015"</f>
        <v>Invoice #18015</v>
      </c>
    </row>
    <row r="1671" spans="1:8" x14ac:dyDescent="0.25">
      <c r="E1671" t="str">
        <f>""</f>
        <v/>
      </c>
      <c r="F1671" t="str">
        <f>""</f>
        <v/>
      </c>
      <c r="H1671" t="str">
        <f>"Invoice #18016"</f>
        <v>Invoice #18016</v>
      </c>
    </row>
    <row r="1672" spans="1:8" x14ac:dyDescent="0.25">
      <c r="A1672" t="s">
        <v>46</v>
      </c>
      <c r="B1672">
        <v>135419</v>
      </c>
      <c r="C1672" s="1">
        <v>53694.78</v>
      </c>
      <c r="D1672" s="6">
        <v>44312</v>
      </c>
      <c r="E1672" t="str">
        <f>"202104212791"</f>
        <v>202104212791</v>
      </c>
      <c r="F1672" t="str">
        <f>"2ND QTR INVOICE"</f>
        <v>2ND QTR INVOICE</v>
      </c>
      <c r="G1672" s="1">
        <v>26176.959999999999</v>
      </c>
      <c r="H1672" t="str">
        <f>"2ND QTR INVOICE"</f>
        <v>2ND QTR INVOICE</v>
      </c>
    </row>
    <row r="1673" spans="1:8" x14ac:dyDescent="0.25">
      <c r="E1673" t="str">
        <f>"202104212792"</f>
        <v>202104212792</v>
      </c>
      <c r="F1673" t="str">
        <f>"1ST QTR INVOICE"</f>
        <v>1ST QTR INVOICE</v>
      </c>
      <c r="G1673" s="1">
        <v>27517.82</v>
      </c>
      <c r="H1673" t="str">
        <f>"1ST QTR INVOICE"</f>
        <v>1ST QTR INVOICE</v>
      </c>
    </row>
    <row r="1674" spans="1:8" x14ac:dyDescent="0.25">
      <c r="A1674" t="s">
        <v>48</v>
      </c>
      <c r="B1674">
        <v>135261</v>
      </c>
      <c r="C1674" s="1">
        <v>54769.56</v>
      </c>
      <c r="D1674" s="6">
        <v>44298</v>
      </c>
      <c r="E1674" t="str">
        <f>"1108"</f>
        <v>1108</v>
      </c>
      <c r="F1674" t="str">
        <f>"JULY-SEPTEMBER 2020 CORRECTION"</f>
        <v>JULY-SEPTEMBER 2020 CORRECTION</v>
      </c>
      <c r="G1674" s="1">
        <v>-874.53</v>
      </c>
      <c r="H1674" t="str">
        <f>"JULY-SEPTEMBER 2020 CORRECTION"</f>
        <v>JULY-SEPTEMBER 2020 CORRECTION</v>
      </c>
    </row>
    <row r="1675" spans="1:8" x14ac:dyDescent="0.25">
      <c r="E1675" t="str">
        <f>"1108-1"</f>
        <v>1108-1</v>
      </c>
      <c r="F1675" t="str">
        <f>"OCTOBER-DECEMBER 2020"</f>
        <v>OCTOBER-DECEMBER 2020</v>
      </c>
      <c r="G1675" s="1">
        <v>21984.87</v>
      </c>
      <c r="H1675" t="str">
        <f>"OCTOBER-DECEMBER 2020"</f>
        <v>OCTOBER-DECEMBER 2020</v>
      </c>
    </row>
    <row r="1676" spans="1:8" x14ac:dyDescent="0.25">
      <c r="E1676" t="str">
        <f>"1108-2"</f>
        <v>1108-2</v>
      </c>
      <c r="F1676" t="str">
        <f>"JANUARY-MARCH 2021"</f>
        <v>JANUARY-MARCH 2021</v>
      </c>
      <c r="G1676" s="1">
        <v>33659.22</v>
      </c>
      <c r="H1676" t="str">
        <f>"JANUARY-MARCH 2021"</f>
        <v>JANUARY-MARCH 2021</v>
      </c>
    </row>
    <row r="1677" spans="1:8" x14ac:dyDescent="0.25">
      <c r="A1677" t="s">
        <v>60</v>
      </c>
      <c r="B1677">
        <v>135272</v>
      </c>
      <c r="C1677" s="1">
        <v>247.09</v>
      </c>
      <c r="D1677" s="6">
        <v>44299</v>
      </c>
      <c r="E1677" t="str">
        <f>"202104132602"</f>
        <v>202104132602</v>
      </c>
      <c r="F1677" t="str">
        <f>"ACCT#5000057374 / 04042021"</f>
        <v>ACCT#5000057374 / 04042021</v>
      </c>
      <c r="G1677" s="1">
        <v>247.09</v>
      </c>
      <c r="H1677" t="str">
        <f>"ACCT#5000057374 / 04042021"</f>
        <v>ACCT#5000057374 / 04042021</v>
      </c>
    </row>
    <row r="1678" spans="1:8" x14ac:dyDescent="0.25">
      <c r="A1678" t="s">
        <v>72</v>
      </c>
      <c r="B1678">
        <v>4398</v>
      </c>
      <c r="C1678" s="1">
        <v>166.77</v>
      </c>
      <c r="D1678" s="6">
        <v>44313</v>
      </c>
      <c r="E1678" t="str">
        <f>"23688"</f>
        <v>23688</v>
      </c>
      <c r="F1678" t="str">
        <f>"UPS for Bootcamp"</f>
        <v>UPS for Bootcamp</v>
      </c>
      <c r="G1678" s="1">
        <v>166.77</v>
      </c>
      <c r="H1678" t="str">
        <f>"SC450RM1U"</f>
        <v>SC450RM1U</v>
      </c>
    </row>
    <row r="1679" spans="1:8" x14ac:dyDescent="0.25">
      <c r="A1679" t="s">
        <v>83</v>
      </c>
      <c r="B1679">
        <v>1035</v>
      </c>
      <c r="C1679" s="1">
        <v>1248.3399999999999</v>
      </c>
      <c r="D1679" s="6">
        <v>44305</v>
      </c>
      <c r="E1679" t="str">
        <f>"202104192719"</f>
        <v>202104192719</v>
      </c>
      <c r="F1679" t="str">
        <f>"ACCT#72-5613 / 04032021"</f>
        <v>ACCT#72-5613 / 04032021</v>
      </c>
      <c r="G1679" s="1">
        <v>1248.3399999999999</v>
      </c>
      <c r="H1679" t="str">
        <f>"ACCT#72-5613 / 04032021"</f>
        <v>ACCT#72-5613 / 04032021</v>
      </c>
    </row>
    <row r="1680" spans="1:8" x14ac:dyDescent="0.25">
      <c r="A1680" t="s">
        <v>373</v>
      </c>
      <c r="B1680">
        <v>135420</v>
      </c>
      <c r="C1680" s="1">
        <v>30000</v>
      </c>
      <c r="D1680" s="6">
        <v>44312</v>
      </c>
      <c r="E1680" t="str">
        <f>"202104212781"</f>
        <v>202104212781</v>
      </c>
      <c r="F1680" t="str">
        <f>"02/16 - 03-16 Monthly Fee"</f>
        <v>02/16 - 03-16 Monthly Fee</v>
      </c>
      <c r="G1680" s="1">
        <v>15000</v>
      </c>
      <c r="H1680" t="str">
        <f>"02/16/21 - 03/16/21"</f>
        <v>02/16/21 - 03/16/21</v>
      </c>
    </row>
    <row r="1681" spans="1:8" x14ac:dyDescent="0.25">
      <c r="E1681" t="str">
        <f>"202104212782"</f>
        <v>202104212782</v>
      </c>
      <c r="F1681" t="str">
        <f>"01.16-02.16 Monthly Fee"</f>
        <v>01.16-02.16 Monthly Fee</v>
      </c>
      <c r="G1681" s="1">
        <v>15000</v>
      </c>
      <c r="H1681" t="str">
        <f>"01/16/21 - 02/16/21"</f>
        <v>01/16/21 - 02/16/21</v>
      </c>
    </row>
    <row r="1682" spans="1:8" x14ac:dyDescent="0.25">
      <c r="A1682" t="s">
        <v>163</v>
      </c>
      <c r="B1682">
        <v>135262</v>
      </c>
      <c r="C1682" s="1">
        <v>311.44</v>
      </c>
      <c r="D1682" s="6">
        <v>44298</v>
      </c>
      <c r="E1682" t="str">
        <f>"202104062435"</f>
        <v>202104062435</v>
      </c>
      <c r="F1682" t="str">
        <f>"Statement"</f>
        <v>Statement</v>
      </c>
      <c r="G1682" s="1">
        <v>311.44</v>
      </c>
      <c r="H1682" t="str">
        <f>"4524591"</f>
        <v>4524591</v>
      </c>
    </row>
    <row r="1683" spans="1:8" x14ac:dyDescent="0.25">
      <c r="E1683" t="str">
        <f>""</f>
        <v/>
      </c>
      <c r="F1683" t="str">
        <f>""</f>
        <v/>
      </c>
      <c r="H1683" t="str">
        <f>"5531899"</f>
        <v>5531899</v>
      </c>
    </row>
    <row r="1684" spans="1:8" x14ac:dyDescent="0.25">
      <c r="E1684" t="str">
        <f>""</f>
        <v/>
      </c>
      <c r="F1684" t="str">
        <f>""</f>
        <v/>
      </c>
      <c r="H1684" t="str">
        <f>"1520563"</f>
        <v>1520563</v>
      </c>
    </row>
    <row r="1685" spans="1:8" x14ac:dyDescent="0.25">
      <c r="A1685" t="s">
        <v>190</v>
      </c>
      <c r="B1685">
        <v>135263</v>
      </c>
      <c r="C1685" s="1">
        <v>60</v>
      </c>
      <c r="D1685" s="6">
        <v>44298</v>
      </c>
      <c r="E1685" t="str">
        <f>"199911999"</f>
        <v>199911999</v>
      </c>
      <c r="F1685" t="str">
        <f>"ACCT#1595/BOOT CAMP"</f>
        <v>ACCT#1595/BOOT CAMP</v>
      </c>
      <c r="G1685" s="1">
        <v>60</v>
      </c>
      <c r="H1685" t="str">
        <f>"ACCT#1595/BOOT CAMP"</f>
        <v>ACCT#1595/BOOT CAMP</v>
      </c>
    </row>
    <row r="1686" spans="1:8" x14ac:dyDescent="0.25">
      <c r="A1686" t="s">
        <v>374</v>
      </c>
      <c r="B1686">
        <v>4328</v>
      </c>
      <c r="C1686" s="1">
        <v>7133.38</v>
      </c>
      <c r="D1686" s="6">
        <v>44299</v>
      </c>
      <c r="E1686" t="str">
        <f>"BCP3-1004"</f>
        <v>BCP3-1004</v>
      </c>
      <c r="F1686" t="str">
        <f>"VIN#FED32564/PCT#3"</f>
        <v>VIN#FED32564/PCT#3</v>
      </c>
      <c r="G1686" s="1">
        <v>7133.38</v>
      </c>
      <c r="H1686" t="str">
        <f>"VIN#FED32564/PCT#3"</f>
        <v>VIN#FED32564/PCT#3</v>
      </c>
    </row>
    <row r="1687" spans="1:8" x14ac:dyDescent="0.25">
      <c r="A1687" t="s">
        <v>259</v>
      </c>
      <c r="B1687">
        <v>4327</v>
      </c>
      <c r="C1687" s="1">
        <v>1544.4</v>
      </c>
      <c r="D1687" s="6">
        <v>44299</v>
      </c>
      <c r="E1687" t="str">
        <f>"2008463"</f>
        <v>2008463</v>
      </c>
      <c r="F1687" t="str">
        <f>"ACCT#BA-CNTY-01"</f>
        <v>ACCT#BA-CNTY-01</v>
      </c>
      <c r="G1687" s="1">
        <v>1544.4</v>
      </c>
      <c r="H1687" t="str">
        <f>"ACCT#BA-CNTY-01"</f>
        <v>ACCT#BA-CNTY-01</v>
      </c>
    </row>
    <row r="1688" spans="1:8" x14ac:dyDescent="0.25">
      <c r="A1688" t="s">
        <v>308</v>
      </c>
      <c r="B1688">
        <v>135264</v>
      </c>
      <c r="C1688" s="1">
        <v>185.65</v>
      </c>
      <c r="D1688" s="6">
        <v>44298</v>
      </c>
      <c r="E1688" t="str">
        <f>"8061782209-1"</f>
        <v>8061782209-1</v>
      </c>
      <c r="F1688" t="str">
        <f>"Statement"</f>
        <v>Statement</v>
      </c>
      <c r="G1688" s="1">
        <v>185.65</v>
      </c>
      <c r="H1688" t="str">
        <f>"3473581498"</f>
        <v>3473581498</v>
      </c>
    </row>
    <row r="1689" spans="1:8" x14ac:dyDescent="0.25">
      <c r="A1689" t="s">
        <v>375</v>
      </c>
      <c r="B1689">
        <v>135421</v>
      </c>
      <c r="C1689" s="1">
        <v>1172.1300000000001</v>
      </c>
      <c r="D1689" s="6">
        <v>44312</v>
      </c>
      <c r="E1689" t="str">
        <f>"110554846-0001"</f>
        <v>110554846-0001</v>
      </c>
      <c r="F1689" t="str">
        <f>"ACCT#590010/FORKLIFT RENTAL"</f>
        <v>ACCT#590010/FORKLIFT RENTAL</v>
      </c>
      <c r="G1689" s="1">
        <v>1172.1300000000001</v>
      </c>
      <c r="H1689" t="str">
        <f>"ACCT#590010/FORKLIFT RENTAL"</f>
        <v>ACCT#590010/FORKLIFT RENTAL</v>
      </c>
    </row>
    <row r="1690" spans="1:8" x14ac:dyDescent="0.25">
      <c r="A1690" t="s">
        <v>376</v>
      </c>
      <c r="B1690">
        <v>4329</v>
      </c>
      <c r="C1690" s="1">
        <v>25</v>
      </c>
      <c r="D1690" s="6">
        <v>44299</v>
      </c>
      <c r="E1690" t="str">
        <f>"896446"</f>
        <v>896446</v>
      </c>
      <c r="F1690" t="str">
        <f>"ACCT#63275"</f>
        <v>ACCT#63275</v>
      </c>
      <c r="G1690" s="1">
        <v>25</v>
      </c>
      <c r="H1690" t="str">
        <f>"ACCT#63275"</f>
        <v>ACCT#63275</v>
      </c>
    </row>
    <row r="1691" spans="1:8" x14ac:dyDescent="0.25">
      <c r="A1691" t="s">
        <v>318</v>
      </c>
      <c r="B1691">
        <v>135265</v>
      </c>
      <c r="C1691" s="1">
        <v>6542.57</v>
      </c>
      <c r="D1691" s="6">
        <v>44298</v>
      </c>
      <c r="E1691" t="str">
        <f>"1061577-IN"</f>
        <v>1061577-IN</v>
      </c>
      <c r="F1691" t="str">
        <f>"ACCT#01-0112917/PCT#1"</f>
        <v>ACCT#01-0112917/PCT#1</v>
      </c>
      <c r="G1691" s="1">
        <v>5298.86</v>
      </c>
      <c r="H1691" t="str">
        <f>"ACCT#01-0112917/PCT#1"</f>
        <v>ACCT#01-0112917/PCT#1</v>
      </c>
    </row>
    <row r="1692" spans="1:8" x14ac:dyDescent="0.25">
      <c r="E1692" t="str">
        <f>"1061581-IN"</f>
        <v>1061581-IN</v>
      </c>
      <c r="F1692" t="str">
        <f>"ACCT#01-0112917"</f>
        <v>ACCT#01-0112917</v>
      </c>
      <c r="G1692" s="1">
        <v>1243.71</v>
      </c>
      <c r="H1692" t="str">
        <f>"ACCT#01-0112917"</f>
        <v>ACCT#01-0112917</v>
      </c>
    </row>
    <row r="1693" spans="1:8" x14ac:dyDescent="0.25">
      <c r="A1693" t="s">
        <v>321</v>
      </c>
      <c r="B1693">
        <v>135266</v>
      </c>
      <c r="C1693" s="1">
        <v>55.06</v>
      </c>
      <c r="D1693" s="6">
        <v>44298</v>
      </c>
      <c r="E1693" t="str">
        <f>"D-2021-2-0110 APTF"</f>
        <v>D-2021-2-0110 APTF</v>
      </c>
      <c r="F1693" t="str">
        <f>"UNEMPLOYMENT QRTR END 03/31/21"</f>
        <v>UNEMPLOYMENT QRTR END 03/31/21</v>
      </c>
      <c r="G1693" s="1">
        <v>40.47</v>
      </c>
      <c r="H1693" t="str">
        <f>"UNEMPLOYMENT QRTR END 03/31/21"</f>
        <v>UNEMPLOYMENT QRTR END 03/31/21</v>
      </c>
    </row>
    <row r="1694" spans="1:8" x14ac:dyDescent="0.25">
      <c r="E1694" t="str">
        <f>""</f>
        <v/>
      </c>
      <c r="F1694" t="str">
        <f>""</f>
        <v/>
      </c>
      <c r="H1694" t="str">
        <f>"UNEMPLOYMENT QRTR END 03/31/21"</f>
        <v>UNEMPLOYMENT QRTR END 03/31/21</v>
      </c>
    </row>
    <row r="1695" spans="1:8" x14ac:dyDescent="0.25">
      <c r="E1695" t="str">
        <f>"DP-2020-3-0110-APT"</f>
        <v>DP-2020-3-0110-APT</v>
      </c>
      <c r="F1695" t="str">
        <f>"UNEMPLOYMENT DEFICIT 2020"</f>
        <v>UNEMPLOYMENT DEFICIT 2020</v>
      </c>
      <c r="G1695" s="1">
        <v>14.59</v>
      </c>
      <c r="H1695" t="str">
        <f>"UNEMPLOYMENT DEFICIT 2020"</f>
        <v>UNEMPLOYMENT DEFICIT 2020</v>
      </c>
    </row>
    <row r="1696" spans="1:8" x14ac:dyDescent="0.25">
      <c r="A1696" t="s">
        <v>377</v>
      </c>
      <c r="B1696">
        <v>1040</v>
      </c>
      <c r="C1696" s="1">
        <v>4499.6899999999996</v>
      </c>
      <c r="D1696" s="6">
        <v>44312</v>
      </c>
      <c r="E1696" t="str">
        <f>"202104262831"</f>
        <v>202104262831</v>
      </c>
      <c r="F1696" t="str">
        <f>"ROUNDING - APRIL 2021"</f>
        <v>ROUNDING - APRIL 2021</v>
      </c>
      <c r="G1696" s="1">
        <v>0.03</v>
      </c>
      <c r="H1696" t="str">
        <f>"ROUNDING - APRIL 2021"</f>
        <v>ROUNDING - APRIL 2021</v>
      </c>
    </row>
    <row r="1697" spans="1:8" x14ac:dyDescent="0.25">
      <c r="E1697" t="str">
        <f>"AS 202103302364"</f>
        <v>AS 202103302364</v>
      </c>
      <c r="F1697" t="str">
        <f t="shared" ref="F1697:F1710" si="33">"ALLSTATE"</f>
        <v>ALLSTATE</v>
      </c>
      <c r="G1697" s="1">
        <v>406.52</v>
      </c>
      <c r="H1697" t="str">
        <f t="shared" ref="H1697:H1710" si="34">"ALLSTATE"</f>
        <v>ALLSTATE</v>
      </c>
    </row>
    <row r="1698" spans="1:8" x14ac:dyDescent="0.25">
      <c r="E1698" t="str">
        <f>"AS 202103302365"</f>
        <v>AS 202103302365</v>
      </c>
      <c r="F1698" t="str">
        <f t="shared" si="33"/>
        <v>ALLSTATE</v>
      </c>
      <c r="G1698" s="1">
        <v>27.14</v>
      </c>
      <c r="H1698" t="str">
        <f t="shared" si="34"/>
        <v>ALLSTATE</v>
      </c>
    </row>
    <row r="1699" spans="1:8" x14ac:dyDescent="0.25">
      <c r="E1699" t="str">
        <f>"AS 202104142603"</f>
        <v>AS 202104142603</v>
      </c>
      <c r="F1699" t="str">
        <f t="shared" si="33"/>
        <v>ALLSTATE</v>
      </c>
      <c r="G1699" s="1">
        <v>406.52</v>
      </c>
      <c r="H1699" t="str">
        <f t="shared" si="34"/>
        <v>ALLSTATE</v>
      </c>
    </row>
    <row r="1700" spans="1:8" x14ac:dyDescent="0.25">
      <c r="E1700" t="str">
        <f>"AS 202104142604"</f>
        <v>AS 202104142604</v>
      </c>
      <c r="F1700" t="str">
        <f t="shared" si="33"/>
        <v>ALLSTATE</v>
      </c>
      <c r="G1700" s="1">
        <v>27.14</v>
      </c>
      <c r="H1700" t="str">
        <f t="shared" si="34"/>
        <v>ALLSTATE</v>
      </c>
    </row>
    <row r="1701" spans="1:8" x14ac:dyDescent="0.25">
      <c r="E1701" t="str">
        <f>"ASD202103302364"</f>
        <v>ASD202103302364</v>
      </c>
      <c r="F1701" t="str">
        <f t="shared" si="33"/>
        <v>ALLSTATE</v>
      </c>
      <c r="G1701" s="1">
        <v>170.21</v>
      </c>
      <c r="H1701" t="str">
        <f t="shared" si="34"/>
        <v>ALLSTATE</v>
      </c>
    </row>
    <row r="1702" spans="1:8" x14ac:dyDescent="0.25">
      <c r="E1702" t="str">
        <f>"ASD202104142603"</f>
        <v>ASD202104142603</v>
      </c>
      <c r="F1702" t="str">
        <f t="shared" si="33"/>
        <v>ALLSTATE</v>
      </c>
      <c r="G1702" s="1">
        <v>170.21</v>
      </c>
      <c r="H1702" t="str">
        <f t="shared" si="34"/>
        <v>ALLSTATE</v>
      </c>
    </row>
    <row r="1703" spans="1:8" x14ac:dyDescent="0.25">
      <c r="E1703" t="str">
        <f>"ASI202103302364"</f>
        <v>ASI202103302364</v>
      </c>
      <c r="F1703" t="str">
        <f t="shared" si="33"/>
        <v>ALLSTATE</v>
      </c>
      <c r="G1703" s="1">
        <v>541.08000000000004</v>
      </c>
      <c r="H1703" t="str">
        <f t="shared" si="34"/>
        <v>ALLSTATE</v>
      </c>
    </row>
    <row r="1704" spans="1:8" x14ac:dyDescent="0.25">
      <c r="E1704" t="str">
        <f>"ASI202103302365"</f>
        <v>ASI202103302365</v>
      </c>
      <c r="F1704" t="str">
        <f t="shared" si="33"/>
        <v>ALLSTATE</v>
      </c>
      <c r="G1704" s="1">
        <v>67.150000000000006</v>
      </c>
      <c r="H1704" t="str">
        <f t="shared" si="34"/>
        <v>ALLSTATE</v>
      </c>
    </row>
    <row r="1705" spans="1:8" x14ac:dyDescent="0.25">
      <c r="E1705" t="str">
        <f>"ASI202104142603"</f>
        <v>ASI202104142603</v>
      </c>
      <c r="F1705" t="str">
        <f t="shared" si="33"/>
        <v>ALLSTATE</v>
      </c>
      <c r="G1705" s="1">
        <v>541.08000000000004</v>
      </c>
      <c r="H1705" t="str">
        <f t="shared" si="34"/>
        <v>ALLSTATE</v>
      </c>
    </row>
    <row r="1706" spans="1:8" x14ac:dyDescent="0.25">
      <c r="E1706" t="str">
        <f>"ASI202104142604"</f>
        <v>ASI202104142604</v>
      </c>
      <c r="F1706" t="str">
        <f t="shared" si="33"/>
        <v>ALLSTATE</v>
      </c>
      <c r="G1706" s="1">
        <v>67.150000000000006</v>
      </c>
      <c r="H1706" t="str">
        <f t="shared" si="34"/>
        <v>ALLSTATE</v>
      </c>
    </row>
    <row r="1707" spans="1:8" x14ac:dyDescent="0.25">
      <c r="E1707" t="str">
        <f>"AST202103302364"</f>
        <v>AST202103302364</v>
      </c>
      <c r="F1707" t="str">
        <f t="shared" si="33"/>
        <v>ALLSTATE</v>
      </c>
      <c r="G1707" s="1">
        <v>1006.32</v>
      </c>
      <c r="H1707" t="str">
        <f t="shared" si="34"/>
        <v>ALLSTATE</v>
      </c>
    </row>
    <row r="1708" spans="1:8" x14ac:dyDescent="0.25">
      <c r="E1708" t="str">
        <f>"AST202103302365"</f>
        <v>AST202103302365</v>
      </c>
      <c r="F1708" t="str">
        <f t="shared" si="33"/>
        <v>ALLSTATE</v>
      </c>
      <c r="G1708" s="1">
        <v>31.41</v>
      </c>
      <c r="H1708" t="str">
        <f t="shared" si="34"/>
        <v>ALLSTATE</v>
      </c>
    </row>
    <row r="1709" spans="1:8" x14ac:dyDescent="0.25">
      <c r="E1709" t="str">
        <f>"AST202104142603"</f>
        <v>AST202104142603</v>
      </c>
      <c r="F1709" t="str">
        <f t="shared" si="33"/>
        <v>ALLSTATE</v>
      </c>
      <c r="G1709" s="1">
        <v>1006.32</v>
      </c>
      <c r="H1709" t="str">
        <f t="shared" si="34"/>
        <v>ALLSTATE</v>
      </c>
    </row>
    <row r="1710" spans="1:8" x14ac:dyDescent="0.25">
      <c r="E1710" t="str">
        <f>"AST202104142604"</f>
        <v>AST202104142604</v>
      </c>
      <c r="F1710" t="str">
        <f t="shared" si="33"/>
        <v>ALLSTATE</v>
      </c>
      <c r="G1710" s="1">
        <v>31.41</v>
      </c>
      <c r="H1710" t="str">
        <f t="shared" si="34"/>
        <v>ALLSTATE</v>
      </c>
    </row>
    <row r="1711" spans="1:8" x14ac:dyDescent="0.25">
      <c r="A1711" t="s">
        <v>378</v>
      </c>
      <c r="B1711">
        <v>1038</v>
      </c>
      <c r="C1711" s="1">
        <v>26706.22</v>
      </c>
      <c r="D1711" s="6">
        <v>44312</v>
      </c>
      <c r="E1711" t="str">
        <f>"202104262827"</f>
        <v>202104262827</v>
      </c>
      <c r="F1711" t="str">
        <f>"RETIREE INS - APRIL 2021"</f>
        <v>RETIREE INS - APRIL 2021</v>
      </c>
      <c r="G1711" s="1">
        <v>26706.22</v>
      </c>
      <c r="H1711" t="str">
        <f>"RETIREE INS - APRIL 2021"</f>
        <v>RETIREE INS - APRIL 2021</v>
      </c>
    </row>
    <row r="1712" spans="1:8" x14ac:dyDescent="0.25">
      <c r="A1712" t="s">
        <v>379</v>
      </c>
      <c r="B1712">
        <v>991</v>
      </c>
      <c r="C1712" s="1">
        <v>1992.63</v>
      </c>
      <c r="D1712" s="6">
        <v>44287</v>
      </c>
      <c r="E1712" t="str">
        <f>"DHM202103302366"</f>
        <v>DHM202103302366</v>
      </c>
      <c r="F1712" t="str">
        <f>"AP - DENTAL HMO"</f>
        <v>AP - DENTAL HMO</v>
      </c>
      <c r="G1712" s="1">
        <v>33.590000000000003</v>
      </c>
      <c r="H1712" t="str">
        <f>"AP - DENTAL HMO"</f>
        <v>AP - DENTAL HMO</v>
      </c>
    </row>
    <row r="1713" spans="1:8" x14ac:dyDescent="0.25">
      <c r="E1713" t="str">
        <f>"DTX202103302366"</f>
        <v>DTX202103302366</v>
      </c>
      <c r="F1713" t="str">
        <f>"AP - TEXAS DENTAL"</f>
        <v>AP - TEXAS DENTAL</v>
      </c>
      <c r="G1713" s="1">
        <v>391.77</v>
      </c>
      <c r="H1713" t="str">
        <f>"AP - TEXAS DENTAL"</f>
        <v>AP - TEXAS DENTAL</v>
      </c>
    </row>
    <row r="1714" spans="1:8" x14ac:dyDescent="0.25">
      <c r="E1714" t="str">
        <f>"FD 202103302366"</f>
        <v>FD 202103302366</v>
      </c>
      <c r="F1714" t="str">
        <f>"AP - FT DEARBORN PRE-TAX"</f>
        <v>AP - FT DEARBORN PRE-TAX</v>
      </c>
      <c r="G1714" s="1">
        <v>96.17</v>
      </c>
      <c r="H1714" t="str">
        <f>"AP - FT DEARBORN PRE-TAX"</f>
        <v>AP - FT DEARBORN PRE-TAX</v>
      </c>
    </row>
    <row r="1715" spans="1:8" x14ac:dyDescent="0.25">
      <c r="E1715" t="str">
        <f>"FDT202103302366"</f>
        <v>FDT202103302366</v>
      </c>
      <c r="F1715" t="str">
        <f>"AP - FT DEARBORN AFTER TAX"</f>
        <v>AP - FT DEARBORN AFTER TAX</v>
      </c>
      <c r="G1715" s="1">
        <v>79.62</v>
      </c>
      <c r="H1715" t="str">
        <f>"AP - FT DEARBORN AFTER TAX"</f>
        <v>AP - FT DEARBORN AFTER TAX</v>
      </c>
    </row>
    <row r="1716" spans="1:8" x14ac:dyDescent="0.25">
      <c r="E1716" t="str">
        <f>"FLX202103302366"</f>
        <v>FLX202103302366</v>
      </c>
      <c r="F1716" t="str">
        <f>"AP - TEX FLEX"</f>
        <v>AP - TEX FLEX</v>
      </c>
      <c r="G1716" s="1">
        <v>94.5</v>
      </c>
      <c r="H1716" t="str">
        <f>"AP - TEX FLEX"</f>
        <v>AP - TEX FLEX</v>
      </c>
    </row>
    <row r="1717" spans="1:8" x14ac:dyDescent="0.25">
      <c r="E1717" t="str">
        <f>"HSA202103302366"</f>
        <v>HSA202103302366</v>
      </c>
      <c r="F1717" t="str">
        <f>"AP- HSA"</f>
        <v>AP- HSA</v>
      </c>
      <c r="G1717" s="1">
        <v>20</v>
      </c>
      <c r="H1717" t="str">
        <f>"AP- HSA"</f>
        <v>AP- HSA</v>
      </c>
    </row>
    <row r="1718" spans="1:8" x14ac:dyDescent="0.25">
      <c r="E1718" t="str">
        <f>"MHS202103302366"</f>
        <v>MHS202103302366</v>
      </c>
      <c r="F1718" t="str">
        <f>"AP - HEALTH SELECT MEDICAL"</f>
        <v>AP - HEALTH SELECT MEDICAL</v>
      </c>
      <c r="G1718" s="1">
        <v>837.83</v>
      </c>
      <c r="H1718" t="str">
        <f>"AP - HEALTH SELECT MEDICAL"</f>
        <v>AP - HEALTH SELECT MEDICAL</v>
      </c>
    </row>
    <row r="1719" spans="1:8" x14ac:dyDescent="0.25">
      <c r="E1719" t="str">
        <f>"MSW202103302366"</f>
        <v>MSW202103302366</v>
      </c>
      <c r="F1719" t="str">
        <f>"AP - SCOTT &amp; WHITE MEDICAL"</f>
        <v>AP - SCOTT &amp; WHITE MEDICAL</v>
      </c>
      <c r="G1719" s="1">
        <v>372.42</v>
      </c>
      <c r="H1719" t="str">
        <f>"AP - SCOTT &amp; WHITE MEDICAL"</f>
        <v>AP - SCOTT &amp; WHITE MEDICAL</v>
      </c>
    </row>
    <row r="1720" spans="1:8" x14ac:dyDescent="0.25">
      <c r="E1720" t="str">
        <f>"SPE202103302366"</f>
        <v>SPE202103302366</v>
      </c>
      <c r="F1720" t="str">
        <f>"AP - STATE VISION"</f>
        <v>AP - STATE VISION</v>
      </c>
      <c r="G1720" s="1">
        <v>66.73</v>
      </c>
      <c r="H1720" t="str">
        <f>"AP - STATE VISION"</f>
        <v>AP - STATE VISION</v>
      </c>
    </row>
    <row r="1721" spans="1:8" x14ac:dyDescent="0.25">
      <c r="A1721" t="s">
        <v>379</v>
      </c>
      <c r="B1721">
        <v>1000</v>
      </c>
      <c r="C1721" s="1">
        <v>1715.16</v>
      </c>
      <c r="D1721" s="6">
        <v>44302</v>
      </c>
      <c r="E1721" t="str">
        <f>"DHM202104142605"</f>
        <v>DHM202104142605</v>
      </c>
      <c r="F1721" t="str">
        <f>"AP - DENTAL HMO"</f>
        <v>AP - DENTAL HMO</v>
      </c>
      <c r="G1721" s="1">
        <v>33.590000000000003</v>
      </c>
      <c r="H1721" t="str">
        <f>"AP - DENTAL HMO"</f>
        <v>AP - DENTAL HMO</v>
      </c>
    </row>
    <row r="1722" spans="1:8" x14ac:dyDescent="0.25">
      <c r="E1722" t="str">
        <f>"DTX202104142605"</f>
        <v>DTX202104142605</v>
      </c>
      <c r="F1722" t="str">
        <f>"AP - TEXAS DENTAL"</f>
        <v>AP - TEXAS DENTAL</v>
      </c>
      <c r="G1722" s="1">
        <v>353.68</v>
      </c>
      <c r="H1722" t="str">
        <f>"AP - TEXAS DENTAL"</f>
        <v>AP - TEXAS DENTAL</v>
      </c>
    </row>
    <row r="1723" spans="1:8" x14ac:dyDescent="0.25">
      <c r="E1723" t="str">
        <f>"FD 202104142605"</f>
        <v>FD 202104142605</v>
      </c>
      <c r="F1723" t="str">
        <f>"AP - FT DEARBORN PRE-TAX"</f>
        <v>AP - FT DEARBORN PRE-TAX</v>
      </c>
      <c r="G1723" s="1">
        <v>96.17</v>
      </c>
      <c r="H1723" t="str">
        <f>"AP - FT DEARBORN PRE-TAX"</f>
        <v>AP - FT DEARBORN PRE-TAX</v>
      </c>
    </row>
    <row r="1724" spans="1:8" x14ac:dyDescent="0.25">
      <c r="E1724" t="str">
        <f>"FDT202104142605"</f>
        <v>FDT202104142605</v>
      </c>
      <c r="F1724" t="str">
        <f>"AP - FT DEARBORN AFTER TAX"</f>
        <v>AP - FT DEARBORN AFTER TAX</v>
      </c>
      <c r="G1724" s="1">
        <v>79.62</v>
      </c>
      <c r="H1724" t="str">
        <f>"AP - FT DEARBORN AFTER TAX"</f>
        <v>AP - FT DEARBORN AFTER TAX</v>
      </c>
    </row>
    <row r="1725" spans="1:8" x14ac:dyDescent="0.25">
      <c r="E1725" t="str">
        <f>"FLX202104142605"</f>
        <v>FLX202104142605</v>
      </c>
      <c r="F1725" t="str">
        <f>"AP - TEX FLEX"</f>
        <v>AP - TEX FLEX</v>
      </c>
      <c r="G1725" s="1">
        <v>94.5</v>
      </c>
      <c r="H1725" t="str">
        <f>"AP - TEX FLEX"</f>
        <v>AP - TEX FLEX</v>
      </c>
    </row>
    <row r="1726" spans="1:8" x14ac:dyDescent="0.25">
      <c r="E1726" t="str">
        <f>"HSA202104142605"</f>
        <v>HSA202104142605</v>
      </c>
      <c r="F1726" t="str">
        <f>"AP- HSA"</f>
        <v>AP- HSA</v>
      </c>
      <c r="G1726" s="1">
        <v>20</v>
      </c>
      <c r="H1726" t="str">
        <f>"AP- HSA"</f>
        <v>AP- HSA</v>
      </c>
    </row>
    <row r="1727" spans="1:8" x14ac:dyDescent="0.25">
      <c r="E1727" t="str">
        <f>"MHS202104142605"</f>
        <v>MHS202104142605</v>
      </c>
      <c r="F1727" t="str">
        <f>"AP - HEALTH SELECT MEDICAL"</f>
        <v>AP - HEALTH SELECT MEDICAL</v>
      </c>
      <c r="G1727" s="1">
        <v>598.45000000000005</v>
      </c>
      <c r="H1727" t="str">
        <f>"AP - HEALTH SELECT MEDICAL"</f>
        <v>AP - HEALTH SELECT MEDICAL</v>
      </c>
    </row>
    <row r="1728" spans="1:8" x14ac:dyDescent="0.25">
      <c r="E1728" t="str">
        <f>"MSW202104142605"</f>
        <v>MSW202104142605</v>
      </c>
      <c r="F1728" t="str">
        <f>"AP - SCOTT &amp; WHITE MEDICAL"</f>
        <v>AP - SCOTT &amp; WHITE MEDICAL</v>
      </c>
      <c r="G1728" s="1">
        <v>372.42</v>
      </c>
      <c r="H1728" t="str">
        <f>"AP - SCOTT &amp; WHITE MEDICAL"</f>
        <v>AP - SCOTT &amp; WHITE MEDICAL</v>
      </c>
    </row>
    <row r="1729" spans="1:8" x14ac:dyDescent="0.25">
      <c r="E1729" t="str">
        <f>"SPE202104142605"</f>
        <v>SPE202104142605</v>
      </c>
      <c r="F1729" t="str">
        <f>"AP - STATE VISION"</f>
        <v>AP - STATE VISION</v>
      </c>
      <c r="G1729" s="1">
        <v>66.73</v>
      </c>
      <c r="H1729" t="str">
        <f>"AP - STATE VISION"</f>
        <v>AP - STATE VISION</v>
      </c>
    </row>
    <row r="1730" spans="1:8" x14ac:dyDescent="0.25">
      <c r="A1730" t="s">
        <v>380</v>
      </c>
      <c r="B1730">
        <v>1041</v>
      </c>
      <c r="C1730" s="1">
        <v>4425.88</v>
      </c>
      <c r="D1730" s="6">
        <v>44312</v>
      </c>
      <c r="E1730" t="str">
        <f>"202104262832"</f>
        <v>202104262832</v>
      </c>
      <c r="F1730" t="str">
        <f>"ROUNDING - APRIL 2021"</f>
        <v>ROUNDING - APRIL 2021</v>
      </c>
      <c r="G1730" s="1">
        <v>0.44</v>
      </c>
      <c r="H1730" t="str">
        <f>"ROUNDING - APRIL 2021"</f>
        <v>ROUNDING - APRIL 2021</v>
      </c>
    </row>
    <row r="1731" spans="1:8" x14ac:dyDescent="0.25">
      <c r="E1731" t="str">
        <f>"CL 202103302364"</f>
        <v>CL 202103302364</v>
      </c>
      <c r="F1731" t="str">
        <f t="shared" ref="F1731:F1750" si="35">"COLONIAL"</f>
        <v>COLONIAL</v>
      </c>
      <c r="G1731" s="1">
        <v>539.33000000000004</v>
      </c>
      <c r="H1731" t="str">
        <f t="shared" ref="H1731:H1750" si="36">"COLONIAL"</f>
        <v>COLONIAL</v>
      </c>
    </row>
    <row r="1732" spans="1:8" x14ac:dyDescent="0.25">
      <c r="E1732" t="str">
        <f>"CL 202103302365"</f>
        <v>CL 202103302365</v>
      </c>
      <c r="F1732" t="str">
        <f t="shared" si="35"/>
        <v>COLONIAL</v>
      </c>
      <c r="G1732" s="1">
        <v>14.49</v>
      </c>
      <c r="H1732" t="str">
        <f t="shared" si="36"/>
        <v>COLONIAL</v>
      </c>
    </row>
    <row r="1733" spans="1:8" x14ac:dyDescent="0.25">
      <c r="E1733" t="str">
        <f>"CL 202104142603"</f>
        <v>CL 202104142603</v>
      </c>
      <c r="F1733" t="str">
        <f t="shared" si="35"/>
        <v>COLONIAL</v>
      </c>
      <c r="G1733" s="1">
        <v>539.33000000000004</v>
      </c>
      <c r="H1733" t="str">
        <f t="shared" si="36"/>
        <v>COLONIAL</v>
      </c>
    </row>
    <row r="1734" spans="1:8" x14ac:dyDescent="0.25">
      <c r="E1734" t="str">
        <f>"CL 202104142604"</f>
        <v>CL 202104142604</v>
      </c>
      <c r="F1734" t="str">
        <f t="shared" si="35"/>
        <v>COLONIAL</v>
      </c>
      <c r="G1734" s="1">
        <v>14.49</v>
      </c>
      <c r="H1734" t="str">
        <f t="shared" si="36"/>
        <v>COLONIAL</v>
      </c>
    </row>
    <row r="1735" spans="1:8" x14ac:dyDescent="0.25">
      <c r="E1735" t="str">
        <f>"CLC202103302364"</f>
        <v>CLC202103302364</v>
      </c>
      <c r="F1735" t="str">
        <f t="shared" si="35"/>
        <v>COLONIAL</v>
      </c>
      <c r="G1735" s="1">
        <v>33.99</v>
      </c>
      <c r="H1735" t="str">
        <f t="shared" si="36"/>
        <v>COLONIAL</v>
      </c>
    </row>
    <row r="1736" spans="1:8" x14ac:dyDescent="0.25">
      <c r="E1736" t="str">
        <f>"CLC202104142603"</f>
        <v>CLC202104142603</v>
      </c>
      <c r="F1736" t="str">
        <f t="shared" si="35"/>
        <v>COLONIAL</v>
      </c>
      <c r="G1736" s="1">
        <v>33.99</v>
      </c>
      <c r="H1736" t="str">
        <f t="shared" si="36"/>
        <v>COLONIAL</v>
      </c>
    </row>
    <row r="1737" spans="1:8" x14ac:dyDescent="0.25">
      <c r="E1737" t="str">
        <f>"CLI202103302364"</f>
        <v>CLI202103302364</v>
      </c>
      <c r="F1737" t="str">
        <f t="shared" si="35"/>
        <v>COLONIAL</v>
      </c>
      <c r="G1737" s="1">
        <v>538.16999999999996</v>
      </c>
      <c r="H1737" t="str">
        <f t="shared" si="36"/>
        <v>COLONIAL</v>
      </c>
    </row>
    <row r="1738" spans="1:8" x14ac:dyDescent="0.25">
      <c r="E1738" t="str">
        <f>"CLI202104142603"</f>
        <v>CLI202104142603</v>
      </c>
      <c r="F1738" t="str">
        <f t="shared" si="35"/>
        <v>COLONIAL</v>
      </c>
      <c r="G1738" s="1">
        <v>538.16999999999996</v>
      </c>
      <c r="H1738" t="str">
        <f t="shared" si="36"/>
        <v>COLONIAL</v>
      </c>
    </row>
    <row r="1739" spans="1:8" x14ac:dyDescent="0.25">
      <c r="E1739" t="str">
        <f>"CLK202103302364"</f>
        <v>CLK202103302364</v>
      </c>
      <c r="F1739" t="str">
        <f t="shared" si="35"/>
        <v>COLONIAL</v>
      </c>
      <c r="G1739" s="1">
        <v>27.09</v>
      </c>
      <c r="H1739" t="str">
        <f t="shared" si="36"/>
        <v>COLONIAL</v>
      </c>
    </row>
    <row r="1740" spans="1:8" x14ac:dyDescent="0.25">
      <c r="E1740" t="str">
        <f>"CLK202104142603"</f>
        <v>CLK202104142603</v>
      </c>
      <c r="F1740" t="str">
        <f t="shared" si="35"/>
        <v>COLONIAL</v>
      </c>
      <c r="G1740" s="1">
        <v>27.09</v>
      </c>
      <c r="H1740" t="str">
        <f t="shared" si="36"/>
        <v>COLONIAL</v>
      </c>
    </row>
    <row r="1741" spans="1:8" x14ac:dyDescent="0.25">
      <c r="E1741" t="str">
        <f>"CLS202103302364"</f>
        <v>CLS202103302364</v>
      </c>
      <c r="F1741" t="str">
        <f t="shared" si="35"/>
        <v>COLONIAL</v>
      </c>
      <c r="G1741" s="1">
        <v>405.36</v>
      </c>
      <c r="H1741" t="str">
        <f t="shared" si="36"/>
        <v>COLONIAL</v>
      </c>
    </row>
    <row r="1742" spans="1:8" x14ac:dyDescent="0.25">
      <c r="E1742" t="str">
        <f>"CLS202103302365"</f>
        <v>CLS202103302365</v>
      </c>
      <c r="F1742" t="str">
        <f t="shared" si="35"/>
        <v>COLONIAL</v>
      </c>
      <c r="G1742" s="1">
        <v>15.73</v>
      </c>
      <c r="H1742" t="str">
        <f t="shared" si="36"/>
        <v>COLONIAL</v>
      </c>
    </row>
    <row r="1743" spans="1:8" x14ac:dyDescent="0.25">
      <c r="E1743" t="str">
        <f>"CLS202104142603"</f>
        <v>CLS202104142603</v>
      </c>
      <c r="F1743" t="str">
        <f t="shared" si="35"/>
        <v>COLONIAL</v>
      </c>
      <c r="G1743" s="1">
        <v>405.36</v>
      </c>
      <c r="H1743" t="str">
        <f t="shared" si="36"/>
        <v>COLONIAL</v>
      </c>
    </row>
    <row r="1744" spans="1:8" x14ac:dyDescent="0.25">
      <c r="E1744" t="str">
        <f>"CLS202104142604"</f>
        <v>CLS202104142604</v>
      </c>
      <c r="F1744" t="str">
        <f t="shared" si="35"/>
        <v>COLONIAL</v>
      </c>
      <c r="G1744" s="1">
        <v>15.73</v>
      </c>
      <c r="H1744" t="str">
        <f t="shared" si="36"/>
        <v>COLONIAL</v>
      </c>
    </row>
    <row r="1745" spans="1:8" x14ac:dyDescent="0.25">
      <c r="E1745" t="str">
        <f>"CLT202103302364"</f>
        <v>CLT202103302364</v>
      </c>
      <c r="F1745" t="str">
        <f t="shared" si="35"/>
        <v>COLONIAL</v>
      </c>
      <c r="G1745" s="1">
        <v>260.32</v>
      </c>
      <c r="H1745" t="str">
        <f t="shared" si="36"/>
        <v>COLONIAL</v>
      </c>
    </row>
    <row r="1746" spans="1:8" x14ac:dyDescent="0.25">
      <c r="E1746" t="str">
        <f>"CLT202104142603"</f>
        <v>CLT202104142603</v>
      </c>
      <c r="F1746" t="str">
        <f t="shared" si="35"/>
        <v>COLONIAL</v>
      </c>
      <c r="G1746" s="1">
        <v>260.32</v>
      </c>
      <c r="H1746" t="str">
        <f t="shared" si="36"/>
        <v>COLONIAL</v>
      </c>
    </row>
    <row r="1747" spans="1:8" x14ac:dyDescent="0.25">
      <c r="E1747" t="str">
        <f>"CLU202103302364"</f>
        <v>CLU202103302364</v>
      </c>
      <c r="F1747" t="str">
        <f t="shared" si="35"/>
        <v>COLONIAL</v>
      </c>
      <c r="G1747" s="1">
        <v>111.55</v>
      </c>
      <c r="H1747" t="str">
        <f t="shared" si="36"/>
        <v>COLONIAL</v>
      </c>
    </row>
    <row r="1748" spans="1:8" x14ac:dyDescent="0.25">
      <c r="E1748" t="str">
        <f>"CLU202104142603"</f>
        <v>CLU202104142603</v>
      </c>
      <c r="F1748" t="str">
        <f t="shared" si="35"/>
        <v>COLONIAL</v>
      </c>
      <c r="G1748" s="1">
        <v>111.55</v>
      </c>
      <c r="H1748" t="str">
        <f t="shared" si="36"/>
        <v>COLONIAL</v>
      </c>
    </row>
    <row r="1749" spans="1:8" x14ac:dyDescent="0.25">
      <c r="E1749" t="str">
        <f>"CLW202103302364"</f>
        <v>CLW202103302364</v>
      </c>
      <c r="F1749" t="str">
        <f t="shared" si="35"/>
        <v>COLONIAL</v>
      </c>
      <c r="G1749" s="1">
        <v>266.69</v>
      </c>
      <c r="H1749" t="str">
        <f t="shared" si="36"/>
        <v>COLONIAL</v>
      </c>
    </row>
    <row r="1750" spans="1:8" x14ac:dyDescent="0.25">
      <c r="E1750" t="str">
        <f>"CLW202104142603"</f>
        <v>CLW202104142603</v>
      </c>
      <c r="F1750" t="str">
        <f t="shared" si="35"/>
        <v>COLONIAL</v>
      </c>
      <c r="G1750" s="1">
        <v>266.69</v>
      </c>
      <c r="H1750" t="str">
        <f t="shared" si="36"/>
        <v>COLONIAL</v>
      </c>
    </row>
    <row r="1751" spans="1:8" x14ac:dyDescent="0.25">
      <c r="A1751" t="s">
        <v>381</v>
      </c>
      <c r="B1751">
        <v>992</v>
      </c>
      <c r="C1751" s="1">
        <v>7853.43</v>
      </c>
      <c r="D1751" s="6">
        <v>44287</v>
      </c>
      <c r="E1751" t="str">
        <f>"CPI202103302364"</f>
        <v>CPI202103302364</v>
      </c>
      <c r="F1751" t="str">
        <f t="shared" ref="F1751:F1756" si="37">"DEFERRED COMP 457B PAYABLE"</f>
        <v>DEFERRED COMP 457B PAYABLE</v>
      </c>
      <c r="G1751" s="1">
        <v>7758.43</v>
      </c>
      <c r="H1751" t="str">
        <f t="shared" ref="H1751:H1756" si="38">"DEFERRED COMP 457B PAYABLE"</f>
        <v>DEFERRED COMP 457B PAYABLE</v>
      </c>
    </row>
    <row r="1752" spans="1:8" x14ac:dyDescent="0.25">
      <c r="E1752" t="str">
        <f>"CPI202103302365"</f>
        <v>CPI202103302365</v>
      </c>
      <c r="F1752" t="str">
        <f t="shared" si="37"/>
        <v>DEFERRED COMP 457B PAYABLE</v>
      </c>
      <c r="G1752" s="1">
        <v>95</v>
      </c>
      <c r="H1752" t="str">
        <f t="shared" si="38"/>
        <v>DEFERRED COMP 457B PAYABLE</v>
      </c>
    </row>
    <row r="1753" spans="1:8" x14ac:dyDescent="0.25">
      <c r="A1753" t="s">
        <v>381</v>
      </c>
      <c r="B1753">
        <v>1001</v>
      </c>
      <c r="C1753" s="1">
        <v>7881.36</v>
      </c>
      <c r="D1753" s="6">
        <v>44302</v>
      </c>
      <c r="E1753" t="str">
        <f>"CPI202104142603"</f>
        <v>CPI202104142603</v>
      </c>
      <c r="F1753" t="str">
        <f t="shared" si="37"/>
        <v>DEFERRED COMP 457B PAYABLE</v>
      </c>
      <c r="G1753" s="1">
        <v>7786.36</v>
      </c>
      <c r="H1753" t="str">
        <f t="shared" si="38"/>
        <v>DEFERRED COMP 457B PAYABLE</v>
      </c>
    </row>
    <row r="1754" spans="1:8" x14ac:dyDescent="0.25">
      <c r="E1754" t="str">
        <f>"CPI202104142604"</f>
        <v>CPI202104142604</v>
      </c>
      <c r="F1754" t="str">
        <f t="shared" si="37"/>
        <v>DEFERRED COMP 457B PAYABLE</v>
      </c>
      <c r="G1754" s="1">
        <v>95</v>
      </c>
      <c r="H1754" t="str">
        <f t="shared" si="38"/>
        <v>DEFERRED COMP 457B PAYABLE</v>
      </c>
    </row>
    <row r="1755" spans="1:8" x14ac:dyDescent="0.25">
      <c r="A1755" t="s">
        <v>381</v>
      </c>
      <c r="B1755">
        <v>1043</v>
      </c>
      <c r="C1755" s="1">
        <v>7860.77</v>
      </c>
      <c r="D1755" s="6">
        <v>44316</v>
      </c>
      <c r="E1755" t="str">
        <f>"CPI202104272849"</f>
        <v>CPI202104272849</v>
      </c>
      <c r="F1755" t="str">
        <f t="shared" si="37"/>
        <v>DEFERRED COMP 457B PAYABLE</v>
      </c>
      <c r="G1755" s="1">
        <v>7765.77</v>
      </c>
      <c r="H1755" t="str">
        <f t="shared" si="38"/>
        <v>DEFERRED COMP 457B PAYABLE</v>
      </c>
    </row>
    <row r="1756" spans="1:8" x14ac:dyDescent="0.25">
      <c r="E1756" t="str">
        <f>"CPI202104272850"</f>
        <v>CPI202104272850</v>
      </c>
      <c r="F1756" t="str">
        <f t="shared" si="37"/>
        <v>DEFERRED COMP 457B PAYABLE</v>
      </c>
      <c r="G1756" s="1">
        <v>95</v>
      </c>
      <c r="H1756" t="str">
        <f t="shared" si="38"/>
        <v>DEFERRED COMP 457B PAYABLE</v>
      </c>
    </row>
    <row r="1757" spans="1:8" x14ac:dyDescent="0.25">
      <c r="A1757" t="s">
        <v>382</v>
      </c>
      <c r="B1757">
        <v>1036</v>
      </c>
      <c r="C1757" s="1">
        <v>42102.73</v>
      </c>
      <c r="D1757" s="6">
        <v>44312</v>
      </c>
      <c r="E1757" t="str">
        <f>"202104262825"</f>
        <v>202104262825</v>
      </c>
      <c r="F1757" t="str">
        <f>"RETIREE INS - APRIL 2021"</f>
        <v>RETIREE INS - APRIL 2021</v>
      </c>
      <c r="G1757" s="1">
        <v>3358.86</v>
      </c>
      <c r="H1757" t="str">
        <f>"RETIREE INS - APRIL 2021"</f>
        <v>RETIREE INS - APRIL 2021</v>
      </c>
    </row>
    <row r="1758" spans="1:8" x14ac:dyDescent="0.25">
      <c r="E1758" t="str">
        <f>"202104262826"</f>
        <v>202104262826</v>
      </c>
      <c r="F1758" t="str">
        <f>"COBRA INS - APRIL 2021"</f>
        <v>COBRA INS - APRIL 2021</v>
      </c>
      <c r="G1758" s="1">
        <v>207.7</v>
      </c>
      <c r="H1758" t="str">
        <f>"COBRA INS - APRIL 2021"</f>
        <v>COBRA INS - APRIL 2021</v>
      </c>
    </row>
    <row r="1759" spans="1:8" x14ac:dyDescent="0.25">
      <c r="E1759" t="str">
        <f>"ADC202103302364"</f>
        <v>ADC202103302364</v>
      </c>
      <c r="F1759" t="str">
        <f t="shared" ref="F1759:F1771" si="39">"GUARDIAN"</f>
        <v>GUARDIAN</v>
      </c>
      <c r="G1759" s="1">
        <v>4.7699999999999996</v>
      </c>
      <c r="H1759" t="str">
        <f t="shared" ref="H1759:H1822" si="40">"GUARDIAN"</f>
        <v>GUARDIAN</v>
      </c>
    </row>
    <row r="1760" spans="1:8" x14ac:dyDescent="0.25">
      <c r="E1760" t="str">
        <f>"ADC202103302365"</f>
        <v>ADC202103302365</v>
      </c>
      <c r="F1760" t="str">
        <f t="shared" si="39"/>
        <v>GUARDIAN</v>
      </c>
      <c r="G1760" s="1">
        <v>0.16</v>
      </c>
      <c r="H1760" t="str">
        <f t="shared" si="40"/>
        <v>GUARDIAN</v>
      </c>
    </row>
    <row r="1761" spans="5:8" x14ac:dyDescent="0.25">
      <c r="E1761" t="str">
        <f>"ADC202104142603"</f>
        <v>ADC202104142603</v>
      </c>
      <c r="F1761" t="str">
        <f t="shared" si="39"/>
        <v>GUARDIAN</v>
      </c>
      <c r="G1761" s="1">
        <v>4.7699999999999996</v>
      </c>
      <c r="H1761" t="str">
        <f t="shared" si="40"/>
        <v>GUARDIAN</v>
      </c>
    </row>
    <row r="1762" spans="5:8" x14ac:dyDescent="0.25">
      <c r="E1762" t="str">
        <f>"ADC202104142604"</f>
        <v>ADC202104142604</v>
      </c>
      <c r="F1762" t="str">
        <f t="shared" si="39"/>
        <v>GUARDIAN</v>
      </c>
      <c r="G1762" s="1">
        <v>0.16</v>
      </c>
      <c r="H1762" t="str">
        <f t="shared" si="40"/>
        <v>GUARDIAN</v>
      </c>
    </row>
    <row r="1763" spans="5:8" x14ac:dyDescent="0.25">
      <c r="E1763" t="str">
        <f>"ADE202103302364"</f>
        <v>ADE202103302364</v>
      </c>
      <c r="F1763" t="str">
        <f t="shared" si="39"/>
        <v>GUARDIAN</v>
      </c>
      <c r="G1763" s="1">
        <v>236.56</v>
      </c>
      <c r="H1763" t="str">
        <f t="shared" si="40"/>
        <v>GUARDIAN</v>
      </c>
    </row>
    <row r="1764" spans="5:8" x14ac:dyDescent="0.25">
      <c r="E1764" t="str">
        <f>"ADE202103302365"</f>
        <v>ADE202103302365</v>
      </c>
      <c r="F1764" t="str">
        <f t="shared" si="39"/>
        <v>GUARDIAN</v>
      </c>
      <c r="G1764" s="1">
        <v>5.55</v>
      </c>
      <c r="H1764" t="str">
        <f t="shared" si="40"/>
        <v>GUARDIAN</v>
      </c>
    </row>
    <row r="1765" spans="5:8" x14ac:dyDescent="0.25">
      <c r="E1765" t="str">
        <f>"ADE202104142603"</f>
        <v>ADE202104142603</v>
      </c>
      <c r="F1765" t="str">
        <f t="shared" si="39"/>
        <v>GUARDIAN</v>
      </c>
      <c r="G1765" s="1">
        <v>236.57</v>
      </c>
      <c r="H1765" t="str">
        <f t="shared" si="40"/>
        <v>GUARDIAN</v>
      </c>
    </row>
    <row r="1766" spans="5:8" x14ac:dyDescent="0.25">
      <c r="E1766" t="str">
        <f>"ADE202104142604"</f>
        <v>ADE202104142604</v>
      </c>
      <c r="F1766" t="str">
        <f t="shared" si="39"/>
        <v>GUARDIAN</v>
      </c>
      <c r="G1766" s="1">
        <v>5.55</v>
      </c>
      <c r="H1766" t="str">
        <f t="shared" si="40"/>
        <v>GUARDIAN</v>
      </c>
    </row>
    <row r="1767" spans="5:8" x14ac:dyDescent="0.25">
      <c r="E1767" t="str">
        <f>"ADS202103302364"</f>
        <v>ADS202103302364</v>
      </c>
      <c r="F1767" t="str">
        <f t="shared" si="39"/>
        <v>GUARDIAN</v>
      </c>
      <c r="G1767" s="1">
        <v>43.74</v>
      </c>
      <c r="H1767" t="str">
        <f t="shared" si="40"/>
        <v>GUARDIAN</v>
      </c>
    </row>
    <row r="1768" spans="5:8" x14ac:dyDescent="0.25">
      <c r="E1768" t="str">
        <f>"ADS202103302365"</f>
        <v>ADS202103302365</v>
      </c>
      <c r="F1768" t="str">
        <f t="shared" si="39"/>
        <v>GUARDIAN</v>
      </c>
      <c r="G1768" s="1">
        <v>0.53</v>
      </c>
      <c r="H1768" t="str">
        <f t="shared" si="40"/>
        <v>GUARDIAN</v>
      </c>
    </row>
    <row r="1769" spans="5:8" x14ac:dyDescent="0.25">
      <c r="E1769" t="str">
        <f>"ADS202104142603"</f>
        <v>ADS202104142603</v>
      </c>
      <c r="F1769" t="str">
        <f t="shared" si="39"/>
        <v>GUARDIAN</v>
      </c>
      <c r="G1769" s="1">
        <v>43.74</v>
      </c>
      <c r="H1769" t="str">
        <f t="shared" si="40"/>
        <v>GUARDIAN</v>
      </c>
    </row>
    <row r="1770" spans="5:8" x14ac:dyDescent="0.25">
      <c r="E1770" t="str">
        <f>"ADS202104142604"</f>
        <v>ADS202104142604</v>
      </c>
      <c r="F1770" t="str">
        <f t="shared" si="39"/>
        <v>GUARDIAN</v>
      </c>
      <c r="G1770" s="1">
        <v>0.53</v>
      </c>
      <c r="H1770" t="str">
        <f t="shared" si="40"/>
        <v>GUARDIAN</v>
      </c>
    </row>
    <row r="1771" spans="5:8" x14ac:dyDescent="0.25">
      <c r="E1771" t="str">
        <f>"GDC202103302364"</f>
        <v>GDC202103302364</v>
      </c>
      <c r="F1771" t="str">
        <f t="shared" si="39"/>
        <v>GUARDIAN</v>
      </c>
      <c r="G1771" s="1">
        <v>2818.68</v>
      </c>
      <c r="H1771" t="str">
        <f t="shared" si="40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40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40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40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40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40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40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40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40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40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40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40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40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40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40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40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40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40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40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40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40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40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40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40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40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40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40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40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40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40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40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40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40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40"/>
        <v>GUARDIAN</v>
      </c>
    </row>
    <row r="1805" spans="5:8" x14ac:dyDescent="0.25">
      <c r="E1805" t="str">
        <f>"GDC202103302365"</f>
        <v>GDC202103302365</v>
      </c>
      <c r="F1805" t="str">
        <f>"GUARDIAN"</f>
        <v>GUARDIAN</v>
      </c>
      <c r="G1805" s="1">
        <v>101.88</v>
      </c>
      <c r="H1805" t="str">
        <f t="shared" si="40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40"/>
        <v>GUARDIAN</v>
      </c>
    </row>
    <row r="1807" spans="5:8" x14ac:dyDescent="0.25">
      <c r="E1807" t="str">
        <f>"GDC202104142603"</f>
        <v>GDC202104142603</v>
      </c>
      <c r="F1807" t="str">
        <f>"GUARDIAN"</f>
        <v>GUARDIAN</v>
      </c>
      <c r="G1807" s="1">
        <v>2750.76</v>
      </c>
      <c r="H1807" t="str">
        <f t="shared" si="40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40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40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40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40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40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40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40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40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40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40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40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40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40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40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40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ref="H1823:H1886" si="41">"GUARDIAN"</f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41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41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41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41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41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41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41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41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41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41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41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41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41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41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41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41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41"/>
        <v>GUARDIAN</v>
      </c>
    </row>
    <row r="1841" spans="5:8" x14ac:dyDescent="0.25">
      <c r="E1841" t="str">
        <f>"GDC202104142604"</f>
        <v>GDC202104142604</v>
      </c>
      <c r="F1841" t="str">
        <f>"GUARDIAN"</f>
        <v>GUARDIAN</v>
      </c>
      <c r="G1841" s="1">
        <v>101.88</v>
      </c>
      <c r="H1841" t="str">
        <f t="shared" si="41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41"/>
        <v>GUARDIAN</v>
      </c>
    </row>
    <row r="1843" spans="5:8" x14ac:dyDescent="0.25">
      <c r="E1843" t="str">
        <f>"GDE202103302364"</f>
        <v>GDE202103302364</v>
      </c>
      <c r="F1843" t="str">
        <f>"GUARDIAN"</f>
        <v>GUARDIAN</v>
      </c>
      <c r="G1843" s="1">
        <v>4509.2700000000004</v>
      </c>
      <c r="H1843" t="str">
        <f t="shared" si="41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41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41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41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41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41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41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41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41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41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41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41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41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41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41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41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41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41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41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41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41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41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41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41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41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41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41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41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41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41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41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41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41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41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41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41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41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41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41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41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41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41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41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41"/>
        <v>GUARDIAN</v>
      </c>
    </row>
    <row r="1887" spans="5:8" x14ac:dyDescent="0.25">
      <c r="E1887" t="str">
        <f>"GDE202103302365"</f>
        <v>GDE202103302365</v>
      </c>
      <c r="F1887" t="str">
        <f>"GUARDIAN"</f>
        <v>GUARDIAN</v>
      </c>
      <c r="G1887" s="1">
        <v>169.29</v>
      </c>
      <c r="H1887" t="str">
        <f t="shared" ref="H1887:H1950" si="42">"GUARDIAN"</f>
        <v>GUARDIAN</v>
      </c>
    </row>
    <row r="1888" spans="5:8" x14ac:dyDescent="0.25">
      <c r="E1888" t="str">
        <f>"GDE202104142603"</f>
        <v>GDE202104142603</v>
      </c>
      <c r="F1888" t="str">
        <f>"GUARDIAN"</f>
        <v>GUARDIAN</v>
      </c>
      <c r="G1888" s="1">
        <v>4509.2700000000004</v>
      </c>
      <c r="H1888" t="str">
        <f t="shared" si="42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42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42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42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42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42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42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42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42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42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42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42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42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42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42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42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42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42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42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42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42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42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42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42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42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42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42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42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42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42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42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42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42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42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42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42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42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42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42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42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42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42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42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42"/>
        <v>GUARDIAN</v>
      </c>
    </row>
    <row r="1932" spans="5:8" x14ac:dyDescent="0.25">
      <c r="E1932" t="str">
        <f>"GDE202104142604"</f>
        <v>GDE202104142604</v>
      </c>
      <c r="F1932" t="str">
        <f>"GUARDIAN"</f>
        <v>GUARDIAN</v>
      </c>
      <c r="G1932" s="1">
        <v>169.29</v>
      </c>
      <c r="H1932" t="str">
        <f t="shared" si="42"/>
        <v>GUARDIAN</v>
      </c>
    </row>
    <row r="1933" spans="5:8" x14ac:dyDescent="0.25">
      <c r="E1933" t="str">
        <f>"GDF202103302364"</f>
        <v>GDF202103302364</v>
      </c>
      <c r="F1933" t="str">
        <f>"GUARDIAN"</f>
        <v>GUARDIAN</v>
      </c>
      <c r="G1933" s="1">
        <v>2209.2399999999998</v>
      </c>
      <c r="H1933" t="str">
        <f t="shared" si="42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42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42"/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42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42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42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42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42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42"/>
        <v>GUARDIAN</v>
      </c>
    </row>
    <row r="1942" spans="5:8" x14ac:dyDescent="0.25">
      <c r="E1942" t="str">
        <f>""</f>
        <v/>
      </c>
      <c r="F1942" t="str">
        <f>""</f>
        <v/>
      </c>
      <c r="H1942" t="str">
        <f t="shared" si="42"/>
        <v>GUARDIAN</v>
      </c>
    </row>
    <row r="1943" spans="5:8" x14ac:dyDescent="0.25">
      <c r="E1943" t="str">
        <f>""</f>
        <v/>
      </c>
      <c r="F1943" t="str">
        <f>""</f>
        <v/>
      </c>
      <c r="H1943" t="str">
        <f t="shared" si="42"/>
        <v>GUARDIAN</v>
      </c>
    </row>
    <row r="1944" spans="5:8" x14ac:dyDescent="0.25">
      <c r="E1944" t="str">
        <f>""</f>
        <v/>
      </c>
      <c r="F1944" t="str">
        <f>""</f>
        <v/>
      </c>
      <c r="H1944" t="str">
        <f t="shared" si="42"/>
        <v>GUARDIAN</v>
      </c>
    </row>
    <row r="1945" spans="5:8" x14ac:dyDescent="0.25">
      <c r="E1945" t="str">
        <f>""</f>
        <v/>
      </c>
      <c r="F1945" t="str">
        <f>""</f>
        <v/>
      </c>
      <c r="H1945" t="str">
        <f t="shared" si="42"/>
        <v>GUARDIAN</v>
      </c>
    </row>
    <row r="1946" spans="5:8" x14ac:dyDescent="0.25">
      <c r="E1946" t="str">
        <f>""</f>
        <v/>
      </c>
      <c r="F1946" t="str">
        <f>""</f>
        <v/>
      </c>
      <c r="H1946" t="str">
        <f t="shared" si="42"/>
        <v>GUARDIAN</v>
      </c>
    </row>
    <row r="1947" spans="5:8" x14ac:dyDescent="0.25">
      <c r="E1947" t="str">
        <f>""</f>
        <v/>
      </c>
      <c r="F1947" t="str">
        <f>""</f>
        <v/>
      </c>
      <c r="H1947" t="str">
        <f t="shared" si="42"/>
        <v>GUARDIAN</v>
      </c>
    </row>
    <row r="1948" spans="5:8" x14ac:dyDescent="0.25">
      <c r="E1948" t="str">
        <f>""</f>
        <v/>
      </c>
      <c r="F1948" t="str">
        <f>""</f>
        <v/>
      </c>
      <c r="H1948" t="str">
        <f t="shared" si="42"/>
        <v>GUARDIAN</v>
      </c>
    </row>
    <row r="1949" spans="5:8" x14ac:dyDescent="0.25">
      <c r="E1949" t="str">
        <f>""</f>
        <v/>
      </c>
      <c r="F1949" t="str">
        <f>""</f>
        <v/>
      </c>
      <c r="H1949" t="str">
        <f t="shared" si="42"/>
        <v>GUARDIAN</v>
      </c>
    </row>
    <row r="1950" spans="5:8" x14ac:dyDescent="0.25">
      <c r="E1950" t="str">
        <f>""</f>
        <v/>
      </c>
      <c r="F1950" t="str">
        <f>""</f>
        <v/>
      </c>
      <c r="H1950" t="str">
        <f t="shared" si="42"/>
        <v>GUARDIAN</v>
      </c>
    </row>
    <row r="1951" spans="5:8" x14ac:dyDescent="0.25">
      <c r="E1951" t="str">
        <f>""</f>
        <v/>
      </c>
      <c r="F1951" t="str">
        <f>""</f>
        <v/>
      </c>
      <c r="H1951" t="str">
        <f t="shared" ref="H1951:H2014" si="43">"GUARDIAN"</f>
        <v>GUARDIAN</v>
      </c>
    </row>
    <row r="1952" spans="5:8" x14ac:dyDescent="0.25">
      <c r="E1952" t="str">
        <f>""</f>
        <v/>
      </c>
      <c r="F1952" t="str">
        <f>""</f>
        <v/>
      </c>
      <c r="H1952" t="str">
        <f t="shared" si="43"/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43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43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43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43"/>
        <v>GUARDIAN</v>
      </c>
    </row>
    <row r="1957" spans="5:8" x14ac:dyDescent="0.25">
      <c r="E1957" t="str">
        <f>"GDF202103302365"</f>
        <v>GDF202103302365</v>
      </c>
      <c r="F1957" t="str">
        <f>"GUARDIAN"</f>
        <v>GUARDIAN</v>
      </c>
      <c r="G1957" s="1">
        <v>100.42</v>
      </c>
      <c r="H1957" t="str">
        <f t="shared" si="43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43"/>
        <v>GUARDIAN</v>
      </c>
    </row>
    <row r="1959" spans="5:8" x14ac:dyDescent="0.25">
      <c r="E1959" t="str">
        <f>"GDF202104142603"</f>
        <v>GDF202104142603</v>
      </c>
      <c r="F1959" t="str">
        <f>"GUARDIAN"</f>
        <v>GUARDIAN</v>
      </c>
      <c r="G1959" s="1">
        <v>2209.2399999999998</v>
      </c>
      <c r="H1959" t="str">
        <f t="shared" si="43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43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43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43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43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43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43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43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43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43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43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43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43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43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43"/>
        <v>GUARDIAN</v>
      </c>
    </row>
    <row r="1974" spans="5:8" x14ac:dyDescent="0.25">
      <c r="E1974" t="str">
        <f>""</f>
        <v/>
      </c>
      <c r="F1974" t="str">
        <f>""</f>
        <v/>
      </c>
      <c r="H1974" t="str">
        <f t="shared" si="43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43"/>
        <v>GUARDIAN</v>
      </c>
    </row>
    <row r="1976" spans="5:8" x14ac:dyDescent="0.25">
      <c r="E1976" t="str">
        <f>""</f>
        <v/>
      </c>
      <c r="F1976" t="str">
        <f>""</f>
        <v/>
      </c>
      <c r="H1976" t="str">
        <f t="shared" si="43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43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43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43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43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43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43"/>
        <v>GUARDIAN</v>
      </c>
    </row>
    <row r="1983" spans="5:8" x14ac:dyDescent="0.25">
      <c r="E1983" t="str">
        <f>"GDF202104142604"</f>
        <v>GDF202104142604</v>
      </c>
      <c r="F1983" t="str">
        <f>"GUARDIAN"</f>
        <v>GUARDIAN</v>
      </c>
      <c r="G1983" s="1">
        <v>100.42</v>
      </c>
      <c r="H1983" t="str">
        <f t="shared" si="43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si="43"/>
        <v>GUARDIAN</v>
      </c>
    </row>
    <row r="1985" spans="5:8" x14ac:dyDescent="0.25">
      <c r="E1985" t="str">
        <f>"GDS202103302364"</f>
        <v>GDS202103302364</v>
      </c>
      <c r="F1985" t="str">
        <f>"GUARDIAN"</f>
        <v>GUARDIAN</v>
      </c>
      <c r="G1985" s="1">
        <v>1861.2</v>
      </c>
      <c r="H1985" t="str">
        <f t="shared" si="43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43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43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43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43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43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43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43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43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43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43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43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43"/>
        <v>GUARDIAN</v>
      </c>
    </row>
    <row r="1998" spans="5:8" x14ac:dyDescent="0.25">
      <c r="E1998" t="str">
        <f>""</f>
        <v/>
      </c>
      <c r="F1998" t="str">
        <f>""</f>
        <v/>
      </c>
      <c r="H1998" t="str">
        <f t="shared" si="43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43"/>
        <v>GUARDIAN</v>
      </c>
    </row>
    <row r="2000" spans="5:8" x14ac:dyDescent="0.25">
      <c r="E2000" t="str">
        <f>""</f>
        <v/>
      </c>
      <c r="F2000" t="str">
        <f>""</f>
        <v/>
      </c>
      <c r="H2000" t="str">
        <f t="shared" si="43"/>
        <v>GUARDIAN</v>
      </c>
    </row>
    <row r="2001" spans="5:8" x14ac:dyDescent="0.25">
      <c r="E2001" t="str">
        <f>""</f>
        <v/>
      </c>
      <c r="F2001" t="str">
        <f>""</f>
        <v/>
      </c>
      <c r="H2001" t="str">
        <f t="shared" si="43"/>
        <v>GUARDIAN</v>
      </c>
    </row>
    <row r="2002" spans="5:8" x14ac:dyDescent="0.25">
      <c r="E2002" t="str">
        <f>""</f>
        <v/>
      </c>
      <c r="F2002" t="str">
        <f>""</f>
        <v/>
      </c>
      <c r="H2002" t="str">
        <f t="shared" si="43"/>
        <v>GUARDIAN</v>
      </c>
    </row>
    <row r="2003" spans="5:8" x14ac:dyDescent="0.25">
      <c r="E2003" t="str">
        <f>""</f>
        <v/>
      </c>
      <c r="F2003" t="str">
        <f>""</f>
        <v/>
      </c>
      <c r="H2003" t="str">
        <f t="shared" si="43"/>
        <v>GUARDIAN</v>
      </c>
    </row>
    <row r="2004" spans="5:8" x14ac:dyDescent="0.25">
      <c r="E2004" t="str">
        <f>""</f>
        <v/>
      </c>
      <c r="F2004" t="str">
        <f>""</f>
        <v/>
      </c>
      <c r="H2004" t="str">
        <f t="shared" si="43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43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43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43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43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43"/>
        <v>GUARDIAN</v>
      </c>
    </row>
    <row r="2010" spans="5:8" x14ac:dyDescent="0.25">
      <c r="E2010" t="str">
        <f>"GDS202104142603"</f>
        <v>GDS202104142603</v>
      </c>
      <c r="F2010" t="str">
        <f>"GUARDIAN"</f>
        <v>GUARDIAN</v>
      </c>
      <c r="G2010" s="1">
        <v>1799.16</v>
      </c>
      <c r="H2010" t="str">
        <f t="shared" si="43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43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43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43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43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ref="H2015:H2034" si="44">"GUARDIAN"</f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si="44"/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44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44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44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44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44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44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44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44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44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44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44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44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44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44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44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44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44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44"/>
        <v>GUARDIAN</v>
      </c>
    </row>
    <row r="2035" spans="5:8" x14ac:dyDescent="0.25">
      <c r="E2035" t="str">
        <f>"GV1202103302364"</f>
        <v>GV1202103302364</v>
      </c>
      <c r="F2035" t="str">
        <f>"GUARDIAN VISION"</f>
        <v>GUARDIAN VISION</v>
      </c>
      <c r="G2035" s="1">
        <v>459.2</v>
      </c>
      <c r="H2035" t="str">
        <f>"GUARDIAN VISION"</f>
        <v>GUARDIAN VISION</v>
      </c>
    </row>
    <row r="2036" spans="5:8" x14ac:dyDescent="0.25">
      <c r="E2036" t="str">
        <f>"GV1202103302365"</f>
        <v>GV1202103302365</v>
      </c>
      <c r="F2036" t="str">
        <f>"GUARDIAN VISION"</f>
        <v>GUARDIAN VISION</v>
      </c>
      <c r="G2036" s="1">
        <v>5.6</v>
      </c>
      <c r="H2036" t="str">
        <f>"GUARDIAN VISION"</f>
        <v>GUARDIAN VISION</v>
      </c>
    </row>
    <row r="2037" spans="5:8" x14ac:dyDescent="0.25">
      <c r="E2037" t="str">
        <f>"GV1202104142603"</f>
        <v>GV1202104142603</v>
      </c>
      <c r="F2037" t="str">
        <f>"GUARDIAN VISION"</f>
        <v>GUARDIAN VISION</v>
      </c>
      <c r="G2037" s="1">
        <v>436.8</v>
      </c>
      <c r="H2037" t="str">
        <f>"GUARDIAN VISION"</f>
        <v>GUARDIAN VISION</v>
      </c>
    </row>
    <row r="2038" spans="5:8" x14ac:dyDescent="0.25">
      <c r="E2038" t="str">
        <f>"GV1202104142604"</f>
        <v>GV1202104142604</v>
      </c>
      <c r="F2038" t="str">
        <f>"GUARDIAN VISION"</f>
        <v>GUARDIAN VISION</v>
      </c>
      <c r="G2038" s="1">
        <v>5.6</v>
      </c>
      <c r="H2038" t="str">
        <f>"GUARDIAN VISION"</f>
        <v>GUARDIAN VISION</v>
      </c>
    </row>
    <row r="2039" spans="5:8" x14ac:dyDescent="0.25">
      <c r="E2039" t="str">
        <f>"GVE202103302364"</f>
        <v>GVE202103302364</v>
      </c>
      <c r="F2039" t="str">
        <f>"GUARDIAN VISION VENDOR"</f>
        <v>GUARDIAN VISION VENDOR</v>
      </c>
      <c r="G2039" s="1">
        <v>619.91999999999996</v>
      </c>
      <c r="H2039" t="str">
        <f>"GUARDIAN VISION VENDOR"</f>
        <v>GUARDIAN VISION VENDOR</v>
      </c>
    </row>
    <row r="2040" spans="5:8" x14ac:dyDescent="0.25">
      <c r="E2040" t="str">
        <f>"GVE202103302365"</f>
        <v>GVE202103302365</v>
      </c>
      <c r="F2040" t="str">
        <f>"GUARDIAN VISION VENDOR"</f>
        <v>GUARDIAN VISION VENDOR</v>
      </c>
      <c r="G2040" s="1">
        <v>33.21</v>
      </c>
      <c r="H2040" t="str">
        <f>"GUARDIAN VISION VENDOR"</f>
        <v>GUARDIAN VISION VENDOR</v>
      </c>
    </row>
    <row r="2041" spans="5:8" x14ac:dyDescent="0.25">
      <c r="E2041" t="str">
        <f>"GVE202104142603"</f>
        <v>GVE202104142603</v>
      </c>
      <c r="F2041" t="str">
        <f>"GUARDIAN VISION VENDOR"</f>
        <v>GUARDIAN VISION VENDOR</v>
      </c>
      <c r="G2041" s="1">
        <v>619.91999999999996</v>
      </c>
      <c r="H2041" t="str">
        <f>"GUARDIAN VISION VENDOR"</f>
        <v>GUARDIAN VISION VENDOR</v>
      </c>
    </row>
    <row r="2042" spans="5:8" x14ac:dyDescent="0.25">
      <c r="E2042" t="str">
        <f>"GVE202104142604"</f>
        <v>GVE202104142604</v>
      </c>
      <c r="F2042" t="str">
        <f>"GUARDIAN VISION VENDOR"</f>
        <v>GUARDIAN VISION VENDOR</v>
      </c>
      <c r="G2042" s="1">
        <v>33.21</v>
      </c>
      <c r="H2042" t="str">
        <f>"GUARDIAN VISION VENDOR"</f>
        <v>GUARDIAN VISION VENDOR</v>
      </c>
    </row>
    <row r="2043" spans="5:8" x14ac:dyDescent="0.25">
      <c r="E2043" t="str">
        <f>"GVF202103302364"</f>
        <v>GVF202103302364</v>
      </c>
      <c r="F2043" t="str">
        <f>"GUARDIAN VISION"</f>
        <v>GUARDIAN VISION</v>
      </c>
      <c r="G2043" s="1">
        <v>551.6</v>
      </c>
      <c r="H2043" t="str">
        <f>"GUARDIAN VISION"</f>
        <v>GUARDIAN VISION</v>
      </c>
    </row>
    <row r="2044" spans="5:8" x14ac:dyDescent="0.25">
      <c r="E2044" t="str">
        <f>"GVF202103302365"</f>
        <v>GVF202103302365</v>
      </c>
      <c r="F2044" t="str">
        <f>"GUARDIAN VISION VENDOR"</f>
        <v>GUARDIAN VISION VENDOR</v>
      </c>
      <c r="G2044" s="1">
        <v>19.7</v>
      </c>
      <c r="H2044" t="str">
        <f>"GUARDIAN VISION VENDOR"</f>
        <v>GUARDIAN VISION VENDOR</v>
      </c>
    </row>
    <row r="2045" spans="5:8" x14ac:dyDescent="0.25">
      <c r="E2045" t="str">
        <f>"GVF202104142603"</f>
        <v>GVF202104142603</v>
      </c>
      <c r="F2045" t="str">
        <f>"GUARDIAN VISION"</f>
        <v>GUARDIAN VISION</v>
      </c>
      <c r="G2045" s="1">
        <v>551.6</v>
      </c>
      <c r="H2045" t="str">
        <f>"GUARDIAN VISION"</f>
        <v>GUARDIAN VISION</v>
      </c>
    </row>
    <row r="2046" spans="5:8" x14ac:dyDescent="0.25">
      <c r="E2046" t="str">
        <f>"GVF202104142604"</f>
        <v>GVF202104142604</v>
      </c>
      <c r="F2046" t="str">
        <f>"GUARDIAN VISION VENDOR"</f>
        <v>GUARDIAN VISION VENDOR</v>
      </c>
      <c r="G2046" s="1">
        <v>19.7</v>
      </c>
      <c r="H2046" t="str">
        <f>"GUARDIAN VISION VENDOR"</f>
        <v>GUARDIAN VISION VENDOR</v>
      </c>
    </row>
    <row r="2047" spans="5:8" x14ac:dyDescent="0.25">
      <c r="E2047" t="str">
        <f>"LIA202103302364"</f>
        <v>LIA202103302364</v>
      </c>
      <c r="F2047" t="str">
        <f>"GUARDIAN"</f>
        <v>GUARDIAN</v>
      </c>
      <c r="G2047" s="1">
        <v>225.48</v>
      </c>
      <c r="H2047" t="str">
        <f t="shared" ref="H2047:H2078" si="45">"GUARDIAN"</f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si="45"/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45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45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45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45"/>
        <v>GUARDIAN</v>
      </c>
    </row>
    <row r="2053" spans="5:8" x14ac:dyDescent="0.25">
      <c r="E2053" t="str">
        <f>""</f>
        <v/>
      </c>
      <c r="F2053" t="str">
        <f>""</f>
        <v/>
      </c>
      <c r="H2053" t="str">
        <f t="shared" si="45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45"/>
        <v>GUARDIAN</v>
      </c>
    </row>
    <row r="2055" spans="5:8" x14ac:dyDescent="0.25">
      <c r="E2055" t="str">
        <f>""</f>
        <v/>
      </c>
      <c r="F2055" t="str">
        <f>""</f>
        <v/>
      </c>
      <c r="H2055" t="str">
        <f t="shared" si="45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45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45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45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45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45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45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45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45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45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45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45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45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45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45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45"/>
        <v>GUARDIAN</v>
      </c>
    </row>
    <row r="2071" spans="5:8" x14ac:dyDescent="0.25">
      <c r="E2071" t="str">
        <f>"LIA202103302365"</f>
        <v>LIA202103302365</v>
      </c>
      <c r="F2071" t="str">
        <f>"GUARDIAN"</f>
        <v>GUARDIAN</v>
      </c>
      <c r="G2071" s="1">
        <v>40.99</v>
      </c>
      <c r="H2071" t="str">
        <f t="shared" si="45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45"/>
        <v>GUARDIAN</v>
      </c>
    </row>
    <row r="2073" spans="5:8" x14ac:dyDescent="0.25">
      <c r="E2073" t="str">
        <f>"LIA202104142603"</f>
        <v>LIA202104142603</v>
      </c>
      <c r="F2073" t="str">
        <f>"GUARDIAN"</f>
        <v>GUARDIAN</v>
      </c>
      <c r="G2073" s="1">
        <v>225.82</v>
      </c>
      <c r="H2073" t="str">
        <f t="shared" si="45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45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45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45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45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45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ref="H2079:H2110" si="46">"GUARDIAN"</f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si="46"/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46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46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46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46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46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46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46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46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46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46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46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46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46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46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46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46"/>
        <v>GUARDIAN</v>
      </c>
    </row>
    <row r="2097" spans="5:8" x14ac:dyDescent="0.25">
      <c r="E2097" t="str">
        <f>"LIA202104142604"</f>
        <v>LIA202104142604</v>
      </c>
      <c r="F2097" t="str">
        <f>"GUARDIAN"</f>
        <v>GUARDIAN</v>
      </c>
      <c r="G2097" s="1">
        <v>40.99</v>
      </c>
      <c r="H2097" t="str">
        <f t="shared" si="46"/>
        <v>GUARDIAN</v>
      </c>
    </row>
    <row r="2098" spans="5:8" x14ac:dyDescent="0.25">
      <c r="E2098" t="str">
        <f>""</f>
        <v/>
      </c>
      <c r="F2098" t="str">
        <f>""</f>
        <v/>
      </c>
      <c r="H2098" t="str">
        <f t="shared" si="46"/>
        <v>GUARDIAN</v>
      </c>
    </row>
    <row r="2099" spans="5:8" x14ac:dyDescent="0.25">
      <c r="E2099" t="str">
        <f>"LIC202103302364"</f>
        <v>LIC202103302364</v>
      </c>
      <c r="F2099" t="str">
        <f>"GUARDIAN"</f>
        <v>GUARDIAN</v>
      </c>
      <c r="G2099" s="1">
        <v>34.020000000000003</v>
      </c>
      <c r="H2099" t="str">
        <f t="shared" si="46"/>
        <v>GUARDIAN</v>
      </c>
    </row>
    <row r="2100" spans="5:8" x14ac:dyDescent="0.25">
      <c r="E2100" t="str">
        <f>"LIC202103302365"</f>
        <v>LIC202103302365</v>
      </c>
      <c r="F2100" t="str">
        <f>"GUARDIAN"</f>
        <v>GUARDIAN</v>
      </c>
      <c r="G2100" s="1">
        <v>0.7</v>
      </c>
      <c r="H2100" t="str">
        <f t="shared" si="46"/>
        <v>GUARDIAN</v>
      </c>
    </row>
    <row r="2101" spans="5:8" x14ac:dyDescent="0.25">
      <c r="E2101" t="str">
        <f>"LIC202104142603"</f>
        <v>LIC202104142603</v>
      </c>
      <c r="F2101" t="str">
        <f>"GUARDIAN"</f>
        <v>GUARDIAN</v>
      </c>
      <c r="G2101" s="1">
        <v>34.020000000000003</v>
      </c>
      <c r="H2101" t="str">
        <f t="shared" si="46"/>
        <v>GUARDIAN</v>
      </c>
    </row>
    <row r="2102" spans="5:8" x14ac:dyDescent="0.25">
      <c r="E2102" t="str">
        <f>"LIC202104142604"</f>
        <v>LIC202104142604</v>
      </c>
      <c r="F2102" t="str">
        <f>"GUARDIAN"</f>
        <v>GUARDIAN</v>
      </c>
      <c r="G2102" s="1">
        <v>0.7</v>
      </c>
      <c r="H2102" t="str">
        <f t="shared" si="46"/>
        <v>GUARDIAN</v>
      </c>
    </row>
    <row r="2103" spans="5:8" x14ac:dyDescent="0.25">
      <c r="E2103" t="str">
        <f>"LIE202103302364"</f>
        <v>LIE202103302364</v>
      </c>
      <c r="F2103" t="str">
        <f>"GUARDIAN"</f>
        <v>GUARDIAN</v>
      </c>
      <c r="G2103" s="1">
        <v>3739.2</v>
      </c>
      <c r="H2103" t="str">
        <f t="shared" si="46"/>
        <v>GUARDIAN</v>
      </c>
    </row>
    <row r="2104" spans="5:8" x14ac:dyDescent="0.25">
      <c r="E2104" t="str">
        <f>""</f>
        <v/>
      </c>
      <c r="F2104" t="str">
        <f>""</f>
        <v/>
      </c>
      <c r="H2104" t="str">
        <f t="shared" si="46"/>
        <v>GUARDIAN</v>
      </c>
    </row>
    <row r="2105" spans="5:8" x14ac:dyDescent="0.25">
      <c r="E2105" t="str">
        <f>""</f>
        <v/>
      </c>
      <c r="F2105" t="str">
        <f>""</f>
        <v/>
      </c>
      <c r="H2105" t="str">
        <f t="shared" si="46"/>
        <v>GUARDIAN</v>
      </c>
    </row>
    <row r="2106" spans="5:8" x14ac:dyDescent="0.25">
      <c r="E2106" t="str">
        <f>""</f>
        <v/>
      </c>
      <c r="F2106" t="str">
        <f>""</f>
        <v/>
      </c>
      <c r="H2106" t="str">
        <f t="shared" si="46"/>
        <v>GUARDIAN</v>
      </c>
    </row>
    <row r="2107" spans="5:8" x14ac:dyDescent="0.25">
      <c r="E2107" t="str">
        <f>""</f>
        <v/>
      </c>
      <c r="F2107" t="str">
        <f>""</f>
        <v/>
      </c>
      <c r="H2107" t="str">
        <f t="shared" si="46"/>
        <v>GUARDIAN</v>
      </c>
    </row>
    <row r="2108" spans="5:8" x14ac:dyDescent="0.25">
      <c r="E2108" t="str">
        <f>""</f>
        <v/>
      </c>
      <c r="F2108" t="str">
        <f>""</f>
        <v/>
      </c>
      <c r="H2108" t="str">
        <f t="shared" si="46"/>
        <v>GUARDIAN</v>
      </c>
    </row>
    <row r="2109" spans="5:8" x14ac:dyDescent="0.25">
      <c r="E2109" t="str">
        <f>""</f>
        <v/>
      </c>
      <c r="F2109" t="str">
        <f>""</f>
        <v/>
      </c>
      <c r="H2109" t="str">
        <f t="shared" si="46"/>
        <v>GUARDIAN</v>
      </c>
    </row>
    <row r="2110" spans="5:8" x14ac:dyDescent="0.25">
      <c r="E2110" t="str">
        <f>""</f>
        <v/>
      </c>
      <c r="F2110" t="str">
        <f>""</f>
        <v/>
      </c>
      <c r="H2110" t="str">
        <f t="shared" si="46"/>
        <v>GUARDIAN</v>
      </c>
    </row>
    <row r="2111" spans="5:8" x14ac:dyDescent="0.25">
      <c r="E2111" t="str">
        <f>""</f>
        <v/>
      </c>
      <c r="F2111" t="str">
        <f>""</f>
        <v/>
      </c>
      <c r="H2111" t="str">
        <f t="shared" ref="H2111:H2142" si="47">"GUARDIAN"</f>
        <v>GUARDIAN</v>
      </c>
    </row>
    <row r="2112" spans="5:8" x14ac:dyDescent="0.25">
      <c r="E2112" t="str">
        <f>""</f>
        <v/>
      </c>
      <c r="F2112" t="str">
        <f>""</f>
        <v/>
      </c>
      <c r="H2112" t="str">
        <f t="shared" si="47"/>
        <v>GUARDIAN</v>
      </c>
    </row>
    <row r="2113" spans="5:8" x14ac:dyDescent="0.25">
      <c r="E2113" t="str">
        <f>""</f>
        <v/>
      </c>
      <c r="F2113" t="str">
        <f>""</f>
        <v/>
      </c>
      <c r="H2113" t="str">
        <f t="shared" si="47"/>
        <v>GUARDIAN</v>
      </c>
    </row>
    <row r="2114" spans="5:8" x14ac:dyDescent="0.25">
      <c r="E2114" t="str">
        <f>""</f>
        <v/>
      </c>
      <c r="F2114" t="str">
        <f>""</f>
        <v/>
      </c>
      <c r="H2114" t="str">
        <f t="shared" si="47"/>
        <v>GUARDIAN</v>
      </c>
    </row>
    <row r="2115" spans="5:8" x14ac:dyDescent="0.25">
      <c r="E2115" t="str">
        <f>""</f>
        <v/>
      </c>
      <c r="F2115" t="str">
        <f>""</f>
        <v/>
      </c>
      <c r="H2115" t="str">
        <f t="shared" si="47"/>
        <v>GUARDIAN</v>
      </c>
    </row>
    <row r="2116" spans="5:8" x14ac:dyDescent="0.25">
      <c r="E2116" t="str">
        <f>""</f>
        <v/>
      </c>
      <c r="F2116" t="str">
        <f>""</f>
        <v/>
      </c>
      <c r="H2116" t="str">
        <f t="shared" si="47"/>
        <v>GUARDIAN</v>
      </c>
    </row>
    <row r="2117" spans="5:8" x14ac:dyDescent="0.25">
      <c r="E2117" t="str">
        <f>""</f>
        <v/>
      </c>
      <c r="F2117" t="str">
        <f>""</f>
        <v/>
      </c>
      <c r="H2117" t="str">
        <f t="shared" si="47"/>
        <v>GUARDIAN</v>
      </c>
    </row>
    <row r="2118" spans="5:8" x14ac:dyDescent="0.25">
      <c r="E2118" t="str">
        <f>""</f>
        <v/>
      </c>
      <c r="F2118" t="str">
        <f>""</f>
        <v/>
      </c>
      <c r="H2118" t="str">
        <f t="shared" si="47"/>
        <v>GUARDIAN</v>
      </c>
    </row>
    <row r="2119" spans="5:8" x14ac:dyDescent="0.25">
      <c r="E2119" t="str">
        <f>""</f>
        <v/>
      </c>
      <c r="F2119" t="str">
        <f>""</f>
        <v/>
      </c>
      <c r="H2119" t="str">
        <f t="shared" si="47"/>
        <v>GUARDIAN</v>
      </c>
    </row>
    <row r="2120" spans="5:8" x14ac:dyDescent="0.25">
      <c r="E2120" t="str">
        <f>""</f>
        <v/>
      </c>
      <c r="F2120" t="str">
        <f>""</f>
        <v/>
      </c>
      <c r="H2120" t="str">
        <f t="shared" si="47"/>
        <v>GUARDIAN</v>
      </c>
    </row>
    <row r="2121" spans="5:8" x14ac:dyDescent="0.25">
      <c r="E2121" t="str">
        <f>""</f>
        <v/>
      </c>
      <c r="F2121" t="str">
        <f>""</f>
        <v/>
      </c>
      <c r="H2121" t="str">
        <f t="shared" si="47"/>
        <v>GUARDIAN</v>
      </c>
    </row>
    <row r="2122" spans="5:8" x14ac:dyDescent="0.25">
      <c r="E2122" t="str">
        <f>""</f>
        <v/>
      </c>
      <c r="F2122" t="str">
        <f>""</f>
        <v/>
      </c>
      <c r="H2122" t="str">
        <f t="shared" si="47"/>
        <v>GUARDIAN</v>
      </c>
    </row>
    <row r="2123" spans="5:8" x14ac:dyDescent="0.25">
      <c r="E2123" t="str">
        <f>""</f>
        <v/>
      </c>
      <c r="F2123" t="str">
        <f>""</f>
        <v/>
      </c>
      <c r="H2123" t="str">
        <f t="shared" si="47"/>
        <v>GUARDIAN</v>
      </c>
    </row>
    <row r="2124" spans="5:8" x14ac:dyDescent="0.25">
      <c r="E2124" t="str">
        <f>""</f>
        <v/>
      </c>
      <c r="F2124" t="str">
        <f>""</f>
        <v/>
      </c>
      <c r="H2124" t="str">
        <f t="shared" si="47"/>
        <v>GUARDIAN</v>
      </c>
    </row>
    <row r="2125" spans="5:8" x14ac:dyDescent="0.25">
      <c r="E2125" t="str">
        <f>""</f>
        <v/>
      </c>
      <c r="F2125" t="str">
        <f>""</f>
        <v/>
      </c>
      <c r="H2125" t="str">
        <f t="shared" si="47"/>
        <v>GUARDIAN</v>
      </c>
    </row>
    <row r="2126" spans="5:8" x14ac:dyDescent="0.25">
      <c r="E2126" t="str">
        <f>""</f>
        <v/>
      </c>
      <c r="F2126" t="str">
        <f>""</f>
        <v/>
      </c>
      <c r="H2126" t="str">
        <f t="shared" si="47"/>
        <v>GUARDIAN</v>
      </c>
    </row>
    <row r="2127" spans="5:8" x14ac:dyDescent="0.25">
      <c r="E2127" t="str">
        <f>""</f>
        <v/>
      </c>
      <c r="F2127" t="str">
        <f>""</f>
        <v/>
      </c>
      <c r="H2127" t="str">
        <f t="shared" si="47"/>
        <v>GUARDIAN</v>
      </c>
    </row>
    <row r="2128" spans="5:8" x14ac:dyDescent="0.25">
      <c r="E2128" t="str">
        <f>""</f>
        <v/>
      </c>
      <c r="F2128" t="str">
        <f>""</f>
        <v/>
      </c>
      <c r="H2128" t="str">
        <f t="shared" si="47"/>
        <v>GUARDIAN</v>
      </c>
    </row>
    <row r="2129" spans="5:8" x14ac:dyDescent="0.25">
      <c r="E2129" t="str">
        <f>""</f>
        <v/>
      </c>
      <c r="F2129" t="str">
        <f>""</f>
        <v/>
      </c>
      <c r="H2129" t="str">
        <f t="shared" si="47"/>
        <v>GUARDIAN</v>
      </c>
    </row>
    <row r="2130" spans="5:8" x14ac:dyDescent="0.25">
      <c r="E2130" t="str">
        <f>""</f>
        <v/>
      </c>
      <c r="F2130" t="str">
        <f>""</f>
        <v/>
      </c>
      <c r="H2130" t="str">
        <f t="shared" si="47"/>
        <v>GUARDIAN</v>
      </c>
    </row>
    <row r="2131" spans="5:8" x14ac:dyDescent="0.25">
      <c r="E2131" t="str">
        <f>""</f>
        <v/>
      </c>
      <c r="F2131" t="str">
        <f>""</f>
        <v/>
      </c>
      <c r="H2131" t="str">
        <f t="shared" si="47"/>
        <v>GUARDIAN</v>
      </c>
    </row>
    <row r="2132" spans="5:8" x14ac:dyDescent="0.25">
      <c r="E2132" t="str">
        <f>""</f>
        <v/>
      </c>
      <c r="F2132" t="str">
        <f>""</f>
        <v/>
      </c>
      <c r="H2132" t="str">
        <f t="shared" si="47"/>
        <v>GUARDIAN</v>
      </c>
    </row>
    <row r="2133" spans="5:8" x14ac:dyDescent="0.25">
      <c r="E2133" t="str">
        <f>""</f>
        <v/>
      </c>
      <c r="F2133" t="str">
        <f>""</f>
        <v/>
      </c>
      <c r="H2133" t="str">
        <f t="shared" si="47"/>
        <v>GUARDIAN</v>
      </c>
    </row>
    <row r="2134" spans="5:8" x14ac:dyDescent="0.25">
      <c r="E2134" t="str">
        <f>""</f>
        <v/>
      </c>
      <c r="F2134" t="str">
        <f>""</f>
        <v/>
      </c>
      <c r="H2134" t="str">
        <f t="shared" si="47"/>
        <v>GUARDIAN</v>
      </c>
    </row>
    <row r="2135" spans="5:8" x14ac:dyDescent="0.25">
      <c r="E2135" t="str">
        <f>""</f>
        <v/>
      </c>
      <c r="F2135" t="str">
        <f>""</f>
        <v/>
      </c>
      <c r="H2135" t="str">
        <f t="shared" si="47"/>
        <v>GUARDIAN</v>
      </c>
    </row>
    <row r="2136" spans="5:8" x14ac:dyDescent="0.25">
      <c r="E2136" t="str">
        <f>""</f>
        <v/>
      </c>
      <c r="F2136" t="str">
        <f>""</f>
        <v/>
      </c>
      <c r="H2136" t="str">
        <f t="shared" si="47"/>
        <v>GUARDIAN</v>
      </c>
    </row>
    <row r="2137" spans="5:8" x14ac:dyDescent="0.25">
      <c r="E2137" t="str">
        <f>""</f>
        <v/>
      </c>
      <c r="F2137" t="str">
        <f>""</f>
        <v/>
      </c>
      <c r="H2137" t="str">
        <f t="shared" si="47"/>
        <v>GUARDIAN</v>
      </c>
    </row>
    <row r="2138" spans="5:8" x14ac:dyDescent="0.25">
      <c r="E2138" t="str">
        <f>""</f>
        <v/>
      </c>
      <c r="F2138" t="str">
        <f>""</f>
        <v/>
      </c>
      <c r="H2138" t="str">
        <f t="shared" si="47"/>
        <v>GUARDIAN</v>
      </c>
    </row>
    <row r="2139" spans="5:8" x14ac:dyDescent="0.25">
      <c r="E2139" t="str">
        <f>""</f>
        <v/>
      </c>
      <c r="F2139" t="str">
        <f>""</f>
        <v/>
      </c>
      <c r="H2139" t="str">
        <f t="shared" si="47"/>
        <v>GUARDIAN</v>
      </c>
    </row>
    <row r="2140" spans="5:8" x14ac:dyDescent="0.25">
      <c r="E2140" t="str">
        <f>""</f>
        <v/>
      </c>
      <c r="F2140" t="str">
        <f>""</f>
        <v/>
      </c>
      <c r="H2140" t="str">
        <f t="shared" si="47"/>
        <v>GUARDIAN</v>
      </c>
    </row>
    <row r="2141" spans="5:8" x14ac:dyDescent="0.25">
      <c r="E2141" t="str">
        <f>""</f>
        <v/>
      </c>
      <c r="F2141" t="str">
        <f>""</f>
        <v/>
      </c>
      <c r="H2141" t="str">
        <f t="shared" si="47"/>
        <v>GUARDIAN</v>
      </c>
    </row>
    <row r="2142" spans="5:8" x14ac:dyDescent="0.25">
      <c r="E2142" t="str">
        <f>""</f>
        <v/>
      </c>
      <c r="F2142" t="str">
        <f>""</f>
        <v/>
      </c>
      <c r="H2142" t="str">
        <f t="shared" si="47"/>
        <v>GUARDIAN</v>
      </c>
    </row>
    <row r="2143" spans="5:8" x14ac:dyDescent="0.25">
      <c r="E2143" t="str">
        <f>""</f>
        <v/>
      </c>
      <c r="F2143" t="str">
        <f>""</f>
        <v/>
      </c>
      <c r="H2143" t="str">
        <f t="shared" ref="H2143:H2174" si="48">"GUARDIAN"</f>
        <v>GUARDIAN</v>
      </c>
    </row>
    <row r="2144" spans="5:8" x14ac:dyDescent="0.25">
      <c r="E2144" t="str">
        <f>""</f>
        <v/>
      </c>
      <c r="F2144" t="str">
        <f>""</f>
        <v/>
      </c>
      <c r="H2144" t="str">
        <f t="shared" si="48"/>
        <v>GUARDIAN</v>
      </c>
    </row>
    <row r="2145" spans="5:8" x14ac:dyDescent="0.25">
      <c r="E2145" t="str">
        <f>""</f>
        <v/>
      </c>
      <c r="F2145" t="str">
        <f>""</f>
        <v/>
      </c>
      <c r="H2145" t="str">
        <f t="shared" si="48"/>
        <v>GUARDIAN</v>
      </c>
    </row>
    <row r="2146" spans="5:8" x14ac:dyDescent="0.25">
      <c r="E2146" t="str">
        <f>""</f>
        <v/>
      </c>
      <c r="F2146" t="str">
        <f>""</f>
        <v/>
      </c>
      <c r="H2146" t="str">
        <f t="shared" si="48"/>
        <v>GUARDIAN</v>
      </c>
    </row>
    <row r="2147" spans="5:8" x14ac:dyDescent="0.25">
      <c r="E2147" t="str">
        <f>""</f>
        <v/>
      </c>
      <c r="F2147" t="str">
        <f>""</f>
        <v/>
      </c>
      <c r="H2147" t="str">
        <f t="shared" si="48"/>
        <v>GUARDIAN</v>
      </c>
    </row>
    <row r="2148" spans="5:8" x14ac:dyDescent="0.25">
      <c r="E2148" t="str">
        <f>""</f>
        <v/>
      </c>
      <c r="F2148" t="str">
        <f>""</f>
        <v/>
      </c>
      <c r="H2148" t="str">
        <f t="shared" si="48"/>
        <v>GUARDIAN</v>
      </c>
    </row>
    <row r="2149" spans="5:8" x14ac:dyDescent="0.25">
      <c r="E2149" t="str">
        <f>""</f>
        <v/>
      </c>
      <c r="F2149" t="str">
        <f>""</f>
        <v/>
      </c>
      <c r="H2149" t="str">
        <f t="shared" si="48"/>
        <v>GUARDIAN</v>
      </c>
    </row>
    <row r="2150" spans="5:8" x14ac:dyDescent="0.25">
      <c r="E2150" t="str">
        <f>""</f>
        <v/>
      </c>
      <c r="F2150" t="str">
        <f>""</f>
        <v/>
      </c>
      <c r="H2150" t="str">
        <f t="shared" si="48"/>
        <v>GUARDIAN</v>
      </c>
    </row>
    <row r="2151" spans="5:8" x14ac:dyDescent="0.25">
      <c r="E2151" t="str">
        <f>""</f>
        <v/>
      </c>
      <c r="F2151" t="str">
        <f>""</f>
        <v/>
      </c>
      <c r="H2151" t="str">
        <f t="shared" si="48"/>
        <v>GUARDIAN</v>
      </c>
    </row>
    <row r="2152" spans="5:8" x14ac:dyDescent="0.25">
      <c r="E2152" t="str">
        <f>""</f>
        <v/>
      </c>
      <c r="F2152" t="str">
        <f>""</f>
        <v/>
      </c>
      <c r="H2152" t="str">
        <f t="shared" si="48"/>
        <v>GUARDIAN</v>
      </c>
    </row>
    <row r="2153" spans="5:8" x14ac:dyDescent="0.25">
      <c r="E2153" t="str">
        <f>""</f>
        <v/>
      </c>
      <c r="F2153" t="str">
        <f>""</f>
        <v/>
      </c>
      <c r="H2153" t="str">
        <f t="shared" si="48"/>
        <v>GUARDIAN</v>
      </c>
    </row>
    <row r="2154" spans="5:8" x14ac:dyDescent="0.25">
      <c r="E2154" t="str">
        <f>"LIE202103302365"</f>
        <v>LIE202103302365</v>
      </c>
      <c r="F2154" t="str">
        <f>"GUARDIAN"</f>
        <v>GUARDIAN</v>
      </c>
      <c r="G2154" s="1">
        <v>77.25</v>
      </c>
      <c r="H2154" t="str">
        <f t="shared" si="48"/>
        <v>GUARDIAN</v>
      </c>
    </row>
    <row r="2155" spans="5:8" x14ac:dyDescent="0.25">
      <c r="E2155" t="str">
        <f>""</f>
        <v/>
      </c>
      <c r="F2155" t="str">
        <f>""</f>
        <v/>
      </c>
      <c r="H2155" t="str">
        <f t="shared" si="48"/>
        <v>GUARDIAN</v>
      </c>
    </row>
    <row r="2156" spans="5:8" x14ac:dyDescent="0.25">
      <c r="E2156" t="str">
        <f>"LIE202104142603"</f>
        <v>LIE202104142603</v>
      </c>
      <c r="F2156" t="str">
        <f>"GUARDIAN"</f>
        <v>GUARDIAN</v>
      </c>
      <c r="G2156" s="1">
        <v>3728.8</v>
      </c>
      <c r="H2156" t="str">
        <f t="shared" si="48"/>
        <v>GUARDIAN</v>
      </c>
    </row>
    <row r="2157" spans="5:8" x14ac:dyDescent="0.25">
      <c r="E2157" t="str">
        <f>""</f>
        <v/>
      </c>
      <c r="F2157" t="str">
        <f>""</f>
        <v/>
      </c>
      <c r="H2157" t="str">
        <f t="shared" si="48"/>
        <v>GUARDIAN</v>
      </c>
    </row>
    <row r="2158" spans="5:8" x14ac:dyDescent="0.25">
      <c r="E2158" t="str">
        <f>""</f>
        <v/>
      </c>
      <c r="F2158" t="str">
        <f>""</f>
        <v/>
      </c>
      <c r="H2158" t="str">
        <f t="shared" si="48"/>
        <v>GUARDIAN</v>
      </c>
    </row>
    <row r="2159" spans="5:8" x14ac:dyDescent="0.25">
      <c r="E2159" t="str">
        <f>""</f>
        <v/>
      </c>
      <c r="F2159" t="str">
        <f>""</f>
        <v/>
      </c>
      <c r="H2159" t="str">
        <f t="shared" si="48"/>
        <v>GUARDIAN</v>
      </c>
    </row>
    <row r="2160" spans="5:8" x14ac:dyDescent="0.25">
      <c r="E2160" t="str">
        <f>""</f>
        <v/>
      </c>
      <c r="F2160" t="str">
        <f>""</f>
        <v/>
      </c>
      <c r="H2160" t="str">
        <f t="shared" si="48"/>
        <v>GUARDIAN</v>
      </c>
    </row>
    <row r="2161" spans="5:8" x14ac:dyDescent="0.25">
      <c r="E2161" t="str">
        <f>""</f>
        <v/>
      </c>
      <c r="F2161" t="str">
        <f>""</f>
        <v/>
      </c>
      <c r="H2161" t="str">
        <f t="shared" si="48"/>
        <v>GUARDIAN</v>
      </c>
    </row>
    <row r="2162" spans="5:8" x14ac:dyDescent="0.25">
      <c r="E2162" t="str">
        <f>""</f>
        <v/>
      </c>
      <c r="F2162" t="str">
        <f>""</f>
        <v/>
      </c>
      <c r="H2162" t="str">
        <f t="shared" si="48"/>
        <v>GUARDIAN</v>
      </c>
    </row>
    <row r="2163" spans="5:8" x14ac:dyDescent="0.25">
      <c r="E2163" t="str">
        <f>""</f>
        <v/>
      </c>
      <c r="F2163" t="str">
        <f>""</f>
        <v/>
      </c>
      <c r="H2163" t="str">
        <f t="shared" si="48"/>
        <v>GUARDIAN</v>
      </c>
    </row>
    <row r="2164" spans="5:8" x14ac:dyDescent="0.25">
      <c r="E2164" t="str">
        <f>""</f>
        <v/>
      </c>
      <c r="F2164" t="str">
        <f>""</f>
        <v/>
      </c>
      <c r="H2164" t="str">
        <f t="shared" si="48"/>
        <v>GUARDIAN</v>
      </c>
    </row>
    <row r="2165" spans="5:8" x14ac:dyDescent="0.25">
      <c r="E2165" t="str">
        <f>""</f>
        <v/>
      </c>
      <c r="F2165" t="str">
        <f>""</f>
        <v/>
      </c>
      <c r="H2165" t="str">
        <f t="shared" si="48"/>
        <v>GUARDIAN</v>
      </c>
    </row>
    <row r="2166" spans="5:8" x14ac:dyDescent="0.25">
      <c r="E2166" t="str">
        <f>""</f>
        <v/>
      </c>
      <c r="F2166" t="str">
        <f>""</f>
        <v/>
      </c>
      <c r="H2166" t="str">
        <f t="shared" si="48"/>
        <v>GUARDIAN</v>
      </c>
    </row>
    <row r="2167" spans="5:8" x14ac:dyDescent="0.25">
      <c r="E2167" t="str">
        <f>""</f>
        <v/>
      </c>
      <c r="F2167" t="str">
        <f>""</f>
        <v/>
      </c>
      <c r="H2167" t="str">
        <f t="shared" si="48"/>
        <v>GUARDIAN</v>
      </c>
    </row>
    <row r="2168" spans="5:8" x14ac:dyDescent="0.25">
      <c r="E2168" t="str">
        <f>""</f>
        <v/>
      </c>
      <c r="F2168" t="str">
        <f>""</f>
        <v/>
      </c>
      <c r="H2168" t="str">
        <f t="shared" si="48"/>
        <v>GUARDIAN</v>
      </c>
    </row>
    <row r="2169" spans="5:8" x14ac:dyDescent="0.25">
      <c r="E2169" t="str">
        <f>""</f>
        <v/>
      </c>
      <c r="F2169" t="str">
        <f>""</f>
        <v/>
      </c>
      <c r="H2169" t="str">
        <f t="shared" si="48"/>
        <v>GUARDIAN</v>
      </c>
    </row>
    <row r="2170" spans="5:8" x14ac:dyDescent="0.25">
      <c r="E2170" t="str">
        <f>""</f>
        <v/>
      </c>
      <c r="F2170" t="str">
        <f>""</f>
        <v/>
      </c>
      <c r="H2170" t="str">
        <f t="shared" si="48"/>
        <v>GUARDIAN</v>
      </c>
    </row>
    <row r="2171" spans="5:8" x14ac:dyDescent="0.25">
      <c r="E2171" t="str">
        <f>""</f>
        <v/>
      </c>
      <c r="F2171" t="str">
        <f>""</f>
        <v/>
      </c>
      <c r="H2171" t="str">
        <f t="shared" si="48"/>
        <v>GUARDIAN</v>
      </c>
    </row>
    <row r="2172" spans="5:8" x14ac:dyDescent="0.25">
      <c r="E2172" t="str">
        <f>""</f>
        <v/>
      </c>
      <c r="F2172" t="str">
        <f>""</f>
        <v/>
      </c>
      <c r="H2172" t="str">
        <f t="shared" si="48"/>
        <v>GUARDIAN</v>
      </c>
    </row>
    <row r="2173" spans="5:8" x14ac:dyDescent="0.25">
      <c r="E2173" t="str">
        <f>""</f>
        <v/>
      </c>
      <c r="F2173" t="str">
        <f>""</f>
        <v/>
      </c>
      <c r="H2173" t="str">
        <f t="shared" si="48"/>
        <v>GUARDIAN</v>
      </c>
    </row>
    <row r="2174" spans="5:8" x14ac:dyDescent="0.25">
      <c r="E2174" t="str">
        <f>""</f>
        <v/>
      </c>
      <c r="F2174" t="str">
        <f>""</f>
        <v/>
      </c>
      <c r="H2174" t="str">
        <f t="shared" si="48"/>
        <v>GUARDIAN</v>
      </c>
    </row>
    <row r="2175" spans="5:8" x14ac:dyDescent="0.25">
      <c r="E2175" t="str">
        <f>""</f>
        <v/>
      </c>
      <c r="F2175" t="str">
        <f>""</f>
        <v/>
      </c>
      <c r="H2175" t="str">
        <f t="shared" ref="H2175:H2206" si="49">"GUARDIAN"</f>
        <v>GUARDIAN</v>
      </c>
    </row>
    <row r="2176" spans="5:8" x14ac:dyDescent="0.25">
      <c r="E2176" t="str">
        <f>""</f>
        <v/>
      </c>
      <c r="F2176" t="str">
        <f>""</f>
        <v/>
      </c>
      <c r="H2176" t="str">
        <f t="shared" si="49"/>
        <v>GUARDIAN</v>
      </c>
    </row>
    <row r="2177" spans="5:8" x14ac:dyDescent="0.25">
      <c r="E2177" t="str">
        <f>""</f>
        <v/>
      </c>
      <c r="F2177" t="str">
        <f>""</f>
        <v/>
      </c>
      <c r="H2177" t="str">
        <f t="shared" si="49"/>
        <v>GUARDIAN</v>
      </c>
    </row>
    <row r="2178" spans="5:8" x14ac:dyDescent="0.25">
      <c r="E2178" t="str">
        <f>""</f>
        <v/>
      </c>
      <c r="F2178" t="str">
        <f>""</f>
        <v/>
      </c>
      <c r="H2178" t="str">
        <f t="shared" si="49"/>
        <v>GUARDIAN</v>
      </c>
    </row>
    <row r="2179" spans="5:8" x14ac:dyDescent="0.25">
      <c r="E2179" t="str">
        <f>""</f>
        <v/>
      </c>
      <c r="F2179" t="str">
        <f>""</f>
        <v/>
      </c>
      <c r="H2179" t="str">
        <f t="shared" si="49"/>
        <v>GUARDIAN</v>
      </c>
    </row>
    <row r="2180" spans="5:8" x14ac:dyDescent="0.25">
      <c r="E2180" t="str">
        <f>""</f>
        <v/>
      </c>
      <c r="F2180" t="str">
        <f>""</f>
        <v/>
      </c>
      <c r="H2180" t="str">
        <f t="shared" si="49"/>
        <v>GUARDIAN</v>
      </c>
    </row>
    <row r="2181" spans="5:8" x14ac:dyDescent="0.25">
      <c r="E2181" t="str">
        <f>""</f>
        <v/>
      </c>
      <c r="F2181" t="str">
        <f>""</f>
        <v/>
      </c>
      <c r="H2181" t="str">
        <f t="shared" si="49"/>
        <v>GUARDIAN</v>
      </c>
    </row>
    <row r="2182" spans="5:8" x14ac:dyDescent="0.25">
      <c r="E2182" t="str">
        <f>""</f>
        <v/>
      </c>
      <c r="F2182" t="str">
        <f>""</f>
        <v/>
      </c>
      <c r="H2182" t="str">
        <f t="shared" si="49"/>
        <v>GUARDIAN</v>
      </c>
    </row>
    <row r="2183" spans="5:8" x14ac:dyDescent="0.25">
      <c r="E2183" t="str">
        <f>""</f>
        <v/>
      </c>
      <c r="F2183" t="str">
        <f>""</f>
        <v/>
      </c>
      <c r="H2183" t="str">
        <f t="shared" si="49"/>
        <v>GUARDIAN</v>
      </c>
    </row>
    <row r="2184" spans="5:8" x14ac:dyDescent="0.25">
      <c r="E2184" t="str">
        <f>""</f>
        <v/>
      </c>
      <c r="F2184" t="str">
        <f>""</f>
        <v/>
      </c>
      <c r="H2184" t="str">
        <f t="shared" si="49"/>
        <v>GUARDIAN</v>
      </c>
    </row>
    <row r="2185" spans="5:8" x14ac:dyDescent="0.25">
      <c r="E2185" t="str">
        <f>""</f>
        <v/>
      </c>
      <c r="F2185" t="str">
        <f>""</f>
        <v/>
      </c>
      <c r="H2185" t="str">
        <f t="shared" si="49"/>
        <v>GUARDIAN</v>
      </c>
    </row>
    <row r="2186" spans="5:8" x14ac:dyDescent="0.25">
      <c r="E2186" t="str">
        <f>""</f>
        <v/>
      </c>
      <c r="F2186" t="str">
        <f>""</f>
        <v/>
      </c>
      <c r="H2186" t="str">
        <f t="shared" si="49"/>
        <v>GUARDIAN</v>
      </c>
    </row>
    <row r="2187" spans="5:8" x14ac:dyDescent="0.25">
      <c r="E2187" t="str">
        <f>""</f>
        <v/>
      </c>
      <c r="F2187" t="str">
        <f>""</f>
        <v/>
      </c>
      <c r="H2187" t="str">
        <f t="shared" si="49"/>
        <v>GUARDIAN</v>
      </c>
    </row>
    <row r="2188" spans="5:8" x14ac:dyDescent="0.25">
      <c r="E2188" t="str">
        <f>""</f>
        <v/>
      </c>
      <c r="F2188" t="str">
        <f>""</f>
        <v/>
      </c>
      <c r="H2188" t="str">
        <f t="shared" si="49"/>
        <v>GUARDIAN</v>
      </c>
    </row>
    <row r="2189" spans="5:8" x14ac:dyDescent="0.25">
      <c r="E2189" t="str">
        <f>""</f>
        <v/>
      </c>
      <c r="F2189" t="str">
        <f>""</f>
        <v/>
      </c>
      <c r="H2189" t="str">
        <f t="shared" si="49"/>
        <v>GUARDIAN</v>
      </c>
    </row>
    <row r="2190" spans="5:8" x14ac:dyDescent="0.25">
      <c r="E2190" t="str">
        <f>""</f>
        <v/>
      </c>
      <c r="F2190" t="str">
        <f>""</f>
        <v/>
      </c>
      <c r="H2190" t="str">
        <f t="shared" si="49"/>
        <v>GUARDIAN</v>
      </c>
    </row>
    <row r="2191" spans="5:8" x14ac:dyDescent="0.25">
      <c r="E2191" t="str">
        <f>""</f>
        <v/>
      </c>
      <c r="F2191" t="str">
        <f>""</f>
        <v/>
      </c>
      <c r="H2191" t="str">
        <f t="shared" si="49"/>
        <v>GUARDIAN</v>
      </c>
    </row>
    <row r="2192" spans="5:8" x14ac:dyDescent="0.25">
      <c r="E2192" t="str">
        <f>""</f>
        <v/>
      </c>
      <c r="F2192" t="str">
        <f>""</f>
        <v/>
      </c>
      <c r="H2192" t="str">
        <f t="shared" si="49"/>
        <v>GUARDIAN</v>
      </c>
    </row>
    <row r="2193" spans="5:8" x14ac:dyDescent="0.25">
      <c r="E2193" t="str">
        <f>""</f>
        <v/>
      </c>
      <c r="F2193" t="str">
        <f>""</f>
        <v/>
      </c>
      <c r="H2193" t="str">
        <f t="shared" si="49"/>
        <v>GUARDIAN</v>
      </c>
    </row>
    <row r="2194" spans="5:8" x14ac:dyDescent="0.25">
      <c r="E2194" t="str">
        <f>""</f>
        <v/>
      </c>
      <c r="F2194" t="str">
        <f>""</f>
        <v/>
      </c>
      <c r="H2194" t="str">
        <f t="shared" si="49"/>
        <v>GUARDIAN</v>
      </c>
    </row>
    <row r="2195" spans="5:8" x14ac:dyDescent="0.25">
      <c r="E2195" t="str">
        <f>""</f>
        <v/>
      </c>
      <c r="F2195" t="str">
        <f>""</f>
        <v/>
      </c>
      <c r="H2195" t="str">
        <f t="shared" si="49"/>
        <v>GUARDIAN</v>
      </c>
    </row>
    <row r="2196" spans="5:8" x14ac:dyDescent="0.25">
      <c r="E2196" t="str">
        <f>""</f>
        <v/>
      </c>
      <c r="F2196" t="str">
        <f>""</f>
        <v/>
      </c>
      <c r="H2196" t="str">
        <f t="shared" si="49"/>
        <v>GUARDIAN</v>
      </c>
    </row>
    <row r="2197" spans="5:8" x14ac:dyDescent="0.25">
      <c r="E2197" t="str">
        <f>""</f>
        <v/>
      </c>
      <c r="F2197" t="str">
        <f>""</f>
        <v/>
      </c>
      <c r="H2197" t="str">
        <f t="shared" si="49"/>
        <v>GUARDIAN</v>
      </c>
    </row>
    <row r="2198" spans="5:8" x14ac:dyDescent="0.25">
      <c r="E2198" t="str">
        <f>""</f>
        <v/>
      </c>
      <c r="F2198" t="str">
        <f>""</f>
        <v/>
      </c>
      <c r="H2198" t="str">
        <f t="shared" si="49"/>
        <v>GUARDIAN</v>
      </c>
    </row>
    <row r="2199" spans="5:8" x14ac:dyDescent="0.25">
      <c r="E2199" t="str">
        <f>""</f>
        <v/>
      </c>
      <c r="F2199" t="str">
        <f>""</f>
        <v/>
      </c>
      <c r="H2199" t="str">
        <f t="shared" si="49"/>
        <v>GUARDIAN</v>
      </c>
    </row>
    <row r="2200" spans="5:8" x14ac:dyDescent="0.25">
      <c r="E2200" t="str">
        <f>""</f>
        <v/>
      </c>
      <c r="F2200" t="str">
        <f>""</f>
        <v/>
      </c>
      <c r="H2200" t="str">
        <f t="shared" si="49"/>
        <v>GUARDIAN</v>
      </c>
    </row>
    <row r="2201" spans="5:8" x14ac:dyDescent="0.25">
      <c r="E2201" t="str">
        <f>""</f>
        <v/>
      </c>
      <c r="F2201" t="str">
        <f>""</f>
        <v/>
      </c>
      <c r="H2201" t="str">
        <f t="shared" si="49"/>
        <v>GUARDIAN</v>
      </c>
    </row>
    <row r="2202" spans="5:8" x14ac:dyDescent="0.25">
      <c r="E2202" t="str">
        <f>""</f>
        <v/>
      </c>
      <c r="F2202" t="str">
        <f>""</f>
        <v/>
      </c>
      <c r="H2202" t="str">
        <f t="shared" si="49"/>
        <v>GUARDIAN</v>
      </c>
    </row>
    <row r="2203" spans="5:8" x14ac:dyDescent="0.25">
      <c r="E2203" t="str">
        <f>""</f>
        <v/>
      </c>
      <c r="F2203" t="str">
        <f>""</f>
        <v/>
      </c>
      <c r="H2203" t="str">
        <f t="shared" si="49"/>
        <v>GUARDIAN</v>
      </c>
    </row>
    <row r="2204" spans="5:8" x14ac:dyDescent="0.25">
      <c r="E2204" t="str">
        <f>""</f>
        <v/>
      </c>
      <c r="F2204" t="str">
        <f>""</f>
        <v/>
      </c>
      <c r="H2204" t="str">
        <f t="shared" si="49"/>
        <v>GUARDIAN</v>
      </c>
    </row>
    <row r="2205" spans="5:8" x14ac:dyDescent="0.25">
      <c r="E2205" t="str">
        <f>""</f>
        <v/>
      </c>
      <c r="F2205" t="str">
        <f>""</f>
        <v/>
      </c>
      <c r="H2205" t="str">
        <f t="shared" si="49"/>
        <v>GUARDIAN</v>
      </c>
    </row>
    <row r="2206" spans="5:8" x14ac:dyDescent="0.25">
      <c r="E2206" t="str">
        <f>""</f>
        <v/>
      </c>
      <c r="F2206" t="str">
        <f>""</f>
        <v/>
      </c>
      <c r="H2206" t="str">
        <f t="shared" si="49"/>
        <v>GUARDIAN</v>
      </c>
    </row>
    <row r="2207" spans="5:8" x14ac:dyDescent="0.25">
      <c r="E2207" t="str">
        <f>"LIE202104142604"</f>
        <v>LIE202104142604</v>
      </c>
      <c r="F2207" t="str">
        <f>"GUARDIAN"</f>
        <v>GUARDIAN</v>
      </c>
      <c r="G2207" s="1">
        <v>77.25</v>
      </c>
      <c r="H2207" t="str">
        <f t="shared" ref="H2207:H2218" si="50">"GUARDIAN"</f>
        <v>GUARDIAN</v>
      </c>
    </row>
    <row r="2208" spans="5:8" x14ac:dyDescent="0.25">
      <c r="E2208" t="str">
        <f>""</f>
        <v/>
      </c>
      <c r="F2208" t="str">
        <f>""</f>
        <v/>
      </c>
      <c r="H2208" t="str">
        <f t="shared" si="50"/>
        <v>GUARDIAN</v>
      </c>
    </row>
    <row r="2209" spans="1:8" x14ac:dyDescent="0.25">
      <c r="E2209" t="str">
        <f>"LIS202103302364"</f>
        <v>LIS202103302364</v>
      </c>
      <c r="F2209" t="str">
        <f t="shared" ref="F2209:F2218" si="51">"GUARDIAN"</f>
        <v>GUARDIAN</v>
      </c>
      <c r="G2209" s="1">
        <v>502.38</v>
      </c>
      <c r="H2209" t="str">
        <f t="shared" si="50"/>
        <v>GUARDIAN</v>
      </c>
    </row>
    <row r="2210" spans="1:8" x14ac:dyDescent="0.25">
      <c r="E2210" t="str">
        <f>"LIS202103302365"</f>
        <v>LIS202103302365</v>
      </c>
      <c r="F2210" t="str">
        <f t="shared" si="51"/>
        <v>GUARDIAN</v>
      </c>
      <c r="G2210" s="1">
        <v>36.15</v>
      </c>
      <c r="H2210" t="str">
        <f t="shared" si="50"/>
        <v>GUARDIAN</v>
      </c>
    </row>
    <row r="2211" spans="1:8" x14ac:dyDescent="0.25">
      <c r="E2211" t="str">
        <f>"LIS202104142603"</f>
        <v>LIS202104142603</v>
      </c>
      <c r="F2211" t="str">
        <f t="shared" si="51"/>
        <v>GUARDIAN</v>
      </c>
      <c r="G2211" s="1">
        <v>502.38</v>
      </c>
      <c r="H2211" t="str">
        <f t="shared" si="50"/>
        <v>GUARDIAN</v>
      </c>
    </row>
    <row r="2212" spans="1:8" x14ac:dyDescent="0.25">
      <c r="E2212" t="str">
        <f>"LIS202104142604"</f>
        <v>LIS202104142604</v>
      </c>
      <c r="F2212" t="str">
        <f t="shared" si="51"/>
        <v>GUARDIAN</v>
      </c>
      <c r="G2212" s="1">
        <v>36.15</v>
      </c>
      <c r="H2212" t="str">
        <f t="shared" si="50"/>
        <v>GUARDIAN</v>
      </c>
    </row>
    <row r="2213" spans="1:8" x14ac:dyDescent="0.25">
      <c r="E2213" t="str">
        <f>"LTD202103302364"</f>
        <v>LTD202103302364</v>
      </c>
      <c r="F2213" t="str">
        <f t="shared" si="51"/>
        <v>GUARDIAN</v>
      </c>
      <c r="G2213" s="1">
        <v>960.58</v>
      </c>
      <c r="H2213" t="str">
        <f t="shared" si="50"/>
        <v>GUARDIAN</v>
      </c>
    </row>
    <row r="2214" spans="1:8" x14ac:dyDescent="0.25">
      <c r="E2214" t="str">
        <f>"LTD202104142603"</f>
        <v>LTD202104142603</v>
      </c>
      <c r="F2214" t="str">
        <f t="shared" si="51"/>
        <v>GUARDIAN</v>
      </c>
      <c r="G2214" s="1">
        <v>924.62</v>
      </c>
      <c r="H2214" t="str">
        <f t="shared" si="50"/>
        <v>GUARDIAN</v>
      </c>
    </row>
    <row r="2215" spans="1:8" x14ac:dyDescent="0.25">
      <c r="A2215" t="s">
        <v>382</v>
      </c>
      <c r="B2215">
        <v>1037</v>
      </c>
      <c r="C2215" s="1">
        <v>97.24</v>
      </c>
      <c r="D2215" s="6">
        <v>44312</v>
      </c>
      <c r="E2215" t="str">
        <f>"AEG202103302364"</f>
        <v>AEG202103302364</v>
      </c>
      <c r="F2215" t="str">
        <f t="shared" si="51"/>
        <v>GUARDIAN</v>
      </c>
      <c r="G2215" s="1">
        <v>6.66</v>
      </c>
      <c r="H2215" t="str">
        <f t="shared" si="50"/>
        <v>GUARDIAN</v>
      </c>
    </row>
    <row r="2216" spans="1:8" x14ac:dyDescent="0.25">
      <c r="E2216" t="str">
        <f>"AEG202104142603"</f>
        <v>AEG202104142603</v>
      </c>
      <c r="F2216" t="str">
        <f t="shared" si="51"/>
        <v>GUARDIAN</v>
      </c>
      <c r="G2216" s="1">
        <v>6.66</v>
      </c>
      <c r="H2216" t="str">
        <f t="shared" si="50"/>
        <v>GUARDIAN</v>
      </c>
    </row>
    <row r="2217" spans="1:8" x14ac:dyDescent="0.25">
      <c r="E2217" t="str">
        <f>"AFG202103302364"</f>
        <v>AFG202103302364</v>
      </c>
      <c r="F2217" t="str">
        <f t="shared" si="51"/>
        <v>GUARDIAN</v>
      </c>
      <c r="G2217" s="1">
        <v>41.96</v>
      </c>
      <c r="H2217" t="str">
        <f t="shared" si="50"/>
        <v>GUARDIAN</v>
      </c>
    </row>
    <row r="2218" spans="1:8" x14ac:dyDescent="0.25">
      <c r="E2218" t="str">
        <f>"AFG202104142603"</f>
        <v>AFG202104142603</v>
      </c>
      <c r="F2218" t="str">
        <f t="shared" si="51"/>
        <v>GUARDIAN</v>
      </c>
      <c r="G2218" s="1">
        <v>41.96</v>
      </c>
      <c r="H2218" t="str">
        <f t="shared" si="50"/>
        <v>GUARDIAN</v>
      </c>
    </row>
    <row r="2219" spans="1:8" x14ac:dyDescent="0.25">
      <c r="A2219" t="s">
        <v>383</v>
      </c>
      <c r="B2219">
        <v>990</v>
      </c>
      <c r="C2219" s="1">
        <v>249180.73</v>
      </c>
      <c r="D2219" s="6">
        <v>44287</v>
      </c>
      <c r="E2219" t="str">
        <f>"T1 202103302364"</f>
        <v>T1 202103302364</v>
      </c>
      <c r="F2219" t="str">
        <f>"FEDERAL WITHHOLDING"</f>
        <v>FEDERAL WITHHOLDING</v>
      </c>
      <c r="G2219" s="1">
        <v>84001.61</v>
      </c>
      <c r="H2219" t="str">
        <f>"FEDERAL WITHHOLDING"</f>
        <v>FEDERAL WITHHOLDING</v>
      </c>
    </row>
    <row r="2220" spans="1:8" x14ac:dyDescent="0.25">
      <c r="E2220" t="str">
        <f>"T1 202103302365"</f>
        <v>T1 202103302365</v>
      </c>
      <c r="F2220" t="str">
        <f>"FEDERAL WITHHOLDING"</f>
        <v>FEDERAL WITHHOLDING</v>
      </c>
      <c r="G2220" s="1">
        <v>2948.45</v>
      </c>
      <c r="H2220" t="str">
        <f>"FEDERAL WITHHOLDING"</f>
        <v>FEDERAL WITHHOLDING</v>
      </c>
    </row>
    <row r="2221" spans="1:8" x14ac:dyDescent="0.25">
      <c r="E2221" t="str">
        <f>"T1 202103302366"</f>
        <v>T1 202103302366</v>
      </c>
      <c r="F2221" t="str">
        <f>"FEDERAL WITHHOLDING"</f>
        <v>FEDERAL WITHHOLDING</v>
      </c>
      <c r="G2221" s="1">
        <v>3162.33</v>
      </c>
      <c r="H2221" t="str">
        <f>"FEDERAL WITHHOLDING"</f>
        <v>FEDERAL WITHHOLDING</v>
      </c>
    </row>
    <row r="2222" spans="1:8" x14ac:dyDescent="0.25">
      <c r="E2222" t="str">
        <f>"T3 202103302364"</f>
        <v>T3 202103302364</v>
      </c>
      <c r="F2222" t="str">
        <f>"SOCIAL SECURITY TAXES"</f>
        <v>SOCIAL SECURITY TAXES</v>
      </c>
      <c r="G2222" s="1">
        <v>119941.82</v>
      </c>
      <c r="H2222" t="str">
        <f t="shared" ref="H2222:H2253" si="52">"SOCIAL SECURITY TAXES"</f>
        <v>SOCIAL SECURITY TAXES</v>
      </c>
    </row>
    <row r="2223" spans="1:8" x14ac:dyDescent="0.25">
      <c r="E2223" t="str">
        <f>""</f>
        <v/>
      </c>
      <c r="F2223" t="str">
        <f>""</f>
        <v/>
      </c>
      <c r="H2223" t="str">
        <f t="shared" si="52"/>
        <v>SOCIAL SECURITY TAXES</v>
      </c>
    </row>
    <row r="2224" spans="1:8" x14ac:dyDescent="0.25">
      <c r="E2224" t="str">
        <f>""</f>
        <v/>
      </c>
      <c r="F2224" t="str">
        <f>""</f>
        <v/>
      </c>
      <c r="H2224" t="str">
        <f t="shared" si="52"/>
        <v>SOCIAL SECURITY TAXES</v>
      </c>
    </row>
    <row r="2225" spans="5:8" x14ac:dyDescent="0.25">
      <c r="E2225" t="str">
        <f>""</f>
        <v/>
      </c>
      <c r="F2225" t="str">
        <f>""</f>
        <v/>
      </c>
      <c r="H2225" t="str">
        <f t="shared" si="52"/>
        <v>SOCIAL SECURITY TAXES</v>
      </c>
    </row>
    <row r="2226" spans="5:8" x14ac:dyDescent="0.25">
      <c r="E2226" t="str">
        <f>""</f>
        <v/>
      </c>
      <c r="F2226" t="str">
        <f>""</f>
        <v/>
      </c>
      <c r="H2226" t="str">
        <f t="shared" si="52"/>
        <v>SOCIAL SECURITY TAXES</v>
      </c>
    </row>
    <row r="2227" spans="5:8" x14ac:dyDescent="0.25">
      <c r="E2227" t="str">
        <f>""</f>
        <v/>
      </c>
      <c r="F2227" t="str">
        <f>""</f>
        <v/>
      </c>
      <c r="H2227" t="str">
        <f t="shared" si="52"/>
        <v>SOCIAL SECURITY TAXES</v>
      </c>
    </row>
    <row r="2228" spans="5:8" x14ac:dyDescent="0.25">
      <c r="E2228" t="str">
        <f>""</f>
        <v/>
      </c>
      <c r="F2228" t="str">
        <f>""</f>
        <v/>
      </c>
      <c r="H2228" t="str">
        <f t="shared" si="52"/>
        <v>SOCIAL SECURITY TAXES</v>
      </c>
    </row>
    <row r="2229" spans="5:8" x14ac:dyDescent="0.25">
      <c r="E2229" t="str">
        <f>""</f>
        <v/>
      </c>
      <c r="F2229" t="str">
        <f>""</f>
        <v/>
      </c>
      <c r="H2229" t="str">
        <f t="shared" si="52"/>
        <v>SOCIAL SECURITY TAXES</v>
      </c>
    </row>
    <row r="2230" spans="5:8" x14ac:dyDescent="0.25">
      <c r="E2230" t="str">
        <f>""</f>
        <v/>
      </c>
      <c r="F2230" t="str">
        <f>""</f>
        <v/>
      </c>
      <c r="H2230" t="str">
        <f t="shared" si="52"/>
        <v>SOCIAL SECURITY TAXES</v>
      </c>
    </row>
    <row r="2231" spans="5:8" x14ac:dyDescent="0.25">
      <c r="E2231" t="str">
        <f>""</f>
        <v/>
      </c>
      <c r="F2231" t="str">
        <f>""</f>
        <v/>
      </c>
      <c r="H2231" t="str">
        <f t="shared" si="52"/>
        <v>SOCIAL SECURITY TAXES</v>
      </c>
    </row>
    <row r="2232" spans="5:8" x14ac:dyDescent="0.25">
      <c r="E2232" t="str">
        <f>""</f>
        <v/>
      </c>
      <c r="F2232" t="str">
        <f>""</f>
        <v/>
      </c>
      <c r="H2232" t="str">
        <f t="shared" si="52"/>
        <v>SOCIAL SECURITY TAXES</v>
      </c>
    </row>
    <row r="2233" spans="5:8" x14ac:dyDescent="0.25">
      <c r="E2233" t="str">
        <f>""</f>
        <v/>
      </c>
      <c r="F2233" t="str">
        <f>""</f>
        <v/>
      </c>
      <c r="H2233" t="str">
        <f t="shared" si="52"/>
        <v>SOCIAL SECURITY TAXES</v>
      </c>
    </row>
    <row r="2234" spans="5:8" x14ac:dyDescent="0.25">
      <c r="E2234" t="str">
        <f>""</f>
        <v/>
      </c>
      <c r="F2234" t="str">
        <f>""</f>
        <v/>
      </c>
      <c r="H2234" t="str">
        <f t="shared" si="52"/>
        <v>SOCIAL SECURITY TAXES</v>
      </c>
    </row>
    <row r="2235" spans="5:8" x14ac:dyDescent="0.25">
      <c r="E2235" t="str">
        <f>""</f>
        <v/>
      </c>
      <c r="F2235" t="str">
        <f>""</f>
        <v/>
      </c>
      <c r="H2235" t="str">
        <f t="shared" si="52"/>
        <v>SOCIAL SECURITY TAXES</v>
      </c>
    </row>
    <row r="2236" spans="5:8" x14ac:dyDescent="0.25">
      <c r="E2236" t="str">
        <f>""</f>
        <v/>
      </c>
      <c r="F2236" t="str">
        <f>""</f>
        <v/>
      </c>
      <c r="H2236" t="str">
        <f t="shared" si="52"/>
        <v>SOCIAL SECURITY TAXES</v>
      </c>
    </row>
    <row r="2237" spans="5:8" x14ac:dyDescent="0.25">
      <c r="E2237" t="str">
        <f>""</f>
        <v/>
      </c>
      <c r="F2237" t="str">
        <f>""</f>
        <v/>
      </c>
      <c r="H2237" t="str">
        <f t="shared" si="52"/>
        <v>SOCIAL SECURITY TAXES</v>
      </c>
    </row>
    <row r="2238" spans="5:8" x14ac:dyDescent="0.25">
      <c r="E2238" t="str">
        <f>""</f>
        <v/>
      </c>
      <c r="F2238" t="str">
        <f>""</f>
        <v/>
      </c>
      <c r="H2238" t="str">
        <f t="shared" si="52"/>
        <v>SOCIAL SECURITY TAXES</v>
      </c>
    </row>
    <row r="2239" spans="5:8" x14ac:dyDescent="0.25">
      <c r="E2239" t="str">
        <f>""</f>
        <v/>
      </c>
      <c r="F2239" t="str">
        <f>""</f>
        <v/>
      </c>
      <c r="H2239" t="str">
        <f t="shared" si="52"/>
        <v>SOCIAL SECURITY TAXES</v>
      </c>
    </row>
    <row r="2240" spans="5:8" x14ac:dyDescent="0.25">
      <c r="E2240" t="str">
        <f>""</f>
        <v/>
      </c>
      <c r="F2240" t="str">
        <f>""</f>
        <v/>
      </c>
      <c r="H2240" t="str">
        <f t="shared" si="52"/>
        <v>SOCIAL SECURITY TAXES</v>
      </c>
    </row>
    <row r="2241" spans="5:8" x14ac:dyDescent="0.25">
      <c r="E2241" t="str">
        <f>""</f>
        <v/>
      </c>
      <c r="F2241" t="str">
        <f>""</f>
        <v/>
      </c>
      <c r="H2241" t="str">
        <f t="shared" si="52"/>
        <v>SOCIAL SECURITY TAXES</v>
      </c>
    </row>
    <row r="2242" spans="5:8" x14ac:dyDescent="0.25">
      <c r="E2242" t="str">
        <f>""</f>
        <v/>
      </c>
      <c r="F2242" t="str">
        <f>""</f>
        <v/>
      </c>
      <c r="H2242" t="str">
        <f t="shared" si="52"/>
        <v>SOCIAL SECURITY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52"/>
        <v>SOCIAL SECURITY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52"/>
        <v>SOCIAL SECURITY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52"/>
        <v>SOCIAL SECURITY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52"/>
        <v>SOCIAL SECURITY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52"/>
        <v>SOCIAL SECURITY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52"/>
        <v>SOCIAL SECURITY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52"/>
        <v>SOCIAL SECURITY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52"/>
        <v>SOCIAL SECURITY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52"/>
        <v>SOCIAL SECURITY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52"/>
        <v>SOCIAL SECURITY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52"/>
        <v>SOCIAL SECURITY TAXES</v>
      </c>
    </row>
    <row r="2254" spans="5:8" x14ac:dyDescent="0.25">
      <c r="E2254" t="str">
        <f>""</f>
        <v/>
      </c>
      <c r="F2254" t="str">
        <f>""</f>
        <v/>
      </c>
      <c r="H2254" t="str">
        <f t="shared" ref="H2254:H2278" si="53">"SOCIAL SECURITY TAXES"</f>
        <v>SOCIAL SECURITY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53"/>
        <v>SOCIAL SECURITY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53"/>
        <v>SOCIAL SECURITY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53"/>
        <v>SOCIAL SECURITY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53"/>
        <v>SOCIAL SECURITY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53"/>
        <v>SOCIAL SECURITY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53"/>
        <v>SOCIAL SECURITY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53"/>
        <v>SOCIAL SECURITY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53"/>
        <v>SOCIAL SECURITY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53"/>
        <v>SOCIAL SECURITY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53"/>
        <v>SOCIAL SECURITY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53"/>
        <v>SOCIAL SECURITY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53"/>
        <v>SOCIAL SECURITY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53"/>
        <v>SOCIAL SECURITY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53"/>
        <v>SOCIAL SECURITY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53"/>
        <v>SOCIAL SECURITY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53"/>
        <v>SOCIAL SECURITY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53"/>
        <v>SOCIAL SECURITY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53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53"/>
        <v>SOCIAL SECURITY TAXES</v>
      </c>
    </row>
    <row r="2274" spans="5:8" x14ac:dyDescent="0.25">
      <c r="E2274" t="str">
        <f>""</f>
        <v/>
      </c>
      <c r="F2274" t="str">
        <f>""</f>
        <v/>
      </c>
      <c r="H2274" t="str">
        <f t="shared" si="53"/>
        <v>SOCIAL SECURITY TAXES</v>
      </c>
    </row>
    <row r="2275" spans="5:8" x14ac:dyDescent="0.25">
      <c r="E2275" t="str">
        <f>"T3 202103302365"</f>
        <v>T3 202103302365</v>
      </c>
      <c r="F2275" t="str">
        <f>"SOCIAL SECURITY TAXES"</f>
        <v>SOCIAL SECURITY TAXES</v>
      </c>
      <c r="G2275" s="1">
        <v>4181.8599999999997</v>
      </c>
      <c r="H2275" t="str">
        <f t="shared" si="53"/>
        <v>SOCIAL SECURITY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53"/>
        <v>SOCIAL SECURITY TAXES</v>
      </c>
    </row>
    <row r="2277" spans="5:8" x14ac:dyDescent="0.25">
      <c r="E2277" t="str">
        <f>"T3 202103302366"</f>
        <v>T3 202103302366</v>
      </c>
      <c r="F2277" t="str">
        <f>"SOCIAL SECURITY TAXES"</f>
        <v>SOCIAL SECURITY TAXES</v>
      </c>
      <c r="G2277" s="1">
        <v>4794.3</v>
      </c>
      <c r="H2277" t="str">
        <f t="shared" si="53"/>
        <v>SOCIAL SECURITY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53"/>
        <v>SOCIAL SECURITY TAXES</v>
      </c>
    </row>
    <row r="2279" spans="5:8" x14ac:dyDescent="0.25">
      <c r="E2279" t="str">
        <f>"T4 202103302364"</f>
        <v>T4 202103302364</v>
      </c>
      <c r="F2279" t="str">
        <f>"MEDICARE TAXES"</f>
        <v>MEDICARE TAXES</v>
      </c>
      <c r="G2279" s="1">
        <v>28051</v>
      </c>
      <c r="H2279" t="str">
        <f t="shared" ref="H2279:H2310" si="54">"MEDICARE TAXES"</f>
        <v>MEDICARE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54"/>
        <v>MEDICARE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54"/>
        <v>MEDICARE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54"/>
        <v>MEDICARE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54"/>
        <v>MEDICARE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54"/>
        <v>MEDICARE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54"/>
        <v>MEDICARE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54"/>
        <v>MEDICARE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54"/>
        <v>MEDICARE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54"/>
        <v>MEDICARE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54"/>
        <v>MEDICARE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54"/>
        <v>MEDICARE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54"/>
        <v>MEDICARE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54"/>
        <v>MEDICARE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54"/>
        <v>MEDICARE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54"/>
        <v>MEDICARE TAXES</v>
      </c>
    </row>
    <row r="2295" spans="5:8" x14ac:dyDescent="0.25">
      <c r="E2295" t="str">
        <f>""</f>
        <v/>
      </c>
      <c r="F2295" t="str">
        <f>""</f>
        <v/>
      </c>
      <c r="H2295" t="str">
        <f t="shared" si="54"/>
        <v>MEDICARE TAXES</v>
      </c>
    </row>
    <row r="2296" spans="5:8" x14ac:dyDescent="0.25">
      <c r="E2296" t="str">
        <f>""</f>
        <v/>
      </c>
      <c r="F2296" t="str">
        <f>""</f>
        <v/>
      </c>
      <c r="H2296" t="str">
        <f t="shared" si="54"/>
        <v>MEDICARE TAXES</v>
      </c>
    </row>
    <row r="2297" spans="5:8" x14ac:dyDescent="0.25">
      <c r="E2297" t="str">
        <f>""</f>
        <v/>
      </c>
      <c r="F2297" t="str">
        <f>""</f>
        <v/>
      </c>
      <c r="H2297" t="str">
        <f t="shared" si="54"/>
        <v>MEDICARE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54"/>
        <v>MEDICARE TAXES</v>
      </c>
    </row>
    <row r="2299" spans="5:8" x14ac:dyDescent="0.25">
      <c r="E2299" t="str">
        <f>""</f>
        <v/>
      </c>
      <c r="F2299" t="str">
        <f>""</f>
        <v/>
      </c>
      <c r="H2299" t="str">
        <f t="shared" si="54"/>
        <v>MEDICARE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54"/>
        <v>MEDICARE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54"/>
        <v>MEDICARE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54"/>
        <v>MEDICARE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54"/>
        <v>MEDICARE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54"/>
        <v>MEDICARE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54"/>
        <v>MEDICARE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54"/>
        <v>MEDICARE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54"/>
        <v>MEDICARE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54"/>
        <v>MEDICARE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54"/>
        <v>MEDICARE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54"/>
        <v>MEDICARE TAXES</v>
      </c>
    </row>
    <row r="2311" spans="5:8" x14ac:dyDescent="0.25">
      <c r="E2311" t="str">
        <f>""</f>
        <v/>
      </c>
      <c r="F2311" t="str">
        <f>""</f>
        <v/>
      </c>
      <c r="H2311" t="str">
        <f t="shared" ref="H2311:H2335" si="55">"MEDICARE TAXES"</f>
        <v>MEDICARE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55"/>
        <v>MEDICARE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55"/>
        <v>MEDICARE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55"/>
        <v>MEDICARE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55"/>
        <v>MEDICARE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55"/>
        <v>MEDICARE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55"/>
        <v>MEDICARE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55"/>
        <v>MEDICARE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55"/>
        <v>MEDICARE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55"/>
        <v>MEDICARE TAXES</v>
      </c>
    </row>
    <row r="2321" spans="1:8" x14ac:dyDescent="0.25">
      <c r="E2321" t="str">
        <f>""</f>
        <v/>
      </c>
      <c r="F2321" t="str">
        <f>""</f>
        <v/>
      </c>
      <c r="H2321" t="str">
        <f t="shared" si="55"/>
        <v>MEDICARE TAXES</v>
      </c>
    </row>
    <row r="2322" spans="1:8" x14ac:dyDescent="0.25">
      <c r="E2322" t="str">
        <f>""</f>
        <v/>
      </c>
      <c r="F2322" t="str">
        <f>""</f>
        <v/>
      </c>
      <c r="H2322" t="str">
        <f t="shared" si="55"/>
        <v>MEDICARE TAXES</v>
      </c>
    </row>
    <row r="2323" spans="1:8" x14ac:dyDescent="0.25">
      <c r="E2323" t="str">
        <f>""</f>
        <v/>
      </c>
      <c r="F2323" t="str">
        <f>""</f>
        <v/>
      </c>
      <c r="H2323" t="str">
        <f t="shared" si="55"/>
        <v>MEDICARE TAXES</v>
      </c>
    </row>
    <row r="2324" spans="1:8" x14ac:dyDescent="0.25">
      <c r="E2324" t="str">
        <f>""</f>
        <v/>
      </c>
      <c r="F2324" t="str">
        <f>""</f>
        <v/>
      </c>
      <c r="H2324" t="str">
        <f t="shared" si="55"/>
        <v>MEDICARE TAXES</v>
      </c>
    </row>
    <row r="2325" spans="1:8" x14ac:dyDescent="0.25">
      <c r="E2325" t="str">
        <f>""</f>
        <v/>
      </c>
      <c r="F2325" t="str">
        <f>""</f>
        <v/>
      </c>
      <c r="H2325" t="str">
        <f t="shared" si="55"/>
        <v>MEDICARE TAXES</v>
      </c>
    </row>
    <row r="2326" spans="1:8" x14ac:dyDescent="0.25">
      <c r="E2326" t="str">
        <f>""</f>
        <v/>
      </c>
      <c r="F2326" t="str">
        <f>""</f>
        <v/>
      </c>
      <c r="H2326" t="str">
        <f t="shared" si="55"/>
        <v>MEDICARE TAXES</v>
      </c>
    </row>
    <row r="2327" spans="1:8" x14ac:dyDescent="0.25">
      <c r="E2327" t="str">
        <f>""</f>
        <v/>
      </c>
      <c r="F2327" t="str">
        <f>""</f>
        <v/>
      </c>
      <c r="H2327" t="str">
        <f t="shared" si="55"/>
        <v>MEDICARE TAXES</v>
      </c>
    </row>
    <row r="2328" spans="1:8" x14ac:dyDescent="0.25">
      <c r="E2328" t="str">
        <f>""</f>
        <v/>
      </c>
      <c r="F2328" t="str">
        <f>""</f>
        <v/>
      </c>
      <c r="H2328" t="str">
        <f t="shared" si="55"/>
        <v>MEDICARE TAXES</v>
      </c>
    </row>
    <row r="2329" spans="1:8" x14ac:dyDescent="0.25">
      <c r="E2329" t="str">
        <f>""</f>
        <v/>
      </c>
      <c r="F2329" t="str">
        <f>""</f>
        <v/>
      </c>
      <c r="H2329" t="str">
        <f t="shared" si="55"/>
        <v>MEDICARE TAXES</v>
      </c>
    </row>
    <row r="2330" spans="1:8" x14ac:dyDescent="0.25">
      <c r="E2330" t="str">
        <f>""</f>
        <v/>
      </c>
      <c r="F2330" t="str">
        <f>""</f>
        <v/>
      </c>
      <c r="H2330" t="str">
        <f t="shared" si="55"/>
        <v>MEDICARE TAXES</v>
      </c>
    </row>
    <row r="2331" spans="1:8" x14ac:dyDescent="0.25">
      <c r="E2331" t="str">
        <f>""</f>
        <v/>
      </c>
      <c r="F2331" t="str">
        <f>""</f>
        <v/>
      </c>
      <c r="H2331" t="str">
        <f t="shared" si="55"/>
        <v>MEDICARE TAXES</v>
      </c>
    </row>
    <row r="2332" spans="1:8" x14ac:dyDescent="0.25">
      <c r="E2332" t="str">
        <f>"T4 202103302365"</f>
        <v>T4 202103302365</v>
      </c>
      <c r="F2332" t="str">
        <f>"MEDICARE TAXES"</f>
        <v>MEDICARE TAXES</v>
      </c>
      <c r="G2332" s="1">
        <v>978.06</v>
      </c>
      <c r="H2332" t="str">
        <f t="shared" si="55"/>
        <v>MEDICARE TAXES</v>
      </c>
    </row>
    <row r="2333" spans="1:8" x14ac:dyDescent="0.25">
      <c r="E2333" t="str">
        <f>""</f>
        <v/>
      </c>
      <c r="F2333" t="str">
        <f>""</f>
        <v/>
      </c>
      <c r="H2333" t="str">
        <f t="shared" si="55"/>
        <v>MEDICARE TAXES</v>
      </c>
    </row>
    <row r="2334" spans="1:8" x14ac:dyDescent="0.25">
      <c r="E2334" t="str">
        <f>"T4 202103302366"</f>
        <v>T4 202103302366</v>
      </c>
      <c r="F2334" t="str">
        <f>"MEDICARE TAXES"</f>
        <v>MEDICARE TAXES</v>
      </c>
      <c r="G2334" s="1">
        <v>1121.3</v>
      </c>
      <c r="H2334" t="str">
        <f t="shared" si="55"/>
        <v>MEDICARE TAXES</v>
      </c>
    </row>
    <row r="2335" spans="1:8" x14ac:dyDescent="0.25">
      <c r="E2335" t="str">
        <f>""</f>
        <v/>
      </c>
      <c r="F2335" t="str">
        <f>""</f>
        <v/>
      </c>
      <c r="H2335" t="str">
        <f t="shared" si="55"/>
        <v>MEDICARE TAXES</v>
      </c>
    </row>
    <row r="2336" spans="1:8" x14ac:dyDescent="0.25">
      <c r="A2336" t="s">
        <v>383</v>
      </c>
      <c r="B2336">
        <v>999</v>
      </c>
      <c r="C2336" s="1">
        <v>241803.57</v>
      </c>
      <c r="D2336" s="6">
        <v>44302</v>
      </c>
      <c r="E2336" t="str">
        <f>"T1 202104142603"</f>
        <v>T1 202104142603</v>
      </c>
      <c r="F2336" t="str">
        <f>"FEDERAL WITHHOLDING"</f>
        <v>FEDERAL WITHHOLDING</v>
      </c>
      <c r="G2336" s="1">
        <v>79306.53</v>
      </c>
      <c r="H2336" t="str">
        <f>"FEDERAL WITHHOLDING"</f>
        <v>FEDERAL WITHHOLDING</v>
      </c>
    </row>
    <row r="2337" spans="5:8" x14ac:dyDescent="0.25">
      <c r="E2337" t="str">
        <f>"T1 202104142604"</f>
        <v>T1 202104142604</v>
      </c>
      <c r="F2337" t="str">
        <f>"FEDERAL WITHHOLDING"</f>
        <v>FEDERAL WITHHOLDING</v>
      </c>
      <c r="G2337" s="1">
        <v>2946.65</v>
      </c>
      <c r="H2337" t="str">
        <f>"FEDERAL WITHHOLDING"</f>
        <v>FEDERAL WITHHOLDING</v>
      </c>
    </row>
    <row r="2338" spans="5:8" x14ac:dyDescent="0.25">
      <c r="E2338" t="str">
        <f>"T1 202104142605"</f>
        <v>T1 202104142605</v>
      </c>
      <c r="F2338" t="str">
        <f>"FEDERAL WITHHOLDING"</f>
        <v>FEDERAL WITHHOLDING</v>
      </c>
      <c r="G2338" s="1">
        <v>3303.03</v>
      </c>
      <c r="H2338" t="str">
        <f>"FEDERAL WITHHOLDING"</f>
        <v>FEDERAL WITHHOLDING</v>
      </c>
    </row>
    <row r="2339" spans="5:8" x14ac:dyDescent="0.25">
      <c r="E2339" t="str">
        <f>"T3 202104142603"</f>
        <v>T3 202104142603</v>
      </c>
      <c r="F2339" t="str">
        <f>"SOCIAL SECURITY TAXES"</f>
        <v>SOCIAL SECURITY TAXES</v>
      </c>
      <c r="G2339" s="1">
        <v>117508.38</v>
      </c>
      <c r="H2339" t="str">
        <f t="shared" ref="H2339:H2370" si="56">"SOCIAL SECURITY TAXES"</f>
        <v>SOCIAL SECURITY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56"/>
        <v>SOCIAL SECURITY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56"/>
        <v>SOCIAL SECURITY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56"/>
        <v>SOCIAL SECURITY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56"/>
        <v>SOCIAL SECURITY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56"/>
        <v>SOCIAL SECURITY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56"/>
        <v>SOCIAL SECURITY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56"/>
        <v>SOCIAL SECURITY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56"/>
        <v>SOCIAL SECURITY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56"/>
        <v>SOCIAL SECURITY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56"/>
        <v>SOCIAL SECURITY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56"/>
        <v>SOCIAL SECURITY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56"/>
        <v>SOCIAL SECURITY TAXES</v>
      </c>
    </row>
    <row r="2352" spans="5:8" x14ac:dyDescent="0.25">
      <c r="E2352" t="str">
        <f>""</f>
        <v/>
      </c>
      <c r="F2352" t="str">
        <f>""</f>
        <v/>
      </c>
      <c r="H2352" t="str">
        <f t="shared" si="56"/>
        <v>SOCIAL SECURITY TAXES</v>
      </c>
    </row>
    <row r="2353" spans="5:8" x14ac:dyDescent="0.25">
      <c r="E2353" t="str">
        <f>""</f>
        <v/>
      </c>
      <c r="F2353" t="str">
        <f>""</f>
        <v/>
      </c>
      <c r="H2353" t="str">
        <f t="shared" si="56"/>
        <v>SOCIAL SECURITY TAXES</v>
      </c>
    </row>
    <row r="2354" spans="5:8" x14ac:dyDescent="0.25">
      <c r="E2354" t="str">
        <f>""</f>
        <v/>
      </c>
      <c r="F2354" t="str">
        <f>""</f>
        <v/>
      </c>
      <c r="H2354" t="str">
        <f t="shared" si="56"/>
        <v>SOCIAL SECURITY TAXES</v>
      </c>
    </row>
    <row r="2355" spans="5:8" x14ac:dyDescent="0.25">
      <c r="E2355" t="str">
        <f>""</f>
        <v/>
      </c>
      <c r="F2355" t="str">
        <f>""</f>
        <v/>
      </c>
      <c r="H2355" t="str">
        <f t="shared" si="56"/>
        <v>SOCIAL SECURITY TAXES</v>
      </c>
    </row>
    <row r="2356" spans="5:8" x14ac:dyDescent="0.25">
      <c r="E2356" t="str">
        <f>""</f>
        <v/>
      </c>
      <c r="F2356" t="str">
        <f>""</f>
        <v/>
      </c>
      <c r="H2356" t="str">
        <f t="shared" si="56"/>
        <v>SOCIAL SECURITY TAXES</v>
      </c>
    </row>
    <row r="2357" spans="5:8" x14ac:dyDescent="0.25">
      <c r="E2357" t="str">
        <f>""</f>
        <v/>
      </c>
      <c r="F2357" t="str">
        <f>""</f>
        <v/>
      </c>
      <c r="H2357" t="str">
        <f t="shared" si="56"/>
        <v>SOCIAL SECURITY TAXES</v>
      </c>
    </row>
    <row r="2358" spans="5:8" x14ac:dyDescent="0.25">
      <c r="E2358" t="str">
        <f>""</f>
        <v/>
      </c>
      <c r="F2358" t="str">
        <f>""</f>
        <v/>
      </c>
      <c r="H2358" t="str">
        <f t="shared" si="56"/>
        <v>SOCIAL SECURITY TAXES</v>
      </c>
    </row>
    <row r="2359" spans="5:8" x14ac:dyDescent="0.25">
      <c r="E2359" t="str">
        <f>""</f>
        <v/>
      </c>
      <c r="F2359" t="str">
        <f>""</f>
        <v/>
      </c>
      <c r="H2359" t="str">
        <f t="shared" si="56"/>
        <v>SOCIAL SECURITY TAXES</v>
      </c>
    </row>
    <row r="2360" spans="5:8" x14ac:dyDescent="0.25">
      <c r="E2360" t="str">
        <f>""</f>
        <v/>
      </c>
      <c r="F2360" t="str">
        <f>""</f>
        <v/>
      </c>
      <c r="H2360" t="str">
        <f t="shared" si="56"/>
        <v>SOCIAL SECURITY TAXES</v>
      </c>
    </row>
    <row r="2361" spans="5:8" x14ac:dyDescent="0.25">
      <c r="E2361" t="str">
        <f>""</f>
        <v/>
      </c>
      <c r="F2361" t="str">
        <f>""</f>
        <v/>
      </c>
      <c r="H2361" t="str">
        <f t="shared" si="56"/>
        <v>SOCIAL SECURITY TAXES</v>
      </c>
    </row>
    <row r="2362" spans="5:8" x14ac:dyDescent="0.25">
      <c r="E2362" t="str">
        <f>""</f>
        <v/>
      </c>
      <c r="F2362" t="str">
        <f>""</f>
        <v/>
      </c>
      <c r="H2362" t="str">
        <f t="shared" si="56"/>
        <v>SOCIAL SECURITY TAXES</v>
      </c>
    </row>
    <row r="2363" spans="5:8" x14ac:dyDescent="0.25">
      <c r="E2363" t="str">
        <f>""</f>
        <v/>
      </c>
      <c r="F2363" t="str">
        <f>""</f>
        <v/>
      </c>
      <c r="H2363" t="str">
        <f t="shared" si="56"/>
        <v>SOCIAL SECURITY TAXES</v>
      </c>
    </row>
    <row r="2364" spans="5:8" x14ac:dyDescent="0.25">
      <c r="E2364" t="str">
        <f>""</f>
        <v/>
      </c>
      <c r="F2364" t="str">
        <f>""</f>
        <v/>
      </c>
      <c r="H2364" t="str">
        <f t="shared" si="56"/>
        <v>SOCIAL SECURITY TAXES</v>
      </c>
    </row>
    <row r="2365" spans="5:8" x14ac:dyDescent="0.25">
      <c r="E2365" t="str">
        <f>""</f>
        <v/>
      </c>
      <c r="F2365" t="str">
        <f>""</f>
        <v/>
      </c>
      <c r="H2365" t="str">
        <f t="shared" si="56"/>
        <v>SOCIAL SECURITY TAXES</v>
      </c>
    </row>
    <row r="2366" spans="5:8" x14ac:dyDescent="0.25">
      <c r="E2366" t="str">
        <f>""</f>
        <v/>
      </c>
      <c r="F2366" t="str">
        <f>""</f>
        <v/>
      </c>
      <c r="H2366" t="str">
        <f t="shared" si="56"/>
        <v>SOCIAL SECURITY TAXES</v>
      </c>
    </row>
    <row r="2367" spans="5:8" x14ac:dyDescent="0.25">
      <c r="E2367" t="str">
        <f>""</f>
        <v/>
      </c>
      <c r="F2367" t="str">
        <f>""</f>
        <v/>
      </c>
      <c r="H2367" t="str">
        <f t="shared" si="56"/>
        <v>SOCIAL SECURITY TAXES</v>
      </c>
    </row>
    <row r="2368" spans="5:8" x14ac:dyDescent="0.25">
      <c r="E2368" t="str">
        <f>""</f>
        <v/>
      </c>
      <c r="F2368" t="str">
        <f>""</f>
        <v/>
      </c>
      <c r="H2368" t="str">
        <f t="shared" si="56"/>
        <v>SOCIAL SECURITY TAXES</v>
      </c>
    </row>
    <row r="2369" spans="5:8" x14ac:dyDescent="0.25">
      <c r="E2369" t="str">
        <f>""</f>
        <v/>
      </c>
      <c r="F2369" t="str">
        <f>""</f>
        <v/>
      </c>
      <c r="H2369" t="str">
        <f t="shared" si="56"/>
        <v>SOCIAL SECURITY TAXES</v>
      </c>
    </row>
    <row r="2370" spans="5:8" x14ac:dyDescent="0.25">
      <c r="E2370" t="str">
        <f>""</f>
        <v/>
      </c>
      <c r="F2370" t="str">
        <f>""</f>
        <v/>
      </c>
      <c r="H2370" t="str">
        <f t="shared" si="56"/>
        <v>SOCIAL SECURITY TAXES</v>
      </c>
    </row>
    <row r="2371" spans="5:8" x14ac:dyDescent="0.25">
      <c r="E2371" t="str">
        <f>""</f>
        <v/>
      </c>
      <c r="F2371" t="str">
        <f>""</f>
        <v/>
      </c>
      <c r="H2371" t="str">
        <f t="shared" ref="H2371:H2395" si="57">"SOCIAL SECURITY TAXES"</f>
        <v>SOCIAL SECURITY TAXES</v>
      </c>
    </row>
    <row r="2372" spans="5:8" x14ac:dyDescent="0.25">
      <c r="E2372" t="str">
        <f>""</f>
        <v/>
      </c>
      <c r="F2372" t="str">
        <f>""</f>
        <v/>
      </c>
      <c r="H2372" t="str">
        <f t="shared" si="57"/>
        <v>SOCIAL SECURITY TAXES</v>
      </c>
    </row>
    <row r="2373" spans="5:8" x14ac:dyDescent="0.25">
      <c r="E2373" t="str">
        <f>""</f>
        <v/>
      </c>
      <c r="F2373" t="str">
        <f>""</f>
        <v/>
      </c>
      <c r="H2373" t="str">
        <f t="shared" si="57"/>
        <v>SOCIAL SECURITY TAXES</v>
      </c>
    </row>
    <row r="2374" spans="5:8" x14ac:dyDescent="0.25">
      <c r="E2374" t="str">
        <f>""</f>
        <v/>
      </c>
      <c r="F2374" t="str">
        <f>""</f>
        <v/>
      </c>
      <c r="H2374" t="str">
        <f t="shared" si="57"/>
        <v>SOCIAL SECURITY TAXES</v>
      </c>
    </row>
    <row r="2375" spans="5:8" x14ac:dyDescent="0.25">
      <c r="E2375" t="str">
        <f>""</f>
        <v/>
      </c>
      <c r="F2375" t="str">
        <f>""</f>
        <v/>
      </c>
      <c r="H2375" t="str">
        <f t="shared" si="57"/>
        <v>SOCIAL SECURITY TAXES</v>
      </c>
    </row>
    <row r="2376" spans="5:8" x14ac:dyDescent="0.25">
      <c r="E2376" t="str">
        <f>""</f>
        <v/>
      </c>
      <c r="F2376" t="str">
        <f>""</f>
        <v/>
      </c>
      <c r="H2376" t="str">
        <f t="shared" si="57"/>
        <v>SOCIAL SECURITY TAXES</v>
      </c>
    </row>
    <row r="2377" spans="5:8" x14ac:dyDescent="0.25">
      <c r="E2377" t="str">
        <f>""</f>
        <v/>
      </c>
      <c r="F2377" t="str">
        <f>""</f>
        <v/>
      </c>
      <c r="H2377" t="str">
        <f t="shared" si="57"/>
        <v>SOCIAL SECURITY TAXES</v>
      </c>
    </row>
    <row r="2378" spans="5:8" x14ac:dyDescent="0.25">
      <c r="E2378" t="str">
        <f>""</f>
        <v/>
      </c>
      <c r="F2378" t="str">
        <f>""</f>
        <v/>
      </c>
      <c r="H2378" t="str">
        <f t="shared" si="57"/>
        <v>SOCIAL SECURITY TAXES</v>
      </c>
    </row>
    <row r="2379" spans="5:8" x14ac:dyDescent="0.25">
      <c r="E2379" t="str">
        <f>""</f>
        <v/>
      </c>
      <c r="F2379" t="str">
        <f>""</f>
        <v/>
      </c>
      <c r="H2379" t="str">
        <f t="shared" si="57"/>
        <v>SOCIAL SECURITY TAXES</v>
      </c>
    </row>
    <row r="2380" spans="5:8" x14ac:dyDescent="0.25">
      <c r="E2380" t="str">
        <f>""</f>
        <v/>
      </c>
      <c r="F2380" t="str">
        <f>""</f>
        <v/>
      </c>
      <c r="H2380" t="str">
        <f t="shared" si="57"/>
        <v>SOCIAL SECURITY TAXES</v>
      </c>
    </row>
    <row r="2381" spans="5:8" x14ac:dyDescent="0.25">
      <c r="E2381" t="str">
        <f>""</f>
        <v/>
      </c>
      <c r="F2381" t="str">
        <f>""</f>
        <v/>
      </c>
      <c r="H2381" t="str">
        <f t="shared" si="57"/>
        <v>SOCIAL SECURITY TAXES</v>
      </c>
    </row>
    <row r="2382" spans="5:8" x14ac:dyDescent="0.25">
      <c r="E2382" t="str">
        <f>""</f>
        <v/>
      </c>
      <c r="F2382" t="str">
        <f>""</f>
        <v/>
      </c>
      <c r="H2382" t="str">
        <f t="shared" si="57"/>
        <v>SOCIAL SECURITY TAXES</v>
      </c>
    </row>
    <row r="2383" spans="5:8" x14ac:dyDescent="0.25">
      <c r="E2383" t="str">
        <f>""</f>
        <v/>
      </c>
      <c r="F2383" t="str">
        <f>""</f>
        <v/>
      </c>
      <c r="H2383" t="str">
        <f t="shared" si="57"/>
        <v>SOCIAL SECURITY TAXES</v>
      </c>
    </row>
    <row r="2384" spans="5:8" x14ac:dyDescent="0.25">
      <c r="E2384" t="str">
        <f>""</f>
        <v/>
      </c>
      <c r="F2384" t="str">
        <f>""</f>
        <v/>
      </c>
      <c r="H2384" t="str">
        <f t="shared" si="57"/>
        <v>SOCIAL SECURITY TAXES</v>
      </c>
    </row>
    <row r="2385" spans="5:8" x14ac:dyDescent="0.25">
      <c r="E2385" t="str">
        <f>""</f>
        <v/>
      </c>
      <c r="F2385" t="str">
        <f>""</f>
        <v/>
      </c>
      <c r="H2385" t="str">
        <f t="shared" si="57"/>
        <v>SOCIAL SECURITY TAXES</v>
      </c>
    </row>
    <row r="2386" spans="5:8" x14ac:dyDescent="0.25">
      <c r="E2386" t="str">
        <f>""</f>
        <v/>
      </c>
      <c r="F2386" t="str">
        <f>""</f>
        <v/>
      </c>
      <c r="H2386" t="str">
        <f t="shared" si="57"/>
        <v>SOCIAL SECURITY TAXES</v>
      </c>
    </row>
    <row r="2387" spans="5:8" x14ac:dyDescent="0.25">
      <c r="E2387" t="str">
        <f>""</f>
        <v/>
      </c>
      <c r="F2387" t="str">
        <f>""</f>
        <v/>
      </c>
      <c r="H2387" t="str">
        <f t="shared" si="57"/>
        <v>SOCIAL SECURITY TAXES</v>
      </c>
    </row>
    <row r="2388" spans="5:8" x14ac:dyDescent="0.25">
      <c r="E2388" t="str">
        <f>""</f>
        <v/>
      </c>
      <c r="F2388" t="str">
        <f>""</f>
        <v/>
      </c>
      <c r="H2388" t="str">
        <f t="shared" si="57"/>
        <v>SOCIAL SECURITY TAXES</v>
      </c>
    </row>
    <row r="2389" spans="5:8" x14ac:dyDescent="0.25">
      <c r="E2389" t="str">
        <f>""</f>
        <v/>
      </c>
      <c r="F2389" t="str">
        <f>""</f>
        <v/>
      </c>
      <c r="H2389" t="str">
        <f t="shared" si="57"/>
        <v>SOCIAL SECURITY TAXES</v>
      </c>
    </row>
    <row r="2390" spans="5:8" x14ac:dyDescent="0.25">
      <c r="E2390" t="str">
        <f>""</f>
        <v/>
      </c>
      <c r="F2390" t="str">
        <f>""</f>
        <v/>
      </c>
      <c r="H2390" t="str">
        <f t="shared" si="57"/>
        <v>SOCIAL SECURITY TAXES</v>
      </c>
    </row>
    <row r="2391" spans="5:8" x14ac:dyDescent="0.25">
      <c r="E2391" t="str">
        <f>""</f>
        <v/>
      </c>
      <c r="F2391" t="str">
        <f>""</f>
        <v/>
      </c>
      <c r="H2391" t="str">
        <f t="shared" si="57"/>
        <v>SOCIAL SECURITY TAXES</v>
      </c>
    </row>
    <row r="2392" spans="5:8" x14ac:dyDescent="0.25">
      <c r="E2392" t="str">
        <f>"T3 202104142604"</f>
        <v>T3 202104142604</v>
      </c>
      <c r="F2392" t="str">
        <f>"SOCIAL SECURITY TAXES"</f>
        <v>SOCIAL SECURITY TAXES</v>
      </c>
      <c r="G2392" s="1">
        <v>4176.0600000000004</v>
      </c>
      <c r="H2392" t="str">
        <f t="shared" si="57"/>
        <v>SOCIAL SECURITY TAXES</v>
      </c>
    </row>
    <row r="2393" spans="5:8" x14ac:dyDescent="0.25">
      <c r="E2393" t="str">
        <f>""</f>
        <v/>
      </c>
      <c r="F2393" t="str">
        <f>""</f>
        <v/>
      </c>
      <c r="H2393" t="str">
        <f t="shared" si="57"/>
        <v>SOCIAL SECURITY TAXES</v>
      </c>
    </row>
    <row r="2394" spans="5:8" x14ac:dyDescent="0.25">
      <c r="E2394" t="str">
        <f>"T3 202104142605"</f>
        <v>T3 202104142605</v>
      </c>
      <c r="F2394" t="str">
        <f>"SOCIAL SECURITY TAXES"</f>
        <v>SOCIAL SECURITY TAXES</v>
      </c>
      <c r="G2394" s="1">
        <v>4947.3</v>
      </c>
      <c r="H2394" t="str">
        <f t="shared" si="57"/>
        <v>SOCIAL SECURITY TAXES</v>
      </c>
    </row>
    <row r="2395" spans="5:8" x14ac:dyDescent="0.25">
      <c r="E2395" t="str">
        <f>""</f>
        <v/>
      </c>
      <c r="F2395" t="str">
        <f>""</f>
        <v/>
      </c>
      <c r="H2395" t="str">
        <f t="shared" si="57"/>
        <v>SOCIAL SECURITY TAXES</v>
      </c>
    </row>
    <row r="2396" spans="5:8" x14ac:dyDescent="0.25">
      <c r="E2396" t="str">
        <f>"T4 202104142603"</f>
        <v>T4 202104142603</v>
      </c>
      <c r="F2396" t="str">
        <f>"MEDICARE TAXES"</f>
        <v>MEDICARE TAXES</v>
      </c>
      <c r="G2396" s="1">
        <v>27481.86</v>
      </c>
      <c r="H2396" t="str">
        <f t="shared" ref="H2396:H2427" si="58">"MEDICARE TAXES"</f>
        <v>MEDICARE TAXES</v>
      </c>
    </row>
    <row r="2397" spans="5:8" x14ac:dyDescent="0.25">
      <c r="E2397" t="str">
        <f>""</f>
        <v/>
      </c>
      <c r="F2397" t="str">
        <f>""</f>
        <v/>
      </c>
      <c r="H2397" t="str">
        <f t="shared" si="58"/>
        <v>MEDICARE TAXES</v>
      </c>
    </row>
    <row r="2398" spans="5:8" x14ac:dyDescent="0.25">
      <c r="E2398" t="str">
        <f>""</f>
        <v/>
      </c>
      <c r="F2398" t="str">
        <f>""</f>
        <v/>
      </c>
      <c r="H2398" t="str">
        <f t="shared" si="58"/>
        <v>MEDICARE TAXES</v>
      </c>
    </row>
    <row r="2399" spans="5:8" x14ac:dyDescent="0.25">
      <c r="E2399" t="str">
        <f>""</f>
        <v/>
      </c>
      <c r="F2399" t="str">
        <f>""</f>
        <v/>
      </c>
      <c r="H2399" t="str">
        <f t="shared" si="58"/>
        <v>MEDICARE TAXES</v>
      </c>
    </row>
    <row r="2400" spans="5:8" x14ac:dyDescent="0.25">
      <c r="E2400" t="str">
        <f>""</f>
        <v/>
      </c>
      <c r="F2400" t="str">
        <f>""</f>
        <v/>
      </c>
      <c r="H2400" t="str">
        <f t="shared" si="58"/>
        <v>MEDICARE TAXES</v>
      </c>
    </row>
    <row r="2401" spans="5:8" x14ac:dyDescent="0.25">
      <c r="E2401" t="str">
        <f>""</f>
        <v/>
      </c>
      <c r="F2401" t="str">
        <f>""</f>
        <v/>
      </c>
      <c r="H2401" t="str">
        <f t="shared" si="58"/>
        <v>MEDICARE TAXES</v>
      </c>
    </row>
    <row r="2402" spans="5:8" x14ac:dyDescent="0.25">
      <c r="E2402" t="str">
        <f>""</f>
        <v/>
      </c>
      <c r="F2402" t="str">
        <f>""</f>
        <v/>
      </c>
      <c r="H2402" t="str">
        <f t="shared" si="58"/>
        <v>MEDICARE TAXES</v>
      </c>
    </row>
    <row r="2403" spans="5:8" x14ac:dyDescent="0.25">
      <c r="E2403" t="str">
        <f>""</f>
        <v/>
      </c>
      <c r="F2403" t="str">
        <f>""</f>
        <v/>
      </c>
      <c r="H2403" t="str">
        <f t="shared" si="58"/>
        <v>MEDICARE TAXES</v>
      </c>
    </row>
    <row r="2404" spans="5:8" x14ac:dyDescent="0.25">
      <c r="E2404" t="str">
        <f>""</f>
        <v/>
      </c>
      <c r="F2404" t="str">
        <f>""</f>
        <v/>
      </c>
      <c r="H2404" t="str">
        <f t="shared" si="58"/>
        <v>MEDICARE TAXES</v>
      </c>
    </row>
    <row r="2405" spans="5:8" x14ac:dyDescent="0.25">
      <c r="E2405" t="str">
        <f>""</f>
        <v/>
      </c>
      <c r="F2405" t="str">
        <f>""</f>
        <v/>
      </c>
      <c r="H2405" t="str">
        <f t="shared" si="58"/>
        <v>MEDICARE TAXES</v>
      </c>
    </row>
    <row r="2406" spans="5:8" x14ac:dyDescent="0.25">
      <c r="E2406" t="str">
        <f>""</f>
        <v/>
      </c>
      <c r="F2406" t="str">
        <f>""</f>
        <v/>
      </c>
      <c r="H2406" t="str">
        <f t="shared" si="58"/>
        <v>MEDICARE TAXES</v>
      </c>
    </row>
    <row r="2407" spans="5:8" x14ac:dyDescent="0.25">
      <c r="E2407" t="str">
        <f>""</f>
        <v/>
      </c>
      <c r="F2407" t="str">
        <f>""</f>
        <v/>
      </c>
      <c r="H2407" t="str">
        <f t="shared" si="58"/>
        <v>MEDICARE TAXES</v>
      </c>
    </row>
    <row r="2408" spans="5:8" x14ac:dyDescent="0.25">
      <c r="E2408" t="str">
        <f>""</f>
        <v/>
      </c>
      <c r="F2408" t="str">
        <f>""</f>
        <v/>
      </c>
      <c r="H2408" t="str">
        <f t="shared" si="58"/>
        <v>MEDICARE TAXES</v>
      </c>
    </row>
    <row r="2409" spans="5:8" x14ac:dyDescent="0.25">
      <c r="E2409" t="str">
        <f>""</f>
        <v/>
      </c>
      <c r="F2409" t="str">
        <f>""</f>
        <v/>
      </c>
      <c r="H2409" t="str">
        <f t="shared" si="58"/>
        <v>MEDICARE TAXES</v>
      </c>
    </row>
    <row r="2410" spans="5:8" x14ac:dyDescent="0.25">
      <c r="E2410" t="str">
        <f>""</f>
        <v/>
      </c>
      <c r="F2410" t="str">
        <f>""</f>
        <v/>
      </c>
      <c r="H2410" t="str">
        <f t="shared" si="58"/>
        <v>MEDICARE TAXES</v>
      </c>
    </row>
    <row r="2411" spans="5:8" x14ac:dyDescent="0.25">
      <c r="E2411" t="str">
        <f>""</f>
        <v/>
      </c>
      <c r="F2411" t="str">
        <f>""</f>
        <v/>
      </c>
      <c r="H2411" t="str">
        <f t="shared" si="58"/>
        <v>MEDICARE TAXES</v>
      </c>
    </row>
    <row r="2412" spans="5:8" x14ac:dyDescent="0.25">
      <c r="E2412" t="str">
        <f>""</f>
        <v/>
      </c>
      <c r="F2412" t="str">
        <f>""</f>
        <v/>
      </c>
      <c r="H2412" t="str">
        <f t="shared" si="58"/>
        <v>MEDICARE TAXES</v>
      </c>
    </row>
    <row r="2413" spans="5:8" x14ac:dyDescent="0.25">
      <c r="E2413" t="str">
        <f>""</f>
        <v/>
      </c>
      <c r="F2413" t="str">
        <f>""</f>
        <v/>
      </c>
      <c r="H2413" t="str">
        <f t="shared" si="58"/>
        <v>MEDICARE TAXES</v>
      </c>
    </row>
    <row r="2414" spans="5:8" x14ac:dyDescent="0.25">
      <c r="E2414" t="str">
        <f>""</f>
        <v/>
      </c>
      <c r="F2414" t="str">
        <f>""</f>
        <v/>
      </c>
      <c r="H2414" t="str">
        <f t="shared" si="58"/>
        <v>MEDICARE TAXES</v>
      </c>
    </row>
    <row r="2415" spans="5:8" x14ac:dyDescent="0.25">
      <c r="E2415" t="str">
        <f>""</f>
        <v/>
      </c>
      <c r="F2415" t="str">
        <f>""</f>
        <v/>
      </c>
      <c r="H2415" t="str">
        <f t="shared" si="58"/>
        <v>MEDICARE TAXES</v>
      </c>
    </row>
    <row r="2416" spans="5:8" x14ac:dyDescent="0.25">
      <c r="E2416" t="str">
        <f>""</f>
        <v/>
      </c>
      <c r="F2416" t="str">
        <f>""</f>
        <v/>
      </c>
      <c r="H2416" t="str">
        <f t="shared" si="58"/>
        <v>MEDICARE TAXES</v>
      </c>
    </row>
    <row r="2417" spans="5:8" x14ac:dyDescent="0.25">
      <c r="E2417" t="str">
        <f>""</f>
        <v/>
      </c>
      <c r="F2417" t="str">
        <f>""</f>
        <v/>
      </c>
      <c r="H2417" t="str">
        <f t="shared" si="58"/>
        <v>MEDICARE TAXES</v>
      </c>
    </row>
    <row r="2418" spans="5:8" x14ac:dyDescent="0.25">
      <c r="E2418" t="str">
        <f>""</f>
        <v/>
      </c>
      <c r="F2418" t="str">
        <f>""</f>
        <v/>
      </c>
      <c r="H2418" t="str">
        <f t="shared" si="58"/>
        <v>MEDICARE TAXES</v>
      </c>
    </row>
    <row r="2419" spans="5:8" x14ac:dyDescent="0.25">
      <c r="E2419" t="str">
        <f>""</f>
        <v/>
      </c>
      <c r="F2419" t="str">
        <f>""</f>
        <v/>
      </c>
      <c r="H2419" t="str">
        <f t="shared" si="58"/>
        <v>MEDICARE TAXES</v>
      </c>
    </row>
    <row r="2420" spans="5:8" x14ac:dyDescent="0.25">
      <c r="E2420" t="str">
        <f>""</f>
        <v/>
      </c>
      <c r="F2420" t="str">
        <f>""</f>
        <v/>
      </c>
      <c r="H2420" t="str">
        <f t="shared" si="58"/>
        <v>MEDICARE TAXES</v>
      </c>
    </row>
    <row r="2421" spans="5:8" x14ac:dyDescent="0.25">
      <c r="E2421" t="str">
        <f>""</f>
        <v/>
      </c>
      <c r="F2421" t="str">
        <f>""</f>
        <v/>
      </c>
      <c r="H2421" t="str">
        <f t="shared" si="58"/>
        <v>MEDICARE TAXES</v>
      </c>
    </row>
    <row r="2422" spans="5:8" x14ac:dyDescent="0.25">
      <c r="E2422" t="str">
        <f>""</f>
        <v/>
      </c>
      <c r="F2422" t="str">
        <f>""</f>
        <v/>
      </c>
      <c r="H2422" t="str">
        <f t="shared" si="58"/>
        <v>MEDICARE TAXES</v>
      </c>
    </row>
    <row r="2423" spans="5:8" x14ac:dyDescent="0.25">
      <c r="E2423" t="str">
        <f>""</f>
        <v/>
      </c>
      <c r="F2423" t="str">
        <f>""</f>
        <v/>
      </c>
      <c r="H2423" t="str">
        <f t="shared" si="58"/>
        <v>MEDICARE TAXES</v>
      </c>
    </row>
    <row r="2424" spans="5:8" x14ac:dyDescent="0.25">
      <c r="E2424" t="str">
        <f>""</f>
        <v/>
      </c>
      <c r="F2424" t="str">
        <f>""</f>
        <v/>
      </c>
      <c r="H2424" t="str">
        <f t="shared" si="58"/>
        <v>MEDICARE TAXES</v>
      </c>
    </row>
    <row r="2425" spans="5:8" x14ac:dyDescent="0.25">
      <c r="E2425" t="str">
        <f>""</f>
        <v/>
      </c>
      <c r="F2425" t="str">
        <f>""</f>
        <v/>
      </c>
      <c r="H2425" t="str">
        <f t="shared" si="58"/>
        <v>MEDICARE TAXES</v>
      </c>
    </row>
    <row r="2426" spans="5:8" x14ac:dyDescent="0.25">
      <c r="E2426" t="str">
        <f>""</f>
        <v/>
      </c>
      <c r="F2426" t="str">
        <f>""</f>
        <v/>
      </c>
      <c r="H2426" t="str">
        <f t="shared" si="58"/>
        <v>MEDICARE TAXES</v>
      </c>
    </row>
    <row r="2427" spans="5:8" x14ac:dyDescent="0.25">
      <c r="E2427" t="str">
        <f>""</f>
        <v/>
      </c>
      <c r="F2427" t="str">
        <f>""</f>
        <v/>
      </c>
      <c r="H2427" t="str">
        <f t="shared" si="58"/>
        <v>MEDICARE TAXES</v>
      </c>
    </row>
    <row r="2428" spans="5:8" x14ac:dyDescent="0.25">
      <c r="E2428" t="str">
        <f>""</f>
        <v/>
      </c>
      <c r="F2428" t="str">
        <f>""</f>
        <v/>
      </c>
      <c r="H2428" t="str">
        <f t="shared" ref="H2428:H2452" si="59">"MEDICARE TAXES"</f>
        <v>MEDICARE TAXES</v>
      </c>
    </row>
    <row r="2429" spans="5:8" x14ac:dyDescent="0.25">
      <c r="E2429" t="str">
        <f>""</f>
        <v/>
      </c>
      <c r="F2429" t="str">
        <f>""</f>
        <v/>
      </c>
      <c r="H2429" t="str">
        <f t="shared" si="59"/>
        <v>MEDICARE TAXES</v>
      </c>
    </row>
    <row r="2430" spans="5:8" x14ac:dyDescent="0.25">
      <c r="E2430" t="str">
        <f>""</f>
        <v/>
      </c>
      <c r="F2430" t="str">
        <f>""</f>
        <v/>
      </c>
      <c r="H2430" t="str">
        <f t="shared" si="59"/>
        <v>MEDICARE TAXES</v>
      </c>
    </row>
    <row r="2431" spans="5:8" x14ac:dyDescent="0.25">
      <c r="E2431" t="str">
        <f>""</f>
        <v/>
      </c>
      <c r="F2431" t="str">
        <f>""</f>
        <v/>
      </c>
      <c r="H2431" t="str">
        <f t="shared" si="59"/>
        <v>MEDICARE TAXES</v>
      </c>
    </row>
    <row r="2432" spans="5:8" x14ac:dyDescent="0.25">
      <c r="E2432" t="str">
        <f>""</f>
        <v/>
      </c>
      <c r="F2432" t="str">
        <f>""</f>
        <v/>
      </c>
      <c r="H2432" t="str">
        <f t="shared" si="59"/>
        <v>MEDICARE TAXES</v>
      </c>
    </row>
    <row r="2433" spans="5:8" x14ac:dyDescent="0.25">
      <c r="E2433" t="str">
        <f>""</f>
        <v/>
      </c>
      <c r="F2433" t="str">
        <f>""</f>
        <v/>
      </c>
      <c r="H2433" t="str">
        <f t="shared" si="59"/>
        <v>MEDICARE TAXES</v>
      </c>
    </row>
    <row r="2434" spans="5:8" x14ac:dyDescent="0.25">
      <c r="E2434" t="str">
        <f>""</f>
        <v/>
      </c>
      <c r="F2434" t="str">
        <f>""</f>
        <v/>
      </c>
      <c r="H2434" t="str">
        <f t="shared" si="59"/>
        <v>MEDICARE TAXES</v>
      </c>
    </row>
    <row r="2435" spans="5:8" x14ac:dyDescent="0.25">
      <c r="E2435" t="str">
        <f>""</f>
        <v/>
      </c>
      <c r="F2435" t="str">
        <f>""</f>
        <v/>
      </c>
      <c r="H2435" t="str">
        <f t="shared" si="59"/>
        <v>MEDICARE TAXES</v>
      </c>
    </row>
    <row r="2436" spans="5:8" x14ac:dyDescent="0.25">
      <c r="E2436" t="str">
        <f>""</f>
        <v/>
      </c>
      <c r="F2436" t="str">
        <f>""</f>
        <v/>
      </c>
      <c r="H2436" t="str">
        <f t="shared" si="59"/>
        <v>MEDICARE TAXES</v>
      </c>
    </row>
    <row r="2437" spans="5:8" x14ac:dyDescent="0.25">
      <c r="E2437" t="str">
        <f>""</f>
        <v/>
      </c>
      <c r="F2437" t="str">
        <f>""</f>
        <v/>
      </c>
      <c r="H2437" t="str">
        <f t="shared" si="59"/>
        <v>MEDICARE TAXES</v>
      </c>
    </row>
    <row r="2438" spans="5:8" x14ac:dyDescent="0.25">
      <c r="E2438" t="str">
        <f>""</f>
        <v/>
      </c>
      <c r="F2438" t="str">
        <f>""</f>
        <v/>
      </c>
      <c r="H2438" t="str">
        <f t="shared" si="59"/>
        <v>MEDICARE TAXES</v>
      </c>
    </row>
    <row r="2439" spans="5:8" x14ac:dyDescent="0.25">
      <c r="E2439" t="str">
        <f>""</f>
        <v/>
      </c>
      <c r="F2439" t="str">
        <f>""</f>
        <v/>
      </c>
      <c r="H2439" t="str">
        <f t="shared" si="59"/>
        <v>MEDICARE TAXES</v>
      </c>
    </row>
    <row r="2440" spans="5:8" x14ac:dyDescent="0.25">
      <c r="E2440" t="str">
        <f>""</f>
        <v/>
      </c>
      <c r="F2440" t="str">
        <f>""</f>
        <v/>
      </c>
      <c r="H2440" t="str">
        <f t="shared" si="59"/>
        <v>MEDICARE TAXES</v>
      </c>
    </row>
    <row r="2441" spans="5:8" x14ac:dyDescent="0.25">
      <c r="E2441" t="str">
        <f>""</f>
        <v/>
      </c>
      <c r="F2441" t="str">
        <f>""</f>
        <v/>
      </c>
      <c r="H2441" t="str">
        <f t="shared" si="59"/>
        <v>MEDICARE TAXES</v>
      </c>
    </row>
    <row r="2442" spans="5:8" x14ac:dyDescent="0.25">
      <c r="E2442" t="str">
        <f>""</f>
        <v/>
      </c>
      <c r="F2442" t="str">
        <f>""</f>
        <v/>
      </c>
      <c r="H2442" t="str">
        <f t="shared" si="59"/>
        <v>MEDICARE TAXES</v>
      </c>
    </row>
    <row r="2443" spans="5:8" x14ac:dyDescent="0.25">
      <c r="E2443" t="str">
        <f>""</f>
        <v/>
      </c>
      <c r="F2443" t="str">
        <f>""</f>
        <v/>
      </c>
      <c r="H2443" t="str">
        <f t="shared" si="59"/>
        <v>MEDICARE TAXES</v>
      </c>
    </row>
    <row r="2444" spans="5:8" x14ac:dyDescent="0.25">
      <c r="E2444" t="str">
        <f>""</f>
        <v/>
      </c>
      <c r="F2444" t="str">
        <f>""</f>
        <v/>
      </c>
      <c r="H2444" t="str">
        <f t="shared" si="59"/>
        <v>MEDICARE TAXES</v>
      </c>
    </row>
    <row r="2445" spans="5:8" x14ac:dyDescent="0.25">
      <c r="E2445" t="str">
        <f>""</f>
        <v/>
      </c>
      <c r="F2445" t="str">
        <f>""</f>
        <v/>
      </c>
      <c r="H2445" t="str">
        <f t="shared" si="59"/>
        <v>MEDICARE TAXES</v>
      </c>
    </row>
    <row r="2446" spans="5:8" x14ac:dyDescent="0.25">
      <c r="E2446" t="str">
        <f>""</f>
        <v/>
      </c>
      <c r="F2446" t="str">
        <f>""</f>
        <v/>
      </c>
      <c r="H2446" t="str">
        <f t="shared" si="59"/>
        <v>MEDICARE TAXES</v>
      </c>
    </row>
    <row r="2447" spans="5:8" x14ac:dyDescent="0.25">
      <c r="E2447" t="str">
        <f>""</f>
        <v/>
      </c>
      <c r="F2447" t="str">
        <f>""</f>
        <v/>
      </c>
      <c r="H2447" t="str">
        <f t="shared" si="59"/>
        <v>MEDICARE TAXES</v>
      </c>
    </row>
    <row r="2448" spans="5:8" x14ac:dyDescent="0.25">
      <c r="E2448" t="str">
        <f>""</f>
        <v/>
      </c>
      <c r="F2448" t="str">
        <f>""</f>
        <v/>
      </c>
      <c r="H2448" t="str">
        <f t="shared" si="59"/>
        <v>MEDICARE TAXES</v>
      </c>
    </row>
    <row r="2449" spans="1:8" x14ac:dyDescent="0.25">
      <c r="E2449" t="str">
        <f>"T4 202104142604"</f>
        <v>T4 202104142604</v>
      </c>
      <c r="F2449" t="str">
        <f>"MEDICARE TAXES"</f>
        <v>MEDICARE TAXES</v>
      </c>
      <c r="G2449" s="1">
        <v>976.7</v>
      </c>
      <c r="H2449" t="str">
        <f t="shared" si="59"/>
        <v>MEDICARE TAXES</v>
      </c>
    </row>
    <row r="2450" spans="1:8" x14ac:dyDescent="0.25">
      <c r="E2450" t="str">
        <f>""</f>
        <v/>
      </c>
      <c r="F2450" t="str">
        <f>""</f>
        <v/>
      </c>
      <c r="H2450" t="str">
        <f t="shared" si="59"/>
        <v>MEDICARE TAXES</v>
      </c>
    </row>
    <row r="2451" spans="1:8" x14ac:dyDescent="0.25">
      <c r="E2451" t="str">
        <f>"T4 202104142605"</f>
        <v>T4 202104142605</v>
      </c>
      <c r="F2451" t="str">
        <f>"MEDICARE TAXES"</f>
        <v>MEDICARE TAXES</v>
      </c>
      <c r="G2451" s="1">
        <v>1157.06</v>
      </c>
      <c r="H2451" t="str">
        <f t="shared" si="59"/>
        <v>MEDICARE TAXES</v>
      </c>
    </row>
    <row r="2452" spans="1:8" x14ac:dyDescent="0.25">
      <c r="E2452" t="str">
        <f>""</f>
        <v/>
      </c>
      <c r="F2452" t="str">
        <f>""</f>
        <v/>
      </c>
      <c r="H2452" t="str">
        <f t="shared" si="59"/>
        <v>MEDICARE TAXES</v>
      </c>
    </row>
    <row r="2453" spans="1:8" x14ac:dyDescent="0.25">
      <c r="A2453" t="s">
        <v>383</v>
      </c>
      <c r="B2453">
        <v>1042</v>
      </c>
      <c r="C2453" s="1">
        <v>245990.54</v>
      </c>
      <c r="D2453" s="6">
        <v>44316</v>
      </c>
      <c r="E2453" t="str">
        <f>"T1 202104272849"</f>
        <v>T1 202104272849</v>
      </c>
      <c r="F2453" t="str">
        <f>"FEDERAL WITHHOLDING"</f>
        <v>FEDERAL WITHHOLDING</v>
      </c>
      <c r="G2453" s="1">
        <v>80224.5</v>
      </c>
      <c r="H2453" t="str">
        <f>"FEDERAL WITHHOLDING"</f>
        <v>FEDERAL WITHHOLDING</v>
      </c>
    </row>
    <row r="2454" spans="1:8" x14ac:dyDescent="0.25">
      <c r="E2454" t="str">
        <f>"T1 202104272850"</f>
        <v>T1 202104272850</v>
      </c>
      <c r="F2454" t="str">
        <f>"FEDERAL WITHHOLDING"</f>
        <v>FEDERAL WITHHOLDING</v>
      </c>
      <c r="G2454" s="1">
        <v>3114.55</v>
      </c>
      <c r="H2454" t="str">
        <f>"FEDERAL WITHHOLDING"</f>
        <v>FEDERAL WITHHOLDING</v>
      </c>
    </row>
    <row r="2455" spans="1:8" x14ac:dyDescent="0.25">
      <c r="E2455" t="str">
        <f>"T1 202104272851"</f>
        <v>T1 202104272851</v>
      </c>
      <c r="F2455" t="str">
        <f>"FEDERAL WITHHOLDING"</f>
        <v>FEDERAL WITHHOLDING</v>
      </c>
      <c r="G2455" s="1">
        <v>3414.87</v>
      </c>
      <c r="H2455" t="str">
        <f>"FEDERAL WITHHOLDING"</f>
        <v>FEDERAL WITHHOLDING</v>
      </c>
    </row>
    <row r="2456" spans="1:8" x14ac:dyDescent="0.25">
      <c r="E2456" t="str">
        <f>"T3 202104272849"</f>
        <v>T3 202104272849</v>
      </c>
      <c r="F2456" t="str">
        <f>"SOCIAL SECURITY TAXES"</f>
        <v>SOCIAL SECURITY TAXES</v>
      </c>
      <c r="G2456" s="1">
        <v>119709.28</v>
      </c>
      <c r="H2456" t="str">
        <f t="shared" ref="H2456:H2487" si="60">"SOCIAL SECURITY TAXES"</f>
        <v>SOCIAL SECURITY TAXES</v>
      </c>
    </row>
    <row r="2457" spans="1:8" x14ac:dyDescent="0.25">
      <c r="E2457" t="str">
        <f>""</f>
        <v/>
      </c>
      <c r="F2457" t="str">
        <f>""</f>
        <v/>
      </c>
      <c r="H2457" t="str">
        <f t="shared" si="60"/>
        <v>SOCIAL SECURITY TAXES</v>
      </c>
    </row>
    <row r="2458" spans="1:8" x14ac:dyDescent="0.25">
      <c r="E2458" t="str">
        <f>""</f>
        <v/>
      </c>
      <c r="F2458" t="str">
        <f>""</f>
        <v/>
      </c>
      <c r="H2458" t="str">
        <f t="shared" si="60"/>
        <v>SOCIAL SECURITY TAXES</v>
      </c>
    </row>
    <row r="2459" spans="1:8" x14ac:dyDescent="0.25">
      <c r="E2459" t="str">
        <f>""</f>
        <v/>
      </c>
      <c r="F2459" t="str">
        <f>""</f>
        <v/>
      </c>
      <c r="H2459" t="str">
        <f t="shared" si="60"/>
        <v>SOCIAL SECURITY TAXES</v>
      </c>
    </row>
    <row r="2460" spans="1:8" x14ac:dyDescent="0.25">
      <c r="E2460" t="str">
        <f>""</f>
        <v/>
      </c>
      <c r="F2460" t="str">
        <f>""</f>
        <v/>
      </c>
      <c r="H2460" t="str">
        <f t="shared" si="60"/>
        <v>SOCIAL SECURITY TAXES</v>
      </c>
    </row>
    <row r="2461" spans="1:8" x14ac:dyDescent="0.25">
      <c r="E2461" t="str">
        <f>""</f>
        <v/>
      </c>
      <c r="F2461" t="str">
        <f>""</f>
        <v/>
      </c>
      <c r="H2461" t="str">
        <f t="shared" si="60"/>
        <v>SOCIAL SECURITY TAXES</v>
      </c>
    </row>
    <row r="2462" spans="1:8" x14ac:dyDescent="0.25">
      <c r="E2462" t="str">
        <f>""</f>
        <v/>
      </c>
      <c r="F2462" t="str">
        <f>""</f>
        <v/>
      </c>
      <c r="H2462" t="str">
        <f t="shared" si="60"/>
        <v>SOCIAL SECURITY TAXES</v>
      </c>
    </row>
    <row r="2463" spans="1:8" x14ac:dyDescent="0.25">
      <c r="E2463" t="str">
        <f>""</f>
        <v/>
      </c>
      <c r="F2463" t="str">
        <f>""</f>
        <v/>
      </c>
      <c r="H2463" t="str">
        <f t="shared" si="60"/>
        <v>SOCIAL SECURITY TAXES</v>
      </c>
    </row>
    <row r="2464" spans="1:8" x14ac:dyDescent="0.25">
      <c r="E2464" t="str">
        <f>""</f>
        <v/>
      </c>
      <c r="F2464" t="str">
        <f>""</f>
        <v/>
      </c>
      <c r="H2464" t="str">
        <f t="shared" si="60"/>
        <v>SOCIAL SECURITY TAXES</v>
      </c>
    </row>
    <row r="2465" spans="5:8" x14ac:dyDescent="0.25">
      <c r="E2465" t="str">
        <f>""</f>
        <v/>
      </c>
      <c r="F2465" t="str">
        <f>""</f>
        <v/>
      </c>
      <c r="H2465" t="str">
        <f t="shared" si="60"/>
        <v>SOCIAL SECURITY TAXES</v>
      </c>
    </row>
    <row r="2466" spans="5:8" x14ac:dyDescent="0.25">
      <c r="E2466" t="str">
        <f>""</f>
        <v/>
      </c>
      <c r="F2466" t="str">
        <f>""</f>
        <v/>
      </c>
      <c r="H2466" t="str">
        <f t="shared" si="60"/>
        <v>SOCIAL SECURITY TAXES</v>
      </c>
    </row>
    <row r="2467" spans="5:8" x14ac:dyDescent="0.25">
      <c r="E2467" t="str">
        <f>""</f>
        <v/>
      </c>
      <c r="F2467" t="str">
        <f>""</f>
        <v/>
      </c>
      <c r="H2467" t="str">
        <f t="shared" si="60"/>
        <v>SOCIAL SECURITY TAXES</v>
      </c>
    </row>
    <row r="2468" spans="5:8" x14ac:dyDescent="0.25">
      <c r="E2468" t="str">
        <f>""</f>
        <v/>
      </c>
      <c r="F2468" t="str">
        <f>""</f>
        <v/>
      </c>
      <c r="H2468" t="str">
        <f t="shared" si="60"/>
        <v>SOCIAL SECURITY TAXES</v>
      </c>
    </row>
    <row r="2469" spans="5:8" x14ac:dyDescent="0.25">
      <c r="E2469" t="str">
        <f>""</f>
        <v/>
      </c>
      <c r="F2469" t="str">
        <f>""</f>
        <v/>
      </c>
      <c r="H2469" t="str">
        <f t="shared" si="60"/>
        <v>SOCIAL SECURITY TAXES</v>
      </c>
    </row>
    <row r="2470" spans="5:8" x14ac:dyDescent="0.25">
      <c r="E2470" t="str">
        <f>""</f>
        <v/>
      </c>
      <c r="F2470" t="str">
        <f>""</f>
        <v/>
      </c>
      <c r="H2470" t="str">
        <f t="shared" si="60"/>
        <v>SOCIAL SECURITY TAXES</v>
      </c>
    </row>
    <row r="2471" spans="5:8" x14ac:dyDescent="0.25">
      <c r="E2471" t="str">
        <f>""</f>
        <v/>
      </c>
      <c r="F2471" t="str">
        <f>""</f>
        <v/>
      </c>
      <c r="H2471" t="str">
        <f t="shared" si="60"/>
        <v>SOCIAL SECURITY TAXES</v>
      </c>
    </row>
    <row r="2472" spans="5:8" x14ac:dyDescent="0.25">
      <c r="E2472" t="str">
        <f>""</f>
        <v/>
      </c>
      <c r="F2472" t="str">
        <f>""</f>
        <v/>
      </c>
      <c r="H2472" t="str">
        <f t="shared" si="60"/>
        <v>SOCIAL SECURITY TAXES</v>
      </c>
    </row>
    <row r="2473" spans="5:8" x14ac:dyDescent="0.25">
      <c r="E2473" t="str">
        <f>""</f>
        <v/>
      </c>
      <c r="F2473" t="str">
        <f>""</f>
        <v/>
      </c>
      <c r="H2473" t="str">
        <f t="shared" si="60"/>
        <v>SOCIAL SECURITY TAXES</v>
      </c>
    </row>
    <row r="2474" spans="5:8" x14ac:dyDescent="0.25">
      <c r="E2474" t="str">
        <f>""</f>
        <v/>
      </c>
      <c r="F2474" t="str">
        <f>""</f>
        <v/>
      </c>
      <c r="H2474" t="str">
        <f t="shared" si="60"/>
        <v>SOCIAL SECURITY TAXES</v>
      </c>
    </row>
    <row r="2475" spans="5:8" x14ac:dyDescent="0.25">
      <c r="E2475" t="str">
        <f>""</f>
        <v/>
      </c>
      <c r="F2475" t="str">
        <f>""</f>
        <v/>
      </c>
      <c r="H2475" t="str">
        <f t="shared" si="60"/>
        <v>SOCIAL SECURITY TAXES</v>
      </c>
    </row>
    <row r="2476" spans="5:8" x14ac:dyDescent="0.25">
      <c r="E2476" t="str">
        <f>""</f>
        <v/>
      </c>
      <c r="F2476" t="str">
        <f>""</f>
        <v/>
      </c>
      <c r="H2476" t="str">
        <f t="shared" si="60"/>
        <v>SOCIAL SECURITY TAXES</v>
      </c>
    </row>
    <row r="2477" spans="5:8" x14ac:dyDescent="0.25">
      <c r="E2477" t="str">
        <f>""</f>
        <v/>
      </c>
      <c r="F2477" t="str">
        <f>""</f>
        <v/>
      </c>
      <c r="H2477" t="str">
        <f t="shared" si="60"/>
        <v>SOCIAL SECURITY TAXES</v>
      </c>
    </row>
    <row r="2478" spans="5:8" x14ac:dyDescent="0.25">
      <c r="E2478" t="str">
        <f>""</f>
        <v/>
      </c>
      <c r="F2478" t="str">
        <f>""</f>
        <v/>
      </c>
      <c r="H2478" t="str">
        <f t="shared" si="60"/>
        <v>SOCIAL SECURITY TAXES</v>
      </c>
    </row>
    <row r="2479" spans="5:8" x14ac:dyDescent="0.25">
      <c r="E2479" t="str">
        <f>""</f>
        <v/>
      </c>
      <c r="F2479" t="str">
        <f>""</f>
        <v/>
      </c>
      <c r="H2479" t="str">
        <f t="shared" si="60"/>
        <v>SOCIAL SECURITY TAXES</v>
      </c>
    </row>
    <row r="2480" spans="5:8" x14ac:dyDescent="0.25">
      <c r="E2480" t="str">
        <f>""</f>
        <v/>
      </c>
      <c r="F2480" t="str">
        <f>""</f>
        <v/>
      </c>
      <c r="H2480" t="str">
        <f t="shared" si="60"/>
        <v>SOCIAL SECURITY TAXES</v>
      </c>
    </row>
    <row r="2481" spans="5:8" x14ac:dyDescent="0.25">
      <c r="E2481" t="str">
        <f>""</f>
        <v/>
      </c>
      <c r="F2481" t="str">
        <f>""</f>
        <v/>
      </c>
      <c r="H2481" t="str">
        <f t="shared" si="60"/>
        <v>SOCIAL SECURITY TAXES</v>
      </c>
    </row>
    <row r="2482" spans="5:8" x14ac:dyDescent="0.25">
      <c r="E2482" t="str">
        <f>""</f>
        <v/>
      </c>
      <c r="F2482" t="str">
        <f>""</f>
        <v/>
      </c>
      <c r="H2482" t="str">
        <f t="shared" si="60"/>
        <v>SOCIAL SECURITY TAXES</v>
      </c>
    </row>
    <row r="2483" spans="5:8" x14ac:dyDescent="0.25">
      <c r="E2483" t="str">
        <f>""</f>
        <v/>
      </c>
      <c r="F2483" t="str">
        <f>""</f>
        <v/>
      </c>
      <c r="H2483" t="str">
        <f t="shared" si="60"/>
        <v>SOCIAL SECURITY TAXES</v>
      </c>
    </row>
    <row r="2484" spans="5:8" x14ac:dyDescent="0.25">
      <c r="E2484" t="str">
        <f>""</f>
        <v/>
      </c>
      <c r="F2484" t="str">
        <f>""</f>
        <v/>
      </c>
      <c r="H2484" t="str">
        <f t="shared" si="60"/>
        <v>SOCIAL SECURITY TAXES</v>
      </c>
    </row>
    <row r="2485" spans="5:8" x14ac:dyDescent="0.25">
      <c r="E2485" t="str">
        <f>""</f>
        <v/>
      </c>
      <c r="F2485" t="str">
        <f>""</f>
        <v/>
      </c>
      <c r="H2485" t="str">
        <f t="shared" si="60"/>
        <v>SOCIAL SECURITY TAXES</v>
      </c>
    </row>
    <row r="2486" spans="5:8" x14ac:dyDescent="0.25">
      <c r="E2486" t="str">
        <f>""</f>
        <v/>
      </c>
      <c r="F2486" t="str">
        <f>""</f>
        <v/>
      </c>
      <c r="H2486" t="str">
        <f t="shared" si="60"/>
        <v>SOCIAL SECURITY TAXES</v>
      </c>
    </row>
    <row r="2487" spans="5:8" x14ac:dyDescent="0.25">
      <c r="E2487" t="str">
        <f>""</f>
        <v/>
      </c>
      <c r="F2487" t="str">
        <f>""</f>
        <v/>
      </c>
      <c r="H2487" t="str">
        <f t="shared" si="60"/>
        <v>SOCIAL SECURITY TAXES</v>
      </c>
    </row>
    <row r="2488" spans="5:8" x14ac:dyDescent="0.25">
      <c r="E2488" t="str">
        <f>""</f>
        <v/>
      </c>
      <c r="F2488" t="str">
        <f>""</f>
        <v/>
      </c>
      <c r="H2488" t="str">
        <f t="shared" ref="H2488:H2512" si="61">"SOCIAL SECURITY TAXES"</f>
        <v>SOCIAL SECURITY TAXES</v>
      </c>
    </row>
    <row r="2489" spans="5:8" x14ac:dyDescent="0.25">
      <c r="E2489" t="str">
        <f>""</f>
        <v/>
      </c>
      <c r="F2489" t="str">
        <f>""</f>
        <v/>
      </c>
      <c r="H2489" t="str">
        <f t="shared" si="61"/>
        <v>SOCIAL SECURITY TAXES</v>
      </c>
    </row>
    <row r="2490" spans="5:8" x14ac:dyDescent="0.25">
      <c r="E2490" t="str">
        <f>""</f>
        <v/>
      </c>
      <c r="F2490" t="str">
        <f>""</f>
        <v/>
      </c>
      <c r="H2490" t="str">
        <f t="shared" si="61"/>
        <v>SOCIAL SECURITY TAXES</v>
      </c>
    </row>
    <row r="2491" spans="5:8" x14ac:dyDescent="0.25">
      <c r="E2491" t="str">
        <f>""</f>
        <v/>
      </c>
      <c r="F2491" t="str">
        <f>""</f>
        <v/>
      </c>
      <c r="H2491" t="str">
        <f t="shared" si="61"/>
        <v>SOCIAL SECURITY TAXES</v>
      </c>
    </row>
    <row r="2492" spans="5:8" x14ac:dyDescent="0.25">
      <c r="E2492" t="str">
        <f>""</f>
        <v/>
      </c>
      <c r="F2492" t="str">
        <f>""</f>
        <v/>
      </c>
      <c r="H2492" t="str">
        <f t="shared" si="61"/>
        <v>SOCIAL SECURITY TAXES</v>
      </c>
    </row>
    <row r="2493" spans="5:8" x14ac:dyDescent="0.25">
      <c r="E2493" t="str">
        <f>""</f>
        <v/>
      </c>
      <c r="F2493" t="str">
        <f>""</f>
        <v/>
      </c>
      <c r="H2493" t="str">
        <f t="shared" si="61"/>
        <v>SOCIAL SECURITY TAXES</v>
      </c>
    </row>
    <row r="2494" spans="5:8" x14ac:dyDescent="0.25">
      <c r="E2494" t="str">
        <f>""</f>
        <v/>
      </c>
      <c r="F2494" t="str">
        <f>""</f>
        <v/>
      </c>
      <c r="H2494" t="str">
        <f t="shared" si="61"/>
        <v>SOCIAL SECURITY TAXES</v>
      </c>
    </row>
    <row r="2495" spans="5:8" x14ac:dyDescent="0.25">
      <c r="E2495" t="str">
        <f>""</f>
        <v/>
      </c>
      <c r="F2495" t="str">
        <f>""</f>
        <v/>
      </c>
      <c r="H2495" t="str">
        <f t="shared" si="61"/>
        <v>SOCIAL SECURITY TAXES</v>
      </c>
    </row>
    <row r="2496" spans="5:8" x14ac:dyDescent="0.25">
      <c r="E2496" t="str">
        <f>""</f>
        <v/>
      </c>
      <c r="F2496" t="str">
        <f>""</f>
        <v/>
      </c>
      <c r="H2496" t="str">
        <f t="shared" si="61"/>
        <v>SOCIAL SECURITY TAXES</v>
      </c>
    </row>
    <row r="2497" spans="5:8" x14ac:dyDescent="0.25">
      <c r="E2497" t="str">
        <f>""</f>
        <v/>
      </c>
      <c r="F2497" t="str">
        <f>""</f>
        <v/>
      </c>
      <c r="H2497" t="str">
        <f t="shared" si="61"/>
        <v>SOCIAL SECURITY TAXES</v>
      </c>
    </row>
    <row r="2498" spans="5:8" x14ac:dyDescent="0.25">
      <c r="E2498" t="str">
        <f>""</f>
        <v/>
      </c>
      <c r="F2498" t="str">
        <f>""</f>
        <v/>
      </c>
      <c r="H2498" t="str">
        <f t="shared" si="61"/>
        <v>SOCIAL SECURITY TAXES</v>
      </c>
    </row>
    <row r="2499" spans="5:8" x14ac:dyDescent="0.25">
      <c r="E2499" t="str">
        <f>""</f>
        <v/>
      </c>
      <c r="F2499" t="str">
        <f>""</f>
        <v/>
      </c>
      <c r="H2499" t="str">
        <f t="shared" si="61"/>
        <v>SOCIAL SECURITY TAXES</v>
      </c>
    </row>
    <row r="2500" spans="5:8" x14ac:dyDescent="0.25">
      <c r="E2500" t="str">
        <f>""</f>
        <v/>
      </c>
      <c r="F2500" t="str">
        <f>""</f>
        <v/>
      </c>
      <c r="H2500" t="str">
        <f t="shared" si="61"/>
        <v>SOCIAL SECURITY TAXES</v>
      </c>
    </row>
    <row r="2501" spans="5:8" x14ac:dyDescent="0.25">
      <c r="E2501" t="str">
        <f>""</f>
        <v/>
      </c>
      <c r="F2501" t="str">
        <f>""</f>
        <v/>
      </c>
      <c r="H2501" t="str">
        <f t="shared" si="61"/>
        <v>SOCIAL SECURITY TAXES</v>
      </c>
    </row>
    <row r="2502" spans="5:8" x14ac:dyDescent="0.25">
      <c r="E2502" t="str">
        <f>""</f>
        <v/>
      </c>
      <c r="F2502" t="str">
        <f>""</f>
        <v/>
      </c>
      <c r="H2502" t="str">
        <f t="shared" si="61"/>
        <v>SOCIAL SECURITY TAXES</v>
      </c>
    </row>
    <row r="2503" spans="5:8" x14ac:dyDescent="0.25">
      <c r="E2503" t="str">
        <f>""</f>
        <v/>
      </c>
      <c r="F2503" t="str">
        <f>""</f>
        <v/>
      </c>
      <c r="H2503" t="str">
        <f t="shared" si="61"/>
        <v>SOCIAL SECURITY TAXES</v>
      </c>
    </row>
    <row r="2504" spans="5:8" x14ac:dyDescent="0.25">
      <c r="E2504" t="str">
        <f>""</f>
        <v/>
      </c>
      <c r="F2504" t="str">
        <f>""</f>
        <v/>
      </c>
      <c r="H2504" t="str">
        <f t="shared" si="61"/>
        <v>SOCIAL SECURITY TAXES</v>
      </c>
    </row>
    <row r="2505" spans="5:8" x14ac:dyDescent="0.25">
      <c r="E2505" t="str">
        <f>""</f>
        <v/>
      </c>
      <c r="F2505" t="str">
        <f>""</f>
        <v/>
      </c>
      <c r="H2505" t="str">
        <f t="shared" si="61"/>
        <v>SOCIAL SECURITY TAXES</v>
      </c>
    </row>
    <row r="2506" spans="5:8" x14ac:dyDescent="0.25">
      <c r="E2506" t="str">
        <f>""</f>
        <v/>
      </c>
      <c r="F2506" t="str">
        <f>""</f>
        <v/>
      </c>
      <c r="H2506" t="str">
        <f t="shared" si="61"/>
        <v>SOCIAL SECURITY TAXES</v>
      </c>
    </row>
    <row r="2507" spans="5:8" x14ac:dyDescent="0.25">
      <c r="E2507" t="str">
        <f>""</f>
        <v/>
      </c>
      <c r="F2507" t="str">
        <f>""</f>
        <v/>
      </c>
      <c r="H2507" t="str">
        <f t="shared" si="61"/>
        <v>SOCIAL SECURITY TAXES</v>
      </c>
    </row>
    <row r="2508" spans="5:8" x14ac:dyDescent="0.25">
      <c r="E2508" t="str">
        <f>""</f>
        <v/>
      </c>
      <c r="F2508" t="str">
        <f>""</f>
        <v/>
      </c>
      <c r="H2508" t="str">
        <f t="shared" si="61"/>
        <v>SOCIAL SECURITY TAXES</v>
      </c>
    </row>
    <row r="2509" spans="5:8" x14ac:dyDescent="0.25">
      <c r="E2509" t="str">
        <f>"T3 202104272850"</f>
        <v>T3 202104272850</v>
      </c>
      <c r="F2509" t="str">
        <f>"SOCIAL SECURITY TAXES"</f>
        <v>SOCIAL SECURITY TAXES</v>
      </c>
      <c r="G2509" s="1">
        <v>4327.0200000000004</v>
      </c>
      <c r="H2509" t="str">
        <f t="shared" si="61"/>
        <v>SOCIAL SECURITY TAXES</v>
      </c>
    </row>
    <row r="2510" spans="5:8" x14ac:dyDescent="0.25">
      <c r="E2510" t="str">
        <f>""</f>
        <v/>
      </c>
      <c r="F2510" t="str">
        <f>""</f>
        <v/>
      </c>
      <c r="H2510" t="str">
        <f t="shared" si="61"/>
        <v>SOCIAL SECURITY TAXES</v>
      </c>
    </row>
    <row r="2511" spans="5:8" x14ac:dyDescent="0.25">
      <c r="E2511" t="str">
        <f>"T3 202104272851"</f>
        <v>T3 202104272851</v>
      </c>
      <c r="F2511" t="str">
        <f>"SOCIAL SECURITY TAXES"</f>
        <v>SOCIAL SECURITY TAXES</v>
      </c>
      <c r="G2511" s="1">
        <v>5017.92</v>
      </c>
      <c r="H2511" t="str">
        <f t="shared" si="61"/>
        <v>SOCIAL SECURITY TAXES</v>
      </c>
    </row>
    <row r="2512" spans="5:8" x14ac:dyDescent="0.25">
      <c r="E2512" t="str">
        <f>""</f>
        <v/>
      </c>
      <c r="F2512" t="str">
        <f>""</f>
        <v/>
      </c>
      <c r="H2512" t="str">
        <f t="shared" si="61"/>
        <v>SOCIAL SECURITY TAXES</v>
      </c>
    </row>
    <row r="2513" spans="5:8" x14ac:dyDescent="0.25">
      <c r="E2513" t="str">
        <f>"T4 202104272849"</f>
        <v>T4 202104272849</v>
      </c>
      <c r="F2513" t="str">
        <f>"MEDICARE TAXES"</f>
        <v>MEDICARE TAXES</v>
      </c>
      <c r="G2513" s="1">
        <v>27996.86</v>
      </c>
      <c r="H2513" t="str">
        <f t="shared" ref="H2513:H2544" si="62">"MEDICARE TAXES"</f>
        <v>MEDICARE TAXES</v>
      </c>
    </row>
    <row r="2514" spans="5:8" x14ac:dyDescent="0.25">
      <c r="E2514" t="str">
        <f>""</f>
        <v/>
      </c>
      <c r="F2514" t="str">
        <f>""</f>
        <v/>
      </c>
      <c r="H2514" t="str">
        <f t="shared" si="62"/>
        <v>MEDICARE TAXES</v>
      </c>
    </row>
    <row r="2515" spans="5:8" x14ac:dyDescent="0.25">
      <c r="E2515" t="str">
        <f>""</f>
        <v/>
      </c>
      <c r="F2515" t="str">
        <f>""</f>
        <v/>
      </c>
      <c r="H2515" t="str">
        <f t="shared" si="62"/>
        <v>MEDICARE TAXES</v>
      </c>
    </row>
    <row r="2516" spans="5:8" x14ac:dyDescent="0.25">
      <c r="E2516" t="str">
        <f>""</f>
        <v/>
      </c>
      <c r="F2516" t="str">
        <f>""</f>
        <v/>
      </c>
      <c r="H2516" t="str">
        <f t="shared" si="62"/>
        <v>MEDICARE TAXES</v>
      </c>
    </row>
    <row r="2517" spans="5:8" x14ac:dyDescent="0.25">
      <c r="E2517" t="str">
        <f>""</f>
        <v/>
      </c>
      <c r="F2517" t="str">
        <f>""</f>
        <v/>
      </c>
      <c r="H2517" t="str">
        <f t="shared" si="62"/>
        <v>MEDICARE TAXES</v>
      </c>
    </row>
    <row r="2518" spans="5:8" x14ac:dyDescent="0.25">
      <c r="E2518" t="str">
        <f>""</f>
        <v/>
      </c>
      <c r="F2518" t="str">
        <f>""</f>
        <v/>
      </c>
      <c r="H2518" t="str">
        <f t="shared" si="62"/>
        <v>MEDICARE TAXES</v>
      </c>
    </row>
    <row r="2519" spans="5:8" x14ac:dyDescent="0.25">
      <c r="E2519" t="str">
        <f>""</f>
        <v/>
      </c>
      <c r="F2519" t="str">
        <f>""</f>
        <v/>
      </c>
      <c r="H2519" t="str">
        <f t="shared" si="62"/>
        <v>MEDICARE TAXES</v>
      </c>
    </row>
    <row r="2520" spans="5:8" x14ac:dyDescent="0.25">
      <c r="E2520" t="str">
        <f>""</f>
        <v/>
      </c>
      <c r="F2520" t="str">
        <f>""</f>
        <v/>
      </c>
      <c r="H2520" t="str">
        <f t="shared" si="62"/>
        <v>MEDICARE TAXES</v>
      </c>
    </row>
    <row r="2521" spans="5:8" x14ac:dyDescent="0.25">
      <c r="E2521" t="str">
        <f>""</f>
        <v/>
      </c>
      <c r="F2521" t="str">
        <f>""</f>
        <v/>
      </c>
      <c r="H2521" t="str">
        <f t="shared" si="62"/>
        <v>MEDICARE TAXES</v>
      </c>
    </row>
    <row r="2522" spans="5:8" x14ac:dyDescent="0.25">
      <c r="E2522" t="str">
        <f>""</f>
        <v/>
      </c>
      <c r="F2522" t="str">
        <f>""</f>
        <v/>
      </c>
      <c r="H2522" t="str">
        <f t="shared" si="62"/>
        <v>MEDICARE TAXES</v>
      </c>
    </row>
    <row r="2523" spans="5:8" x14ac:dyDescent="0.25">
      <c r="E2523" t="str">
        <f>""</f>
        <v/>
      </c>
      <c r="F2523" t="str">
        <f>""</f>
        <v/>
      </c>
      <c r="H2523" t="str">
        <f t="shared" si="62"/>
        <v>MEDICARE TAXES</v>
      </c>
    </row>
    <row r="2524" spans="5:8" x14ac:dyDescent="0.25">
      <c r="E2524" t="str">
        <f>""</f>
        <v/>
      </c>
      <c r="F2524" t="str">
        <f>""</f>
        <v/>
      </c>
      <c r="H2524" t="str">
        <f t="shared" si="62"/>
        <v>MEDICARE TAXES</v>
      </c>
    </row>
    <row r="2525" spans="5:8" x14ac:dyDescent="0.25">
      <c r="E2525" t="str">
        <f>""</f>
        <v/>
      </c>
      <c r="F2525" t="str">
        <f>""</f>
        <v/>
      </c>
      <c r="H2525" t="str">
        <f t="shared" si="62"/>
        <v>MEDICARE TAXES</v>
      </c>
    </row>
    <row r="2526" spans="5:8" x14ac:dyDescent="0.25">
      <c r="E2526" t="str">
        <f>""</f>
        <v/>
      </c>
      <c r="F2526" t="str">
        <f>""</f>
        <v/>
      </c>
      <c r="H2526" t="str">
        <f t="shared" si="62"/>
        <v>MEDICARE TAXES</v>
      </c>
    </row>
    <row r="2527" spans="5:8" x14ac:dyDescent="0.25">
      <c r="E2527" t="str">
        <f>""</f>
        <v/>
      </c>
      <c r="F2527" t="str">
        <f>""</f>
        <v/>
      </c>
      <c r="H2527" t="str">
        <f t="shared" si="62"/>
        <v>MEDICARE TAXES</v>
      </c>
    </row>
    <row r="2528" spans="5:8" x14ac:dyDescent="0.25">
      <c r="E2528" t="str">
        <f>""</f>
        <v/>
      </c>
      <c r="F2528" t="str">
        <f>""</f>
        <v/>
      </c>
      <c r="H2528" t="str">
        <f t="shared" si="62"/>
        <v>MEDICARE TAXES</v>
      </c>
    </row>
    <row r="2529" spans="5:8" x14ac:dyDescent="0.25">
      <c r="E2529" t="str">
        <f>""</f>
        <v/>
      </c>
      <c r="F2529" t="str">
        <f>""</f>
        <v/>
      </c>
      <c r="H2529" t="str">
        <f t="shared" si="62"/>
        <v>MEDICARE TAXES</v>
      </c>
    </row>
    <row r="2530" spans="5:8" x14ac:dyDescent="0.25">
      <c r="E2530" t="str">
        <f>""</f>
        <v/>
      </c>
      <c r="F2530" t="str">
        <f>""</f>
        <v/>
      </c>
      <c r="H2530" t="str">
        <f t="shared" si="62"/>
        <v>MEDICARE TAXES</v>
      </c>
    </row>
    <row r="2531" spans="5:8" x14ac:dyDescent="0.25">
      <c r="E2531" t="str">
        <f>""</f>
        <v/>
      </c>
      <c r="F2531" t="str">
        <f>""</f>
        <v/>
      </c>
      <c r="H2531" t="str">
        <f t="shared" si="62"/>
        <v>MEDICARE TAXES</v>
      </c>
    </row>
    <row r="2532" spans="5:8" x14ac:dyDescent="0.25">
      <c r="E2532" t="str">
        <f>""</f>
        <v/>
      </c>
      <c r="F2532" t="str">
        <f>""</f>
        <v/>
      </c>
      <c r="H2532" t="str">
        <f t="shared" si="62"/>
        <v>MEDICARE TAXES</v>
      </c>
    </row>
    <row r="2533" spans="5:8" x14ac:dyDescent="0.25">
      <c r="E2533" t="str">
        <f>""</f>
        <v/>
      </c>
      <c r="F2533" t="str">
        <f>""</f>
        <v/>
      </c>
      <c r="H2533" t="str">
        <f t="shared" si="62"/>
        <v>MEDICARE TAXES</v>
      </c>
    </row>
    <row r="2534" spans="5:8" x14ac:dyDescent="0.25">
      <c r="E2534" t="str">
        <f>""</f>
        <v/>
      </c>
      <c r="F2534" t="str">
        <f>""</f>
        <v/>
      </c>
      <c r="H2534" t="str">
        <f t="shared" si="62"/>
        <v>MEDICARE TAXES</v>
      </c>
    </row>
    <row r="2535" spans="5:8" x14ac:dyDescent="0.25">
      <c r="E2535" t="str">
        <f>""</f>
        <v/>
      </c>
      <c r="F2535" t="str">
        <f>""</f>
        <v/>
      </c>
      <c r="H2535" t="str">
        <f t="shared" si="62"/>
        <v>MEDICARE TAXES</v>
      </c>
    </row>
    <row r="2536" spans="5:8" x14ac:dyDescent="0.25">
      <c r="E2536" t="str">
        <f>""</f>
        <v/>
      </c>
      <c r="F2536" t="str">
        <f>""</f>
        <v/>
      </c>
      <c r="H2536" t="str">
        <f t="shared" si="62"/>
        <v>MEDICARE TAXES</v>
      </c>
    </row>
    <row r="2537" spans="5:8" x14ac:dyDescent="0.25">
      <c r="E2537" t="str">
        <f>""</f>
        <v/>
      </c>
      <c r="F2537" t="str">
        <f>""</f>
        <v/>
      </c>
      <c r="H2537" t="str">
        <f t="shared" si="62"/>
        <v>MEDICARE TAXES</v>
      </c>
    </row>
    <row r="2538" spans="5:8" x14ac:dyDescent="0.25">
      <c r="E2538" t="str">
        <f>""</f>
        <v/>
      </c>
      <c r="F2538" t="str">
        <f>""</f>
        <v/>
      </c>
      <c r="H2538" t="str">
        <f t="shared" si="62"/>
        <v>MEDICARE TAXES</v>
      </c>
    </row>
    <row r="2539" spans="5:8" x14ac:dyDescent="0.25">
      <c r="E2539" t="str">
        <f>""</f>
        <v/>
      </c>
      <c r="F2539" t="str">
        <f>""</f>
        <v/>
      </c>
      <c r="H2539" t="str">
        <f t="shared" si="62"/>
        <v>MEDICARE TAXES</v>
      </c>
    </row>
    <row r="2540" spans="5:8" x14ac:dyDescent="0.25">
      <c r="E2540" t="str">
        <f>""</f>
        <v/>
      </c>
      <c r="F2540" t="str">
        <f>""</f>
        <v/>
      </c>
      <c r="H2540" t="str">
        <f t="shared" si="62"/>
        <v>MEDICARE TAXES</v>
      </c>
    </row>
    <row r="2541" spans="5:8" x14ac:dyDescent="0.25">
      <c r="E2541" t="str">
        <f>""</f>
        <v/>
      </c>
      <c r="F2541" t="str">
        <f>""</f>
        <v/>
      </c>
      <c r="H2541" t="str">
        <f t="shared" si="62"/>
        <v>MEDICARE TAXES</v>
      </c>
    </row>
    <row r="2542" spans="5:8" x14ac:dyDescent="0.25">
      <c r="E2542" t="str">
        <f>""</f>
        <v/>
      </c>
      <c r="F2542" t="str">
        <f>""</f>
        <v/>
      </c>
      <c r="H2542" t="str">
        <f t="shared" si="62"/>
        <v>MEDICARE TAXES</v>
      </c>
    </row>
    <row r="2543" spans="5:8" x14ac:dyDescent="0.25">
      <c r="E2543" t="str">
        <f>""</f>
        <v/>
      </c>
      <c r="F2543" t="str">
        <f>""</f>
        <v/>
      </c>
      <c r="H2543" t="str">
        <f t="shared" si="62"/>
        <v>MEDICARE TAXES</v>
      </c>
    </row>
    <row r="2544" spans="5:8" x14ac:dyDescent="0.25">
      <c r="E2544" t="str">
        <f>""</f>
        <v/>
      </c>
      <c r="F2544" t="str">
        <f>""</f>
        <v/>
      </c>
      <c r="H2544" t="str">
        <f t="shared" si="62"/>
        <v>MEDICARE TAXES</v>
      </c>
    </row>
    <row r="2545" spans="5:8" x14ac:dyDescent="0.25">
      <c r="E2545" t="str">
        <f>""</f>
        <v/>
      </c>
      <c r="F2545" t="str">
        <f>""</f>
        <v/>
      </c>
      <c r="H2545" t="str">
        <f t="shared" ref="H2545:H2569" si="63">"MEDICARE TAXES"</f>
        <v>MEDICARE TAXES</v>
      </c>
    </row>
    <row r="2546" spans="5:8" x14ac:dyDescent="0.25">
      <c r="E2546" t="str">
        <f>""</f>
        <v/>
      </c>
      <c r="F2546" t="str">
        <f>""</f>
        <v/>
      </c>
      <c r="H2546" t="str">
        <f t="shared" si="63"/>
        <v>MEDICARE TAXES</v>
      </c>
    </row>
    <row r="2547" spans="5:8" x14ac:dyDescent="0.25">
      <c r="E2547" t="str">
        <f>""</f>
        <v/>
      </c>
      <c r="F2547" t="str">
        <f>""</f>
        <v/>
      </c>
      <c r="H2547" t="str">
        <f t="shared" si="63"/>
        <v>MEDICARE TAXES</v>
      </c>
    </row>
    <row r="2548" spans="5:8" x14ac:dyDescent="0.25">
      <c r="E2548" t="str">
        <f>""</f>
        <v/>
      </c>
      <c r="F2548" t="str">
        <f>""</f>
        <v/>
      </c>
      <c r="H2548" t="str">
        <f t="shared" si="63"/>
        <v>MEDICARE TAXES</v>
      </c>
    </row>
    <row r="2549" spans="5:8" x14ac:dyDescent="0.25">
      <c r="E2549" t="str">
        <f>""</f>
        <v/>
      </c>
      <c r="F2549" t="str">
        <f>""</f>
        <v/>
      </c>
      <c r="H2549" t="str">
        <f t="shared" si="63"/>
        <v>MEDICARE TAXES</v>
      </c>
    </row>
    <row r="2550" spans="5:8" x14ac:dyDescent="0.25">
      <c r="E2550" t="str">
        <f>""</f>
        <v/>
      </c>
      <c r="F2550" t="str">
        <f>""</f>
        <v/>
      </c>
      <c r="H2550" t="str">
        <f t="shared" si="63"/>
        <v>MEDICARE TAXES</v>
      </c>
    </row>
    <row r="2551" spans="5:8" x14ac:dyDescent="0.25">
      <c r="E2551" t="str">
        <f>""</f>
        <v/>
      </c>
      <c r="F2551" t="str">
        <f>""</f>
        <v/>
      </c>
      <c r="H2551" t="str">
        <f t="shared" si="63"/>
        <v>MEDICARE TAXES</v>
      </c>
    </row>
    <row r="2552" spans="5:8" x14ac:dyDescent="0.25">
      <c r="E2552" t="str">
        <f>""</f>
        <v/>
      </c>
      <c r="F2552" t="str">
        <f>""</f>
        <v/>
      </c>
      <c r="H2552" t="str">
        <f t="shared" si="63"/>
        <v>MEDICARE TAXES</v>
      </c>
    </row>
    <row r="2553" spans="5:8" x14ac:dyDescent="0.25">
      <c r="E2553" t="str">
        <f>""</f>
        <v/>
      </c>
      <c r="F2553" t="str">
        <f>""</f>
        <v/>
      </c>
      <c r="H2553" t="str">
        <f t="shared" si="63"/>
        <v>MEDICARE TAXES</v>
      </c>
    </row>
    <row r="2554" spans="5:8" x14ac:dyDescent="0.25">
      <c r="E2554" t="str">
        <f>""</f>
        <v/>
      </c>
      <c r="F2554" t="str">
        <f>""</f>
        <v/>
      </c>
      <c r="H2554" t="str">
        <f t="shared" si="63"/>
        <v>MEDICARE TAXES</v>
      </c>
    </row>
    <row r="2555" spans="5:8" x14ac:dyDescent="0.25">
      <c r="E2555" t="str">
        <f>""</f>
        <v/>
      </c>
      <c r="F2555" t="str">
        <f>""</f>
        <v/>
      </c>
      <c r="H2555" t="str">
        <f t="shared" si="63"/>
        <v>MEDICARE TAXES</v>
      </c>
    </row>
    <row r="2556" spans="5:8" x14ac:dyDescent="0.25">
      <c r="E2556" t="str">
        <f>""</f>
        <v/>
      </c>
      <c r="F2556" t="str">
        <f>""</f>
        <v/>
      </c>
      <c r="H2556" t="str">
        <f t="shared" si="63"/>
        <v>MEDICARE TAXES</v>
      </c>
    </row>
    <row r="2557" spans="5:8" x14ac:dyDescent="0.25">
      <c r="E2557" t="str">
        <f>""</f>
        <v/>
      </c>
      <c r="F2557" t="str">
        <f>""</f>
        <v/>
      </c>
      <c r="H2557" t="str">
        <f t="shared" si="63"/>
        <v>MEDICARE TAXES</v>
      </c>
    </row>
    <row r="2558" spans="5:8" x14ac:dyDescent="0.25">
      <c r="E2558" t="str">
        <f>""</f>
        <v/>
      </c>
      <c r="F2558" t="str">
        <f>""</f>
        <v/>
      </c>
      <c r="H2558" t="str">
        <f t="shared" si="63"/>
        <v>MEDICARE TAXES</v>
      </c>
    </row>
    <row r="2559" spans="5:8" x14ac:dyDescent="0.25">
      <c r="E2559" t="str">
        <f>""</f>
        <v/>
      </c>
      <c r="F2559" t="str">
        <f>""</f>
        <v/>
      </c>
      <c r="H2559" t="str">
        <f t="shared" si="63"/>
        <v>MEDICARE TAXES</v>
      </c>
    </row>
    <row r="2560" spans="5:8" x14ac:dyDescent="0.25">
      <c r="E2560" t="str">
        <f>""</f>
        <v/>
      </c>
      <c r="F2560" t="str">
        <f>""</f>
        <v/>
      </c>
      <c r="H2560" t="str">
        <f t="shared" si="63"/>
        <v>MEDICARE TAXES</v>
      </c>
    </row>
    <row r="2561" spans="1:8" x14ac:dyDescent="0.25">
      <c r="E2561" t="str">
        <f>""</f>
        <v/>
      </c>
      <c r="F2561" t="str">
        <f>""</f>
        <v/>
      </c>
      <c r="H2561" t="str">
        <f t="shared" si="63"/>
        <v>MEDICARE TAXES</v>
      </c>
    </row>
    <row r="2562" spans="1:8" x14ac:dyDescent="0.25">
      <c r="E2562" t="str">
        <f>""</f>
        <v/>
      </c>
      <c r="F2562" t="str">
        <f>""</f>
        <v/>
      </c>
      <c r="H2562" t="str">
        <f t="shared" si="63"/>
        <v>MEDICARE TAXES</v>
      </c>
    </row>
    <row r="2563" spans="1:8" x14ac:dyDescent="0.25">
      <c r="E2563" t="str">
        <f>""</f>
        <v/>
      </c>
      <c r="F2563" t="str">
        <f>""</f>
        <v/>
      </c>
      <c r="H2563" t="str">
        <f t="shared" si="63"/>
        <v>MEDICARE TAXES</v>
      </c>
    </row>
    <row r="2564" spans="1:8" x14ac:dyDescent="0.25">
      <c r="E2564" t="str">
        <f>""</f>
        <v/>
      </c>
      <c r="F2564" t="str">
        <f>""</f>
        <v/>
      </c>
      <c r="H2564" t="str">
        <f t="shared" si="63"/>
        <v>MEDICARE TAXES</v>
      </c>
    </row>
    <row r="2565" spans="1:8" x14ac:dyDescent="0.25">
      <c r="E2565" t="str">
        <f>""</f>
        <v/>
      </c>
      <c r="F2565" t="str">
        <f>""</f>
        <v/>
      </c>
      <c r="H2565" t="str">
        <f t="shared" si="63"/>
        <v>MEDICARE TAXES</v>
      </c>
    </row>
    <row r="2566" spans="1:8" x14ac:dyDescent="0.25">
      <c r="E2566" t="str">
        <f>"T4 202104272850"</f>
        <v>T4 202104272850</v>
      </c>
      <c r="F2566" t="str">
        <f>"MEDICARE TAXES"</f>
        <v>MEDICARE TAXES</v>
      </c>
      <c r="G2566" s="1">
        <v>1011.98</v>
      </c>
      <c r="H2566" t="str">
        <f t="shared" si="63"/>
        <v>MEDICARE TAXES</v>
      </c>
    </row>
    <row r="2567" spans="1:8" x14ac:dyDescent="0.25">
      <c r="E2567" t="str">
        <f>""</f>
        <v/>
      </c>
      <c r="F2567" t="str">
        <f>""</f>
        <v/>
      </c>
      <c r="H2567" t="str">
        <f t="shared" si="63"/>
        <v>MEDICARE TAXES</v>
      </c>
    </row>
    <row r="2568" spans="1:8" x14ac:dyDescent="0.25">
      <c r="E2568" t="str">
        <f>"T4 202104272851"</f>
        <v>T4 202104272851</v>
      </c>
      <c r="F2568" t="str">
        <f>"MEDICARE TAXES"</f>
        <v>MEDICARE TAXES</v>
      </c>
      <c r="G2568" s="1">
        <v>1173.56</v>
      </c>
      <c r="H2568" t="str">
        <f t="shared" si="63"/>
        <v>MEDICARE TAXES</v>
      </c>
    </row>
    <row r="2569" spans="1:8" x14ac:dyDescent="0.25">
      <c r="E2569" t="str">
        <f>""</f>
        <v/>
      </c>
      <c r="F2569" t="str">
        <f>""</f>
        <v/>
      </c>
      <c r="H2569" t="str">
        <f t="shared" si="63"/>
        <v>MEDICARE TAXES</v>
      </c>
    </row>
    <row r="2570" spans="1:8" x14ac:dyDescent="0.25">
      <c r="A2570" t="s">
        <v>384</v>
      </c>
      <c r="B2570">
        <v>1039</v>
      </c>
      <c r="C2570" s="1">
        <v>425.32</v>
      </c>
      <c r="D2570" s="6">
        <v>44312</v>
      </c>
      <c r="E2570" t="str">
        <f>"LIX202103302364"</f>
        <v>LIX202103302364</v>
      </c>
      <c r="F2570" t="str">
        <f>"TEXAS LIFE/OLIVO GROUP"</f>
        <v>TEXAS LIFE/OLIVO GROUP</v>
      </c>
      <c r="G2570" s="1">
        <v>212.66</v>
      </c>
      <c r="H2570" t="str">
        <f>"TEXAS LIFE/OLIVO GROUP"</f>
        <v>TEXAS LIFE/OLIVO GROUP</v>
      </c>
    </row>
    <row r="2571" spans="1:8" x14ac:dyDescent="0.25">
      <c r="E2571" t="str">
        <f>"LIX202104142603"</f>
        <v>LIX202104142603</v>
      </c>
      <c r="F2571" t="str">
        <f>"TEXAS LIFE/OLIVO GROUP"</f>
        <v>TEXAS LIFE/OLIVO GROUP</v>
      </c>
      <c r="G2571" s="1">
        <v>212.66</v>
      </c>
      <c r="H2571" t="str">
        <f>"TEXAS LIFE/OLIVO GROUP"</f>
        <v>TEXAS LIFE/OLIVO GROUP</v>
      </c>
    </row>
    <row r="2572" spans="1:8" x14ac:dyDescent="0.25">
      <c r="A2572" t="s">
        <v>385</v>
      </c>
      <c r="B2572">
        <v>48345</v>
      </c>
      <c r="C2572" s="1">
        <v>382516.82</v>
      </c>
      <c r="D2572" s="6">
        <v>44312</v>
      </c>
      <c r="E2572" t="str">
        <f>"202104262824"</f>
        <v>202104262824</v>
      </c>
      <c r="F2572" t="str">
        <f>"RETIREE INS - APRIL 2020"</f>
        <v>RETIREE INS - APRIL 2020</v>
      </c>
      <c r="G2572" s="1">
        <v>16919.560000000001</v>
      </c>
      <c r="H2572" t="str">
        <f>"RETIREE INS - APRIL 2020"</f>
        <v>RETIREE INS - APRIL 2020</v>
      </c>
    </row>
    <row r="2573" spans="1:8" x14ac:dyDescent="0.25">
      <c r="E2573" t="str">
        <f>"2EC202103302364"</f>
        <v>2EC202103302364</v>
      </c>
      <c r="F2573" t="str">
        <f>"BCBS PAYABLE"</f>
        <v>BCBS PAYABLE</v>
      </c>
      <c r="G2573" s="1">
        <v>52399.22</v>
      </c>
      <c r="H2573" t="str">
        <f t="shared" ref="H2573:H2636" si="64">"BCBS PAYABLE"</f>
        <v>BCBS PAYABLE</v>
      </c>
    </row>
    <row r="2574" spans="1:8" x14ac:dyDescent="0.25">
      <c r="E2574" t="str">
        <f>""</f>
        <v/>
      </c>
      <c r="F2574" t="str">
        <f>""</f>
        <v/>
      </c>
      <c r="H2574" t="str">
        <f t="shared" si="64"/>
        <v>BCBS PAYABLE</v>
      </c>
    </row>
    <row r="2575" spans="1:8" x14ac:dyDescent="0.25">
      <c r="E2575" t="str">
        <f>""</f>
        <v/>
      </c>
      <c r="F2575" t="str">
        <f>""</f>
        <v/>
      </c>
      <c r="H2575" t="str">
        <f t="shared" si="64"/>
        <v>BCBS PAYABLE</v>
      </c>
    </row>
    <row r="2576" spans="1:8" x14ac:dyDescent="0.25">
      <c r="E2576" t="str">
        <f>""</f>
        <v/>
      </c>
      <c r="F2576" t="str">
        <f>""</f>
        <v/>
      </c>
      <c r="H2576" t="str">
        <f t="shared" si="64"/>
        <v>BCBS PAYABLE</v>
      </c>
    </row>
    <row r="2577" spans="5:8" x14ac:dyDescent="0.25">
      <c r="E2577" t="str">
        <f>""</f>
        <v/>
      </c>
      <c r="F2577" t="str">
        <f>""</f>
        <v/>
      </c>
      <c r="H2577" t="str">
        <f t="shared" si="64"/>
        <v>BCBS PAYABLE</v>
      </c>
    </row>
    <row r="2578" spans="5:8" x14ac:dyDescent="0.25">
      <c r="E2578" t="str">
        <f>""</f>
        <v/>
      </c>
      <c r="F2578" t="str">
        <f>""</f>
        <v/>
      </c>
      <c r="H2578" t="str">
        <f t="shared" si="64"/>
        <v>BCBS PAYABLE</v>
      </c>
    </row>
    <row r="2579" spans="5:8" x14ac:dyDescent="0.25">
      <c r="E2579" t="str">
        <f>""</f>
        <v/>
      </c>
      <c r="F2579" t="str">
        <f>""</f>
        <v/>
      </c>
      <c r="H2579" t="str">
        <f t="shared" si="64"/>
        <v>BCBS PAYABLE</v>
      </c>
    </row>
    <row r="2580" spans="5:8" x14ac:dyDescent="0.25">
      <c r="E2580" t="str">
        <f>""</f>
        <v/>
      </c>
      <c r="F2580" t="str">
        <f>""</f>
        <v/>
      </c>
      <c r="H2580" t="str">
        <f t="shared" si="64"/>
        <v>BCBS PAYABLE</v>
      </c>
    </row>
    <row r="2581" spans="5:8" x14ac:dyDescent="0.25">
      <c r="E2581" t="str">
        <f>""</f>
        <v/>
      </c>
      <c r="F2581" t="str">
        <f>""</f>
        <v/>
      </c>
      <c r="H2581" t="str">
        <f t="shared" si="64"/>
        <v>BCBS PAYABLE</v>
      </c>
    </row>
    <row r="2582" spans="5:8" x14ac:dyDescent="0.25">
      <c r="E2582" t="str">
        <f>""</f>
        <v/>
      </c>
      <c r="F2582" t="str">
        <f>""</f>
        <v/>
      </c>
      <c r="H2582" t="str">
        <f t="shared" si="64"/>
        <v>BCBS PAYABLE</v>
      </c>
    </row>
    <row r="2583" spans="5:8" x14ac:dyDescent="0.25">
      <c r="E2583" t="str">
        <f>""</f>
        <v/>
      </c>
      <c r="F2583" t="str">
        <f>""</f>
        <v/>
      </c>
      <c r="H2583" t="str">
        <f t="shared" si="64"/>
        <v>BCBS PAYABLE</v>
      </c>
    </row>
    <row r="2584" spans="5:8" x14ac:dyDescent="0.25">
      <c r="E2584" t="str">
        <f>""</f>
        <v/>
      </c>
      <c r="F2584" t="str">
        <f>""</f>
        <v/>
      </c>
      <c r="H2584" t="str">
        <f t="shared" si="64"/>
        <v>BCBS PAYABLE</v>
      </c>
    </row>
    <row r="2585" spans="5:8" x14ac:dyDescent="0.25">
      <c r="E2585" t="str">
        <f>""</f>
        <v/>
      </c>
      <c r="F2585" t="str">
        <f>""</f>
        <v/>
      </c>
      <c r="H2585" t="str">
        <f t="shared" si="64"/>
        <v>BCBS PAYABLE</v>
      </c>
    </row>
    <row r="2586" spans="5:8" x14ac:dyDescent="0.25">
      <c r="E2586" t="str">
        <f>""</f>
        <v/>
      </c>
      <c r="F2586" t="str">
        <f>""</f>
        <v/>
      </c>
      <c r="H2586" t="str">
        <f t="shared" si="64"/>
        <v>BCBS PAYABLE</v>
      </c>
    </row>
    <row r="2587" spans="5:8" x14ac:dyDescent="0.25">
      <c r="E2587" t="str">
        <f>""</f>
        <v/>
      </c>
      <c r="F2587" t="str">
        <f>""</f>
        <v/>
      </c>
      <c r="H2587" t="str">
        <f t="shared" si="64"/>
        <v>BCBS PAYABLE</v>
      </c>
    </row>
    <row r="2588" spans="5:8" x14ac:dyDescent="0.25">
      <c r="E2588" t="str">
        <f>""</f>
        <v/>
      </c>
      <c r="F2588" t="str">
        <f>""</f>
        <v/>
      </c>
      <c r="H2588" t="str">
        <f t="shared" si="64"/>
        <v>BCBS PAYABLE</v>
      </c>
    </row>
    <row r="2589" spans="5:8" x14ac:dyDescent="0.25">
      <c r="E2589" t="str">
        <f>""</f>
        <v/>
      </c>
      <c r="F2589" t="str">
        <f>""</f>
        <v/>
      </c>
      <c r="H2589" t="str">
        <f t="shared" si="64"/>
        <v>BCBS PAYABLE</v>
      </c>
    </row>
    <row r="2590" spans="5:8" x14ac:dyDescent="0.25">
      <c r="E2590" t="str">
        <f>""</f>
        <v/>
      </c>
      <c r="F2590" t="str">
        <f>""</f>
        <v/>
      </c>
      <c r="H2590" t="str">
        <f t="shared" si="64"/>
        <v>BCBS PAYABLE</v>
      </c>
    </row>
    <row r="2591" spans="5:8" x14ac:dyDescent="0.25">
      <c r="E2591" t="str">
        <f>""</f>
        <v/>
      </c>
      <c r="F2591" t="str">
        <f>""</f>
        <v/>
      </c>
      <c r="H2591" t="str">
        <f t="shared" si="64"/>
        <v>BCBS PAYABLE</v>
      </c>
    </row>
    <row r="2592" spans="5:8" x14ac:dyDescent="0.25">
      <c r="E2592" t="str">
        <f>""</f>
        <v/>
      </c>
      <c r="F2592" t="str">
        <f>""</f>
        <v/>
      </c>
      <c r="H2592" t="str">
        <f t="shared" si="64"/>
        <v>BCBS PAYABLE</v>
      </c>
    </row>
    <row r="2593" spans="5:8" x14ac:dyDescent="0.25">
      <c r="E2593" t="str">
        <f>""</f>
        <v/>
      </c>
      <c r="F2593" t="str">
        <f>""</f>
        <v/>
      </c>
      <c r="H2593" t="str">
        <f t="shared" si="64"/>
        <v>BCBS PAYABLE</v>
      </c>
    </row>
    <row r="2594" spans="5:8" x14ac:dyDescent="0.25">
      <c r="E2594" t="str">
        <f>""</f>
        <v/>
      </c>
      <c r="F2594" t="str">
        <f>""</f>
        <v/>
      </c>
      <c r="H2594" t="str">
        <f t="shared" si="64"/>
        <v>BCBS PAYABLE</v>
      </c>
    </row>
    <row r="2595" spans="5:8" x14ac:dyDescent="0.25">
      <c r="E2595" t="str">
        <f>""</f>
        <v/>
      </c>
      <c r="F2595" t="str">
        <f>""</f>
        <v/>
      </c>
      <c r="H2595" t="str">
        <f t="shared" si="64"/>
        <v>BCBS PAYABLE</v>
      </c>
    </row>
    <row r="2596" spans="5:8" x14ac:dyDescent="0.25">
      <c r="E2596" t="str">
        <f>""</f>
        <v/>
      </c>
      <c r="F2596" t="str">
        <f>""</f>
        <v/>
      </c>
      <c r="H2596" t="str">
        <f t="shared" si="64"/>
        <v>BCBS PAYABLE</v>
      </c>
    </row>
    <row r="2597" spans="5:8" x14ac:dyDescent="0.25">
      <c r="E2597" t="str">
        <f>""</f>
        <v/>
      </c>
      <c r="F2597" t="str">
        <f>""</f>
        <v/>
      </c>
      <c r="H2597" t="str">
        <f t="shared" si="64"/>
        <v>BCBS PAYABLE</v>
      </c>
    </row>
    <row r="2598" spans="5:8" x14ac:dyDescent="0.25">
      <c r="E2598" t="str">
        <f>""</f>
        <v/>
      </c>
      <c r="F2598" t="str">
        <f>""</f>
        <v/>
      </c>
      <c r="H2598" t="str">
        <f t="shared" si="64"/>
        <v>BCBS PAYABLE</v>
      </c>
    </row>
    <row r="2599" spans="5:8" x14ac:dyDescent="0.25">
      <c r="E2599" t="str">
        <f>""</f>
        <v/>
      </c>
      <c r="F2599" t="str">
        <f>""</f>
        <v/>
      </c>
      <c r="H2599" t="str">
        <f t="shared" si="64"/>
        <v>BCBS PAYABLE</v>
      </c>
    </row>
    <row r="2600" spans="5:8" x14ac:dyDescent="0.25">
      <c r="E2600" t="str">
        <f>""</f>
        <v/>
      </c>
      <c r="F2600" t="str">
        <f>""</f>
        <v/>
      </c>
      <c r="H2600" t="str">
        <f t="shared" si="64"/>
        <v>BCBS PAYABLE</v>
      </c>
    </row>
    <row r="2601" spans="5:8" x14ac:dyDescent="0.25">
      <c r="E2601" t="str">
        <f>""</f>
        <v/>
      </c>
      <c r="F2601" t="str">
        <f>""</f>
        <v/>
      </c>
      <c r="H2601" t="str">
        <f t="shared" si="64"/>
        <v>BCBS PAYABLE</v>
      </c>
    </row>
    <row r="2602" spans="5:8" x14ac:dyDescent="0.25">
      <c r="E2602" t="str">
        <f>""</f>
        <v/>
      </c>
      <c r="F2602" t="str">
        <f>""</f>
        <v/>
      </c>
      <c r="H2602" t="str">
        <f t="shared" si="64"/>
        <v>BCBS PAYABLE</v>
      </c>
    </row>
    <row r="2603" spans="5:8" x14ac:dyDescent="0.25">
      <c r="E2603" t="str">
        <f>""</f>
        <v/>
      </c>
      <c r="F2603" t="str">
        <f>""</f>
        <v/>
      </c>
      <c r="H2603" t="str">
        <f t="shared" si="64"/>
        <v>BCBS PAYABLE</v>
      </c>
    </row>
    <row r="2604" spans="5:8" x14ac:dyDescent="0.25">
      <c r="E2604" t="str">
        <f>""</f>
        <v/>
      </c>
      <c r="F2604" t="str">
        <f>""</f>
        <v/>
      </c>
      <c r="H2604" t="str">
        <f t="shared" si="64"/>
        <v>BCBS PAYABLE</v>
      </c>
    </row>
    <row r="2605" spans="5:8" x14ac:dyDescent="0.25">
      <c r="E2605" t="str">
        <f>""</f>
        <v/>
      </c>
      <c r="F2605" t="str">
        <f>""</f>
        <v/>
      </c>
      <c r="H2605" t="str">
        <f t="shared" si="64"/>
        <v>BCBS PAYABLE</v>
      </c>
    </row>
    <row r="2606" spans="5:8" x14ac:dyDescent="0.25">
      <c r="E2606" t="str">
        <f>"2EC202103302365"</f>
        <v>2EC202103302365</v>
      </c>
      <c r="F2606" t="str">
        <f>"BCBS PAYABLE"</f>
        <v>BCBS PAYABLE</v>
      </c>
      <c r="G2606" s="1">
        <v>2348.8000000000002</v>
      </c>
      <c r="H2606" t="str">
        <f t="shared" si="64"/>
        <v>BCBS PAYABLE</v>
      </c>
    </row>
    <row r="2607" spans="5:8" x14ac:dyDescent="0.25">
      <c r="E2607" t="str">
        <f>""</f>
        <v/>
      </c>
      <c r="F2607" t="str">
        <f>""</f>
        <v/>
      </c>
      <c r="H2607" t="str">
        <f t="shared" si="64"/>
        <v>BCBS PAYABLE</v>
      </c>
    </row>
    <row r="2608" spans="5:8" x14ac:dyDescent="0.25">
      <c r="E2608" t="str">
        <f>"2EC202104142603"</f>
        <v>2EC202104142603</v>
      </c>
      <c r="F2608" t="str">
        <f>"BCBS PAYABLE"</f>
        <v>BCBS PAYABLE</v>
      </c>
      <c r="G2608" s="1">
        <v>51203.839999999997</v>
      </c>
      <c r="H2608" t="str">
        <f t="shared" si="64"/>
        <v>BCBS PAYABLE</v>
      </c>
    </row>
    <row r="2609" spans="5:8" x14ac:dyDescent="0.25">
      <c r="E2609" t="str">
        <f>""</f>
        <v/>
      </c>
      <c r="F2609" t="str">
        <f>""</f>
        <v/>
      </c>
      <c r="H2609" t="str">
        <f t="shared" si="64"/>
        <v>BCBS PAYABLE</v>
      </c>
    </row>
    <row r="2610" spans="5:8" x14ac:dyDescent="0.25">
      <c r="E2610" t="str">
        <f>""</f>
        <v/>
      </c>
      <c r="F2610" t="str">
        <f>""</f>
        <v/>
      </c>
      <c r="H2610" t="str">
        <f t="shared" si="64"/>
        <v>BCBS PAYABLE</v>
      </c>
    </row>
    <row r="2611" spans="5:8" x14ac:dyDescent="0.25">
      <c r="E2611" t="str">
        <f>""</f>
        <v/>
      </c>
      <c r="F2611" t="str">
        <f>""</f>
        <v/>
      </c>
      <c r="H2611" t="str">
        <f t="shared" si="64"/>
        <v>BCBS PAYABLE</v>
      </c>
    </row>
    <row r="2612" spans="5:8" x14ac:dyDescent="0.25">
      <c r="E2612" t="str">
        <f>""</f>
        <v/>
      </c>
      <c r="F2612" t="str">
        <f>""</f>
        <v/>
      </c>
      <c r="H2612" t="str">
        <f t="shared" si="64"/>
        <v>BCBS PAYABLE</v>
      </c>
    </row>
    <row r="2613" spans="5:8" x14ac:dyDescent="0.25">
      <c r="E2613" t="str">
        <f>""</f>
        <v/>
      </c>
      <c r="F2613" t="str">
        <f>""</f>
        <v/>
      </c>
      <c r="H2613" t="str">
        <f t="shared" si="64"/>
        <v>BCBS PAYABLE</v>
      </c>
    </row>
    <row r="2614" spans="5:8" x14ac:dyDescent="0.25">
      <c r="E2614" t="str">
        <f>""</f>
        <v/>
      </c>
      <c r="F2614" t="str">
        <f>""</f>
        <v/>
      </c>
      <c r="H2614" t="str">
        <f t="shared" si="64"/>
        <v>BCBS PAYABLE</v>
      </c>
    </row>
    <row r="2615" spans="5:8" x14ac:dyDescent="0.25">
      <c r="E2615" t="str">
        <f>""</f>
        <v/>
      </c>
      <c r="F2615" t="str">
        <f>""</f>
        <v/>
      </c>
      <c r="H2615" t="str">
        <f t="shared" si="64"/>
        <v>BCBS PAYABLE</v>
      </c>
    </row>
    <row r="2616" spans="5:8" x14ac:dyDescent="0.25">
      <c r="E2616" t="str">
        <f>""</f>
        <v/>
      </c>
      <c r="F2616" t="str">
        <f>""</f>
        <v/>
      </c>
      <c r="H2616" t="str">
        <f t="shared" si="64"/>
        <v>BCBS PAYABLE</v>
      </c>
    </row>
    <row r="2617" spans="5:8" x14ac:dyDescent="0.25">
      <c r="E2617" t="str">
        <f>""</f>
        <v/>
      </c>
      <c r="F2617" t="str">
        <f>""</f>
        <v/>
      </c>
      <c r="H2617" t="str">
        <f t="shared" si="64"/>
        <v>BCBS PAYABLE</v>
      </c>
    </row>
    <row r="2618" spans="5:8" x14ac:dyDescent="0.25">
      <c r="E2618" t="str">
        <f>""</f>
        <v/>
      </c>
      <c r="F2618" t="str">
        <f>""</f>
        <v/>
      </c>
      <c r="H2618" t="str">
        <f t="shared" si="64"/>
        <v>BCBS PAYABLE</v>
      </c>
    </row>
    <row r="2619" spans="5:8" x14ac:dyDescent="0.25">
      <c r="E2619" t="str">
        <f>""</f>
        <v/>
      </c>
      <c r="F2619" t="str">
        <f>""</f>
        <v/>
      </c>
      <c r="H2619" t="str">
        <f t="shared" si="64"/>
        <v>BCBS PAYABLE</v>
      </c>
    </row>
    <row r="2620" spans="5:8" x14ac:dyDescent="0.25">
      <c r="E2620" t="str">
        <f>""</f>
        <v/>
      </c>
      <c r="F2620" t="str">
        <f>""</f>
        <v/>
      </c>
      <c r="H2620" t="str">
        <f t="shared" si="64"/>
        <v>BCBS PAYABLE</v>
      </c>
    </row>
    <row r="2621" spans="5:8" x14ac:dyDescent="0.25">
      <c r="E2621" t="str">
        <f>""</f>
        <v/>
      </c>
      <c r="F2621" t="str">
        <f>""</f>
        <v/>
      </c>
      <c r="H2621" t="str">
        <f t="shared" si="64"/>
        <v>BCBS PAYABLE</v>
      </c>
    </row>
    <row r="2622" spans="5:8" x14ac:dyDescent="0.25">
      <c r="E2622" t="str">
        <f>""</f>
        <v/>
      </c>
      <c r="F2622" t="str">
        <f>""</f>
        <v/>
      </c>
      <c r="H2622" t="str">
        <f t="shared" si="64"/>
        <v>BCBS PAYABLE</v>
      </c>
    </row>
    <row r="2623" spans="5:8" x14ac:dyDescent="0.25">
      <c r="E2623" t="str">
        <f>""</f>
        <v/>
      </c>
      <c r="F2623" t="str">
        <f>""</f>
        <v/>
      </c>
      <c r="H2623" t="str">
        <f t="shared" si="64"/>
        <v>BCBS PAYABLE</v>
      </c>
    </row>
    <row r="2624" spans="5:8" x14ac:dyDescent="0.25">
      <c r="E2624" t="str">
        <f>""</f>
        <v/>
      </c>
      <c r="F2624" t="str">
        <f>""</f>
        <v/>
      </c>
      <c r="H2624" t="str">
        <f t="shared" si="64"/>
        <v>BCBS PAYABLE</v>
      </c>
    </row>
    <row r="2625" spans="5:8" x14ac:dyDescent="0.25">
      <c r="E2625" t="str">
        <f>""</f>
        <v/>
      </c>
      <c r="F2625" t="str">
        <f>""</f>
        <v/>
      </c>
      <c r="H2625" t="str">
        <f t="shared" si="64"/>
        <v>BCBS PAYABLE</v>
      </c>
    </row>
    <row r="2626" spans="5:8" x14ac:dyDescent="0.25">
      <c r="E2626" t="str">
        <f>""</f>
        <v/>
      </c>
      <c r="F2626" t="str">
        <f>""</f>
        <v/>
      </c>
      <c r="H2626" t="str">
        <f t="shared" si="64"/>
        <v>BCBS PAYABLE</v>
      </c>
    </row>
    <row r="2627" spans="5:8" x14ac:dyDescent="0.25">
      <c r="E2627" t="str">
        <f>""</f>
        <v/>
      </c>
      <c r="F2627" t="str">
        <f>""</f>
        <v/>
      </c>
      <c r="H2627" t="str">
        <f t="shared" si="64"/>
        <v>BCBS PAYABLE</v>
      </c>
    </row>
    <row r="2628" spans="5:8" x14ac:dyDescent="0.25">
      <c r="E2628" t="str">
        <f>""</f>
        <v/>
      </c>
      <c r="F2628" t="str">
        <f>""</f>
        <v/>
      </c>
      <c r="H2628" t="str">
        <f t="shared" si="64"/>
        <v>BCBS PAYABLE</v>
      </c>
    </row>
    <row r="2629" spans="5:8" x14ac:dyDescent="0.25">
      <c r="E2629" t="str">
        <f>""</f>
        <v/>
      </c>
      <c r="F2629" t="str">
        <f>""</f>
        <v/>
      </c>
      <c r="H2629" t="str">
        <f t="shared" si="64"/>
        <v>BCBS PAYABLE</v>
      </c>
    </row>
    <row r="2630" spans="5:8" x14ac:dyDescent="0.25">
      <c r="E2630" t="str">
        <f>""</f>
        <v/>
      </c>
      <c r="F2630" t="str">
        <f>""</f>
        <v/>
      </c>
      <c r="H2630" t="str">
        <f t="shared" si="64"/>
        <v>BCBS PAYABLE</v>
      </c>
    </row>
    <row r="2631" spans="5:8" x14ac:dyDescent="0.25">
      <c r="E2631" t="str">
        <f>""</f>
        <v/>
      </c>
      <c r="F2631" t="str">
        <f>""</f>
        <v/>
      </c>
      <c r="H2631" t="str">
        <f t="shared" si="64"/>
        <v>BCBS PAYABLE</v>
      </c>
    </row>
    <row r="2632" spans="5:8" x14ac:dyDescent="0.25">
      <c r="E2632" t="str">
        <f>""</f>
        <v/>
      </c>
      <c r="F2632" t="str">
        <f>""</f>
        <v/>
      </c>
      <c r="H2632" t="str">
        <f t="shared" si="64"/>
        <v>BCBS PAYABLE</v>
      </c>
    </row>
    <row r="2633" spans="5:8" x14ac:dyDescent="0.25">
      <c r="E2633" t="str">
        <f>""</f>
        <v/>
      </c>
      <c r="F2633" t="str">
        <f>""</f>
        <v/>
      </c>
      <c r="H2633" t="str">
        <f t="shared" si="64"/>
        <v>BCBS PAYABLE</v>
      </c>
    </row>
    <row r="2634" spans="5:8" x14ac:dyDescent="0.25">
      <c r="E2634" t="str">
        <f>""</f>
        <v/>
      </c>
      <c r="F2634" t="str">
        <f>""</f>
        <v/>
      </c>
      <c r="H2634" t="str">
        <f t="shared" si="64"/>
        <v>BCBS PAYABLE</v>
      </c>
    </row>
    <row r="2635" spans="5:8" x14ac:dyDescent="0.25">
      <c r="E2635" t="str">
        <f>""</f>
        <v/>
      </c>
      <c r="F2635" t="str">
        <f>""</f>
        <v/>
      </c>
      <c r="H2635" t="str">
        <f t="shared" si="64"/>
        <v>BCBS PAYABLE</v>
      </c>
    </row>
    <row r="2636" spans="5:8" x14ac:dyDescent="0.25">
      <c r="E2636" t="str">
        <f>""</f>
        <v/>
      </c>
      <c r="F2636" t="str">
        <f>""</f>
        <v/>
      </c>
      <c r="H2636" t="str">
        <f t="shared" si="64"/>
        <v>BCBS PAYABLE</v>
      </c>
    </row>
    <row r="2637" spans="5:8" x14ac:dyDescent="0.25">
      <c r="E2637" t="str">
        <f>""</f>
        <v/>
      </c>
      <c r="F2637" t="str">
        <f>""</f>
        <v/>
      </c>
      <c r="H2637" t="str">
        <f t="shared" ref="H2637:H2700" si="65">"BCBS PAYABLE"</f>
        <v>BCBS PAYABLE</v>
      </c>
    </row>
    <row r="2638" spans="5:8" x14ac:dyDescent="0.25">
      <c r="E2638" t="str">
        <f>""</f>
        <v/>
      </c>
      <c r="F2638" t="str">
        <f>""</f>
        <v/>
      </c>
      <c r="H2638" t="str">
        <f t="shared" si="65"/>
        <v>BCBS PAYABLE</v>
      </c>
    </row>
    <row r="2639" spans="5:8" x14ac:dyDescent="0.25">
      <c r="E2639" t="str">
        <f>""</f>
        <v/>
      </c>
      <c r="F2639" t="str">
        <f>""</f>
        <v/>
      </c>
      <c r="H2639" t="str">
        <f t="shared" si="65"/>
        <v>BCBS PAYABLE</v>
      </c>
    </row>
    <row r="2640" spans="5:8" x14ac:dyDescent="0.25">
      <c r="E2640" t="str">
        <f>""</f>
        <v/>
      </c>
      <c r="F2640" t="str">
        <f>""</f>
        <v/>
      </c>
      <c r="H2640" t="str">
        <f t="shared" si="65"/>
        <v>BCBS PAYABLE</v>
      </c>
    </row>
    <row r="2641" spans="5:8" x14ac:dyDescent="0.25">
      <c r="E2641" t="str">
        <f>""</f>
        <v/>
      </c>
      <c r="F2641" t="str">
        <f>""</f>
        <v/>
      </c>
      <c r="H2641" t="str">
        <f t="shared" si="65"/>
        <v>BCBS PAYABLE</v>
      </c>
    </row>
    <row r="2642" spans="5:8" x14ac:dyDescent="0.25">
      <c r="E2642" t="str">
        <f>"2EC202104142604"</f>
        <v>2EC202104142604</v>
      </c>
      <c r="F2642" t="str">
        <f>"BCBS PAYABLE"</f>
        <v>BCBS PAYABLE</v>
      </c>
      <c r="G2642" s="1">
        <v>2348.8000000000002</v>
      </c>
      <c r="H2642" t="str">
        <f t="shared" si="65"/>
        <v>BCBS PAYABLE</v>
      </c>
    </row>
    <row r="2643" spans="5:8" x14ac:dyDescent="0.25">
      <c r="E2643" t="str">
        <f>""</f>
        <v/>
      </c>
      <c r="F2643" t="str">
        <f>""</f>
        <v/>
      </c>
      <c r="H2643" t="str">
        <f t="shared" si="65"/>
        <v>BCBS PAYABLE</v>
      </c>
    </row>
    <row r="2644" spans="5:8" x14ac:dyDescent="0.25">
      <c r="E2644" t="str">
        <f>"2EF202103302364"</f>
        <v>2EF202103302364</v>
      </c>
      <c r="F2644" t="str">
        <f>"BCBS PAYABLE"</f>
        <v>BCBS PAYABLE</v>
      </c>
      <c r="G2644" s="1">
        <v>1866.54</v>
      </c>
      <c r="H2644" t="str">
        <f t="shared" si="65"/>
        <v>BCBS PAYABLE</v>
      </c>
    </row>
    <row r="2645" spans="5:8" x14ac:dyDescent="0.25">
      <c r="E2645" t="str">
        <f>""</f>
        <v/>
      </c>
      <c r="F2645" t="str">
        <f>""</f>
        <v/>
      </c>
      <c r="H2645" t="str">
        <f t="shared" si="65"/>
        <v>BCBS PAYABLE</v>
      </c>
    </row>
    <row r="2646" spans="5:8" x14ac:dyDescent="0.25">
      <c r="E2646" t="str">
        <f>""</f>
        <v/>
      </c>
      <c r="F2646" t="str">
        <f>""</f>
        <v/>
      </c>
      <c r="H2646" t="str">
        <f t="shared" si="65"/>
        <v>BCBS PAYABLE</v>
      </c>
    </row>
    <row r="2647" spans="5:8" x14ac:dyDescent="0.25">
      <c r="E2647" t="str">
        <f>"2EF202104142603"</f>
        <v>2EF202104142603</v>
      </c>
      <c r="F2647" t="str">
        <f>"BCBS PAYABLE"</f>
        <v>BCBS PAYABLE</v>
      </c>
      <c r="G2647" s="1">
        <v>1866.54</v>
      </c>
      <c r="H2647" t="str">
        <f t="shared" si="65"/>
        <v>BCBS PAYABLE</v>
      </c>
    </row>
    <row r="2648" spans="5:8" x14ac:dyDescent="0.25">
      <c r="E2648" t="str">
        <f>""</f>
        <v/>
      </c>
      <c r="F2648" t="str">
        <f>""</f>
        <v/>
      </c>
      <c r="H2648" t="str">
        <f t="shared" si="65"/>
        <v>BCBS PAYABLE</v>
      </c>
    </row>
    <row r="2649" spans="5:8" x14ac:dyDescent="0.25">
      <c r="E2649" t="str">
        <f>""</f>
        <v/>
      </c>
      <c r="F2649" t="str">
        <f>""</f>
        <v/>
      </c>
      <c r="H2649" t="str">
        <f t="shared" si="65"/>
        <v>BCBS PAYABLE</v>
      </c>
    </row>
    <row r="2650" spans="5:8" x14ac:dyDescent="0.25">
      <c r="E2650" t="str">
        <f>"2EO202103302364"</f>
        <v>2EO202103302364</v>
      </c>
      <c r="F2650" t="str">
        <f>"BCBS PAYABLE"</f>
        <v>BCBS PAYABLE</v>
      </c>
      <c r="G2650" s="1">
        <v>105967.3</v>
      </c>
      <c r="H2650" t="str">
        <f t="shared" si="65"/>
        <v>BCBS PAYABLE</v>
      </c>
    </row>
    <row r="2651" spans="5:8" x14ac:dyDescent="0.25">
      <c r="E2651" t="str">
        <f>""</f>
        <v/>
      </c>
      <c r="F2651" t="str">
        <f>""</f>
        <v/>
      </c>
      <c r="H2651" t="str">
        <f t="shared" si="65"/>
        <v>BCBS PAYABLE</v>
      </c>
    </row>
    <row r="2652" spans="5:8" x14ac:dyDescent="0.25">
      <c r="E2652" t="str">
        <f>""</f>
        <v/>
      </c>
      <c r="F2652" t="str">
        <f>""</f>
        <v/>
      </c>
      <c r="H2652" t="str">
        <f t="shared" si="65"/>
        <v>BCBS PAYABLE</v>
      </c>
    </row>
    <row r="2653" spans="5:8" x14ac:dyDescent="0.25">
      <c r="E2653" t="str">
        <f>""</f>
        <v/>
      </c>
      <c r="F2653" t="str">
        <f>""</f>
        <v/>
      </c>
      <c r="H2653" t="str">
        <f t="shared" si="65"/>
        <v>BCBS PAYABLE</v>
      </c>
    </row>
    <row r="2654" spans="5:8" x14ac:dyDescent="0.25">
      <c r="E2654" t="str">
        <f>""</f>
        <v/>
      </c>
      <c r="F2654" t="str">
        <f>""</f>
        <v/>
      </c>
      <c r="H2654" t="str">
        <f t="shared" si="65"/>
        <v>BCBS PAYABLE</v>
      </c>
    </row>
    <row r="2655" spans="5:8" x14ac:dyDescent="0.25">
      <c r="E2655" t="str">
        <f>""</f>
        <v/>
      </c>
      <c r="F2655" t="str">
        <f>""</f>
        <v/>
      </c>
      <c r="H2655" t="str">
        <f t="shared" si="65"/>
        <v>BCBS PAYABLE</v>
      </c>
    </row>
    <row r="2656" spans="5:8" x14ac:dyDescent="0.25">
      <c r="E2656" t="str">
        <f>""</f>
        <v/>
      </c>
      <c r="F2656" t="str">
        <f>""</f>
        <v/>
      </c>
      <c r="H2656" t="str">
        <f t="shared" si="65"/>
        <v>BCBS PAYABLE</v>
      </c>
    </row>
    <row r="2657" spans="5:8" x14ac:dyDescent="0.25">
      <c r="E2657" t="str">
        <f>""</f>
        <v/>
      </c>
      <c r="F2657" t="str">
        <f>""</f>
        <v/>
      </c>
      <c r="H2657" t="str">
        <f t="shared" si="65"/>
        <v>BCBS PAYABLE</v>
      </c>
    </row>
    <row r="2658" spans="5:8" x14ac:dyDescent="0.25">
      <c r="E2658" t="str">
        <f>""</f>
        <v/>
      </c>
      <c r="F2658" t="str">
        <f>""</f>
        <v/>
      </c>
      <c r="H2658" t="str">
        <f t="shared" si="65"/>
        <v>BCBS PAYABLE</v>
      </c>
    </row>
    <row r="2659" spans="5:8" x14ac:dyDescent="0.25">
      <c r="E2659" t="str">
        <f>""</f>
        <v/>
      </c>
      <c r="F2659" t="str">
        <f>""</f>
        <v/>
      </c>
      <c r="H2659" t="str">
        <f t="shared" si="65"/>
        <v>BCBS PAYABLE</v>
      </c>
    </row>
    <row r="2660" spans="5:8" x14ac:dyDescent="0.25">
      <c r="E2660" t="str">
        <f>""</f>
        <v/>
      </c>
      <c r="F2660" t="str">
        <f>""</f>
        <v/>
      </c>
      <c r="H2660" t="str">
        <f t="shared" si="65"/>
        <v>BCBS PAYABLE</v>
      </c>
    </row>
    <row r="2661" spans="5:8" x14ac:dyDescent="0.25">
      <c r="E2661" t="str">
        <f>""</f>
        <v/>
      </c>
      <c r="F2661" t="str">
        <f>""</f>
        <v/>
      </c>
      <c r="H2661" t="str">
        <f t="shared" si="65"/>
        <v>BCBS PAYABLE</v>
      </c>
    </row>
    <row r="2662" spans="5:8" x14ac:dyDescent="0.25">
      <c r="E2662" t="str">
        <f>""</f>
        <v/>
      </c>
      <c r="F2662" t="str">
        <f>""</f>
        <v/>
      </c>
      <c r="H2662" t="str">
        <f t="shared" si="65"/>
        <v>BCBS PAYABLE</v>
      </c>
    </row>
    <row r="2663" spans="5:8" x14ac:dyDescent="0.25">
      <c r="E2663" t="str">
        <f>""</f>
        <v/>
      </c>
      <c r="F2663" t="str">
        <f>""</f>
        <v/>
      </c>
      <c r="H2663" t="str">
        <f t="shared" si="65"/>
        <v>BCBS PAYABLE</v>
      </c>
    </row>
    <row r="2664" spans="5:8" x14ac:dyDescent="0.25">
      <c r="E2664" t="str">
        <f>""</f>
        <v/>
      </c>
      <c r="F2664" t="str">
        <f>""</f>
        <v/>
      </c>
      <c r="H2664" t="str">
        <f t="shared" si="65"/>
        <v>BCBS PAYABLE</v>
      </c>
    </row>
    <row r="2665" spans="5:8" x14ac:dyDescent="0.25">
      <c r="E2665" t="str">
        <f>""</f>
        <v/>
      </c>
      <c r="F2665" t="str">
        <f>""</f>
        <v/>
      </c>
      <c r="H2665" t="str">
        <f t="shared" si="65"/>
        <v>BCBS PAYABLE</v>
      </c>
    </row>
    <row r="2666" spans="5:8" x14ac:dyDescent="0.25">
      <c r="E2666" t="str">
        <f>""</f>
        <v/>
      </c>
      <c r="F2666" t="str">
        <f>""</f>
        <v/>
      </c>
      <c r="H2666" t="str">
        <f t="shared" si="65"/>
        <v>BCBS PAYABLE</v>
      </c>
    </row>
    <row r="2667" spans="5:8" x14ac:dyDescent="0.25">
      <c r="E2667" t="str">
        <f>""</f>
        <v/>
      </c>
      <c r="F2667" t="str">
        <f>""</f>
        <v/>
      </c>
      <c r="H2667" t="str">
        <f t="shared" si="65"/>
        <v>BCBS PAYABLE</v>
      </c>
    </row>
    <row r="2668" spans="5:8" x14ac:dyDescent="0.25">
      <c r="E2668" t="str">
        <f>""</f>
        <v/>
      </c>
      <c r="F2668" t="str">
        <f>""</f>
        <v/>
      </c>
      <c r="H2668" t="str">
        <f t="shared" si="65"/>
        <v>BCBS PAYABLE</v>
      </c>
    </row>
    <row r="2669" spans="5:8" x14ac:dyDescent="0.25">
      <c r="E2669" t="str">
        <f>""</f>
        <v/>
      </c>
      <c r="F2669" t="str">
        <f>""</f>
        <v/>
      </c>
      <c r="H2669" t="str">
        <f t="shared" si="65"/>
        <v>BCBS PAYABLE</v>
      </c>
    </row>
    <row r="2670" spans="5:8" x14ac:dyDescent="0.25">
      <c r="E2670" t="str">
        <f>""</f>
        <v/>
      </c>
      <c r="F2670" t="str">
        <f>""</f>
        <v/>
      </c>
      <c r="H2670" t="str">
        <f t="shared" si="65"/>
        <v>BCBS PAYABLE</v>
      </c>
    </row>
    <row r="2671" spans="5:8" x14ac:dyDescent="0.25">
      <c r="E2671" t="str">
        <f>""</f>
        <v/>
      </c>
      <c r="F2671" t="str">
        <f>""</f>
        <v/>
      </c>
      <c r="H2671" t="str">
        <f t="shared" si="65"/>
        <v>BCBS PAYABLE</v>
      </c>
    </row>
    <row r="2672" spans="5:8" x14ac:dyDescent="0.25">
      <c r="E2672" t="str">
        <f>""</f>
        <v/>
      </c>
      <c r="F2672" t="str">
        <f>""</f>
        <v/>
      </c>
      <c r="H2672" t="str">
        <f t="shared" si="65"/>
        <v>BCBS PAYABLE</v>
      </c>
    </row>
    <row r="2673" spans="5:8" x14ac:dyDescent="0.25">
      <c r="E2673" t="str">
        <f>""</f>
        <v/>
      </c>
      <c r="F2673" t="str">
        <f>""</f>
        <v/>
      </c>
      <c r="H2673" t="str">
        <f t="shared" si="65"/>
        <v>BCBS PAYABLE</v>
      </c>
    </row>
    <row r="2674" spans="5:8" x14ac:dyDescent="0.25">
      <c r="E2674" t="str">
        <f>""</f>
        <v/>
      </c>
      <c r="F2674" t="str">
        <f>""</f>
        <v/>
      </c>
      <c r="H2674" t="str">
        <f t="shared" si="65"/>
        <v>BCBS PAYABLE</v>
      </c>
    </row>
    <row r="2675" spans="5:8" x14ac:dyDescent="0.25">
      <c r="E2675" t="str">
        <f>""</f>
        <v/>
      </c>
      <c r="F2675" t="str">
        <f>""</f>
        <v/>
      </c>
      <c r="H2675" t="str">
        <f t="shared" si="65"/>
        <v>BCBS PAYABLE</v>
      </c>
    </row>
    <row r="2676" spans="5:8" x14ac:dyDescent="0.25">
      <c r="E2676" t="str">
        <f>""</f>
        <v/>
      </c>
      <c r="F2676" t="str">
        <f>""</f>
        <v/>
      </c>
      <c r="H2676" t="str">
        <f t="shared" si="65"/>
        <v>BCBS PAYABLE</v>
      </c>
    </row>
    <row r="2677" spans="5:8" x14ac:dyDescent="0.25">
      <c r="E2677" t="str">
        <f>""</f>
        <v/>
      </c>
      <c r="F2677" t="str">
        <f>""</f>
        <v/>
      </c>
      <c r="H2677" t="str">
        <f t="shared" si="65"/>
        <v>BCBS PAYABLE</v>
      </c>
    </row>
    <row r="2678" spans="5:8" x14ac:dyDescent="0.25">
      <c r="E2678" t="str">
        <f>""</f>
        <v/>
      </c>
      <c r="F2678" t="str">
        <f>""</f>
        <v/>
      </c>
      <c r="H2678" t="str">
        <f t="shared" si="65"/>
        <v>BCBS PAYABLE</v>
      </c>
    </row>
    <row r="2679" spans="5:8" x14ac:dyDescent="0.25">
      <c r="E2679" t="str">
        <f>""</f>
        <v/>
      </c>
      <c r="F2679" t="str">
        <f>""</f>
        <v/>
      </c>
      <c r="H2679" t="str">
        <f t="shared" si="65"/>
        <v>BCBS PAYABLE</v>
      </c>
    </row>
    <row r="2680" spans="5:8" x14ac:dyDescent="0.25">
      <c r="E2680" t="str">
        <f>""</f>
        <v/>
      </c>
      <c r="F2680" t="str">
        <f>""</f>
        <v/>
      </c>
      <c r="H2680" t="str">
        <f t="shared" si="65"/>
        <v>BCBS PAYABLE</v>
      </c>
    </row>
    <row r="2681" spans="5:8" x14ac:dyDescent="0.25">
      <c r="E2681" t="str">
        <f>""</f>
        <v/>
      </c>
      <c r="F2681" t="str">
        <f>""</f>
        <v/>
      </c>
      <c r="H2681" t="str">
        <f t="shared" si="65"/>
        <v>BCBS PAYABLE</v>
      </c>
    </row>
    <row r="2682" spans="5:8" x14ac:dyDescent="0.25">
      <c r="E2682" t="str">
        <f>""</f>
        <v/>
      </c>
      <c r="F2682" t="str">
        <f>""</f>
        <v/>
      </c>
      <c r="H2682" t="str">
        <f t="shared" si="65"/>
        <v>BCBS PAYABLE</v>
      </c>
    </row>
    <row r="2683" spans="5:8" x14ac:dyDescent="0.25">
      <c r="E2683" t="str">
        <f>""</f>
        <v/>
      </c>
      <c r="F2683" t="str">
        <f>""</f>
        <v/>
      </c>
      <c r="H2683" t="str">
        <f t="shared" si="65"/>
        <v>BCBS PAYABLE</v>
      </c>
    </row>
    <row r="2684" spans="5:8" x14ac:dyDescent="0.25">
      <c r="E2684" t="str">
        <f>""</f>
        <v/>
      </c>
      <c r="F2684" t="str">
        <f>""</f>
        <v/>
      </c>
      <c r="H2684" t="str">
        <f t="shared" si="65"/>
        <v>BCBS PAYABLE</v>
      </c>
    </row>
    <row r="2685" spans="5:8" x14ac:dyDescent="0.25">
      <c r="E2685" t="str">
        <f>""</f>
        <v/>
      </c>
      <c r="F2685" t="str">
        <f>""</f>
        <v/>
      </c>
      <c r="H2685" t="str">
        <f t="shared" si="65"/>
        <v>BCBS PAYABLE</v>
      </c>
    </row>
    <row r="2686" spans="5:8" x14ac:dyDescent="0.25">
      <c r="E2686" t="str">
        <f>""</f>
        <v/>
      </c>
      <c r="F2686" t="str">
        <f>""</f>
        <v/>
      </c>
      <c r="H2686" t="str">
        <f t="shared" si="65"/>
        <v>BCBS PAYABLE</v>
      </c>
    </row>
    <row r="2687" spans="5:8" x14ac:dyDescent="0.25">
      <c r="E2687" t="str">
        <f>""</f>
        <v/>
      </c>
      <c r="F2687" t="str">
        <f>""</f>
        <v/>
      </c>
      <c r="H2687" t="str">
        <f t="shared" si="65"/>
        <v>BCBS PAYABLE</v>
      </c>
    </row>
    <row r="2688" spans="5:8" x14ac:dyDescent="0.25">
      <c r="E2688" t="str">
        <f>""</f>
        <v/>
      </c>
      <c r="F2688" t="str">
        <f>""</f>
        <v/>
      </c>
      <c r="H2688" t="str">
        <f t="shared" si="65"/>
        <v>BCBS PAYABLE</v>
      </c>
    </row>
    <row r="2689" spans="5:8" x14ac:dyDescent="0.25">
      <c r="E2689" t="str">
        <f>""</f>
        <v/>
      </c>
      <c r="F2689" t="str">
        <f>""</f>
        <v/>
      </c>
      <c r="H2689" t="str">
        <f t="shared" si="65"/>
        <v>BCBS PAYABLE</v>
      </c>
    </row>
    <row r="2690" spans="5:8" x14ac:dyDescent="0.25">
      <c r="E2690" t="str">
        <f>""</f>
        <v/>
      </c>
      <c r="F2690" t="str">
        <f>""</f>
        <v/>
      </c>
      <c r="H2690" t="str">
        <f t="shared" si="65"/>
        <v>BCBS PAYABLE</v>
      </c>
    </row>
    <row r="2691" spans="5:8" x14ac:dyDescent="0.25">
      <c r="E2691" t="str">
        <f>""</f>
        <v/>
      </c>
      <c r="F2691" t="str">
        <f>""</f>
        <v/>
      </c>
      <c r="H2691" t="str">
        <f t="shared" si="65"/>
        <v>BCBS PAYABLE</v>
      </c>
    </row>
    <row r="2692" spans="5:8" x14ac:dyDescent="0.25">
      <c r="E2692" t="str">
        <f>""</f>
        <v/>
      </c>
      <c r="F2692" t="str">
        <f>""</f>
        <v/>
      </c>
      <c r="H2692" t="str">
        <f t="shared" si="65"/>
        <v>BCBS PAYABLE</v>
      </c>
    </row>
    <row r="2693" spans="5:8" x14ac:dyDescent="0.25">
      <c r="E2693" t="str">
        <f>""</f>
        <v/>
      </c>
      <c r="F2693" t="str">
        <f>""</f>
        <v/>
      </c>
      <c r="H2693" t="str">
        <f t="shared" si="65"/>
        <v>BCBS PAYABLE</v>
      </c>
    </row>
    <row r="2694" spans="5:8" x14ac:dyDescent="0.25">
      <c r="E2694" t="str">
        <f>""</f>
        <v/>
      </c>
      <c r="F2694" t="str">
        <f>""</f>
        <v/>
      </c>
      <c r="H2694" t="str">
        <f t="shared" si="65"/>
        <v>BCBS PAYABLE</v>
      </c>
    </row>
    <row r="2695" spans="5:8" x14ac:dyDescent="0.25">
      <c r="E2695" t="str">
        <f>""</f>
        <v/>
      </c>
      <c r="F2695" t="str">
        <f>""</f>
        <v/>
      </c>
      <c r="H2695" t="str">
        <f t="shared" si="65"/>
        <v>BCBS PAYABLE</v>
      </c>
    </row>
    <row r="2696" spans="5:8" x14ac:dyDescent="0.25">
      <c r="E2696" t="str">
        <f>""</f>
        <v/>
      </c>
      <c r="F2696" t="str">
        <f>""</f>
        <v/>
      </c>
      <c r="H2696" t="str">
        <f t="shared" si="65"/>
        <v>BCBS PAYABLE</v>
      </c>
    </row>
    <row r="2697" spans="5:8" x14ac:dyDescent="0.25">
      <c r="E2697" t="str">
        <f>"2EO202103302365"</f>
        <v>2EO202103302365</v>
      </c>
      <c r="F2697" t="str">
        <f>"BCBS PAYABLE"</f>
        <v>BCBS PAYABLE</v>
      </c>
      <c r="G2697" s="1">
        <v>3418.3</v>
      </c>
      <c r="H2697" t="str">
        <f t="shared" si="65"/>
        <v>BCBS PAYABLE</v>
      </c>
    </row>
    <row r="2698" spans="5:8" x14ac:dyDescent="0.25">
      <c r="E2698" t="str">
        <f>"2EO202104142603"</f>
        <v>2EO202104142603</v>
      </c>
      <c r="F2698" t="str">
        <f>"BCBS PAYABLE"</f>
        <v>BCBS PAYABLE</v>
      </c>
      <c r="G2698" s="1">
        <v>105967.3</v>
      </c>
      <c r="H2698" t="str">
        <f t="shared" si="65"/>
        <v>BCBS PAYABLE</v>
      </c>
    </row>
    <row r="2699" spans="5:8" x14ac:dyDescent="0.25">
      <c r="E2699" t="str">
        <f>""</f>
        <v/>
      </c>
      <c r="F2699" t="str">
        <f>""</f>
        <v/>
      </c>
      <c r="H2699" t="str">
        <f t="shared" si="65"/>
        <v>BCBS PAYABLE</v>
      </c>
    </row>
    <row r="2700" spans="5:8" x14ac:dyDescent="0.25">
      <c r="E2700" t="str">
        <f>""</f>
        <v/>
      </c>
      <c r="F2700" t="str">
        <f>""</f>
        <v/>
      </c>
      <c r="H2700" t="str">
        <f t="shared" si="65"/>
        <v>BCBS PAYABLE</v>
      </c>
    </row>
    <row r="2701" spans="5:8" x14ac:dyDescent="0.25">
      <c r="E2701" t="str">
        <f>""</f>
        <v/>
      </c>
      <c r="F2701" t="str">
        <f>""</f>
        <v/>
      </c>
      <c r="H2701" t="str">
        <f t="shared" ref="H2701:H2764" si="66">"BCBS PAYABLE"</f>
        <v>BCBS PAYABLE</v>
      </c>
    </row>
    <row r="2702" spans="5:8" x14ac:dyDescent="0.25">
      <c r="E2702" t="str">
        <f>""</f>
        <v/>
      </c>
      <c r="F2702" t="str">
        <f>""</f>
        <v/>
      </c>
      <c r="H2702" t="str">
        <f t="shared" si="66"/>
        <v>BCBS PAYABLE</v>
      </c>
    </row>
    <row r="2703" spans="5:8" x14ac:dyDescent="0.25">
      <c r="E2703" t="str">
        <f>""</f>
        <v/>
      </c>
      <c r="F2703" t="str">
        <f>""</f>
        <v/>
      </c>
      <c r="H2703" t="str">
        <f t="shared" si="66"/>
        <v>BCBS PAYABLE</v>
      </c>
    </row>
    <row r="2704" spans="5:8" x14ac:dyDescent="0.25">
      <c r="E2704" t="str">
        <f>""</f>
        <v/>
      </c>
      <c r="F2704" t="str">
        <f>""</f>
        <v/>
      </c>
      <c r="H2704" t="str">
        <f t="shared" si="66"/>
        <v>BCBS PAYABLE</v>
      </c>
    </row>
    <row r="2705" spans="5:8" x14ac:dyDescent="0.25">
      <c r="E2705" t="str">
        <f>""</f>
        <v/>
      </c>
      <c r="F2705" t="str">
        <f>""</f>
        <v/>
      </c>
      <c r="H2705" t="str">
        <f t="shared" si="66"/>
        <v>BCBS PAYABLE</v>
      </c>
    </row>
    <row r="2706" spans="5:8" x14ac:dyDescent="0.25">
      <c r="E2706" t="str">
        <f>""</f>
        <v/>
      </c>
      <c r="F2706" t="str">
        <f>""</f>
        <v/>
      </c>
      <c r="H2706" t="str">
        <f t="shared" si="66"/>
        <v>BCBS PAYABLE</v>
      </c>
    </row>
    <row r="2707" spans="5:8" x14ac:dyDescent="0.25">
      <c r="E2707" t="str">
        <f>""</f>
        <v/>
      </c>
      <c r="F2707" t="str">
        <f>""</f>
        <v/>
      </c>
      <c r="H2707" t="str">
        <f t="shared" si="66"/>
        <v>BCBS PAYABLE</v>
      </c>
    </row>
    <row r="2708" spans="5:8" x14ac:dyDescent="0.25">
      <c r="E2708" t="str">
        <f>""</f>
        <v/>
      </c>
      <c r="F2708" t="str">
        <f>""</f>
        <v/>
      </c>
      <c r="H2708" t="str">
        <f t="shared" si="66"/>
        <v>BCBS PAYABLE</v>
      </c>
    </row>
    <row r="2709" spans="5:8" x14ac:dyDescent="0.25">
      <c r="E2709" t="str">
        <f>""</f>
        <v/>
      </c>
      <c r="F2709" t="str">
        <f>""</f>
        <v/>
      </c>
      <c r="H2709" t="str">
        <f t="shared" si="66"/>
        <v>BCBS PAYABLE</v>
      </c>
    </row>
    <row r="2710" spans="5:8" x14ac:dyDescent="0.25">
      <c r="E2710" t="str">
        <f>""</f>
        <v/>
      </c>
      <c r="F2710" t="str">
        <f>""</f>
        <v/>
      </c>
      <c r="H2710" t="str">
        <f t="shared" si="66"/>
        <v>BCBS PAYABLE</v>
      </c>
    </row>
    <row r="2711" spans="5:8" x14ac:dyDescent="0.25">
      <c r="E2711" t="str">
        <f>""</f>
        <v/>
      </c>
      <c r="F2711" t="str">
        <f>""</f>
        <v/>
      </c>
      <c r="H2711" t="str">
        <f t="shared" si="66"/>
        <v>BCBS PAYABLE</v>
      </c>
    </row>
    <row r="2712" spans="5:8" x14ac:dyDescent="0.25">
      <c r="E2712" t="str">
        <f>""</f>
        <v/>
      </c>
      <c r="F2712" t="str">
        <f>""</f>
        <v/>
      </c>
      <c r="H2712" t="str">
        <f t="shared" si="66"/>
        <v>BCBS PAYABLE</v>
      </c>
    </row>
    <row r="2713" spans="5:8" x14ac:dyDescent="0.25">
      <c r="E2713" t="str">
        <f>""</f>
        <v/>
      </c>
      <c r="F2713" t="str">
        <f>""</f>
        <v/>
      </c>
      <c r="H2713" t="str">
        <f t="shared" si="66"/>
        <v>BCBS PAYABLE</v>
      </c>
    </row>
    <row r="2714" spans="5:8" x14ac:dyDescent="0.25">
      <c r="E2714" t="str">
        <f>""</f>
        <v/>
      </c>
      <c r="F2714" t="str">
        <f>""</f>
        <v/>
      </c>
      <c r="H2714" t="str">
        <f t="shared" si="66"/>
        <v>BCBS PAYABLE</v>
      </c>
    </row>
    <row r="2715" spans="5:8" x14ac:dyDescent="0.25">
      <c r="E2715" t="str">
        <f>""</f>
        <v/>
      </c>
      <c r="F2715" t="str">
        <f>""</f>
        <v/>
      </c>
      <c r="H2715" t="str">
        <f t="shared" si="66"/>
        <v>BCBS PAYABLE</v>
      </c>
    </row>
    <row r="2716" spans="5:8" x14ac:dyDescent="0.25">
      <c r="E2716" t="str">
        <f>""</f>
        <v/>
      </c>
      <c r="F2716" t="str">
        <f>""</f>
        <v/>
      </c>
      <c r="H2716" t="str">
        <f t="shared" si="66"/>
        <v>BCBS PAYABLE</v>
      </c>
    </row>
    <row r="2717" spans="5:8" x14ac:dyDescent="0.25">
      <c r="E2717" t="str">
        <f>""</f>
        <v/>
      </c>
      <c r="F2717" t="str">
        <f>""</f>
        <v/>
      </c>
      <c r="H2717" t="str">
        <f t="shared" si="66"/>
        <v>BCBS PAYABLE</v>
      </c>
    </row>
    <row r="2718" spans="5:8" x14ac:dyDescent="0.25">
      <c r="E2718" t="str">
        <f>""</f>
        <v/>
      </c>
      <c r="F2718" t="str">
        <f>""</f>
        <v/>
      </c>
      <c r="H2718" t="str">
        <f t="shared" si="66"/>
        <v>BCBS PAYABLE</v>
      </c>
    </row>
    <row r="2719" spans="5:8" x14ac:dyDescent="0.25">
      <c r="E2719" t="str">
        <f>""</f>
        <v/>
      </c>
      <c r="F2719" t="str">
        <f>""</f>
        <v/>
      </c>
      <c r="H2719" t="str">
        <f t="shared" si="66"/>
        <v>BCBS PAYABLE</v>
      </c>
    </row>
    <row r="2720" spans="5:8" x14ac:dyDescent="0.25">
      <c r="E2720" t="str">
        <f>""</f>
        <v/>
      </c>
      <c r="F2720" t="str">
        <f>""</f>
        <v/>
      </c>
      <c r="H2720" t="str">
        <f t="shared" si="66"/>
        <v>BCBS PAYABLE</v>
      </c>
    </row>
    <row r="2721" spans="5:8" x14ac:dyDescent="0.25">
      <c r="E2721" t="str">
        <f>""</f>
        <v/>
      </c>
      <c r="F2721" t="str">
        <f>""</f>
        <v/>
      </c>
      <c r="H2721" t="str">
        <f t="shared" si="66"/>
        <v>BCBS PAYABLE</v>
      </c>
    </row>
    <row r="2722" spans="5:8" x14ac:dyDescent="0.25">
      <c r="E2722" t="str">
        <f>""</f>
        <v/>
      </c>
      <c r="F2722" t="str">
        <f>""</f>
        <v/>
      </c>
      <c r="H2722" t="str">
        <f t="shared" si="66"/>
        <v>BCBS PAYABLE</v>
      </c>
    </row>
    <row r="2723" spans="5:8" x14ac:dyDescent="0.25">
      <c r="E2723" t="str">
        <f>""</f>
        <v/>
      </c>
      <c r="F2723" t="str">
        <f>""</f>
        <v/>
      </c>
      <c r="H2723" t="str">
        <f t="shared" si="66"/>
        <v>BCBS PAYABLE</v>
      </c>
    </row>
    <row r="2724" spans="5:8" x14ac:dyDescent="0.25">
      <c r="E2724" t="str">
        <f>""</f>
        <v/>
      </c>
      <c r="F2724" t="str">
        <f>""</f>
        <v/>
      </c>
      <c r="H2724" t="str">
        <f t="shared" si="66"/>
        <v>BCBS PAYABLE</v>
      </c>
    </row>
    <row r="2725" spans="5:8" x14ac:dyDescent="0.25">
      <c r="E2725" t="str">
        <f>""</f>
        <v/>
      </c>
      <c r="F2725" t="str">
        <f>""</f>
        <v/>
      </c>
      <c r="H2725" t="str">
        <f t="shared" si="66"/>
        <v>BCBS PAYABLE</v>
      </c>
    </row>
    <row r="2726" spans="5:8" x14ac:dyDescent="0.25">
      <c r="E2726" t="str">
        <f>""</f>
        <v/>
      </c>
      <c r="F2726" t="str">
        <f>""</f>
        <v/>
      </c>
      <c r="H2726" t="str">
        <f t="shared" si="66"/>
        <v>BCBS PAYABLE</v>
      </c>
    </row>
    <row r="2727" spans="5:8" x14ac:dyDescent="0.25">
      <c r="E2727" t="str">
        <f>""</f>
        <v/>
      </c>
      <c r="F2727" t="str">
        <f>""</f>
        <v/>
      </c>
      <c r="H2727" t="str">
        <f t="shared" si="66"/>
        <v>BCBS PAYABLE</v>
      </c>
    </row>
    <row r="2728" spans="5:8" x14ac:dyDescent="0.25">
      <c r="E2728" t="str">
        <f>""</f>
        <v/>
      </c>
      <c r="F2728" t="str">
        <f>""</f>
        <v/>
      </c>
      <c r="H2728" t="str">
        <f t="shared" si="66"/>
        <v>BCBS PAYABLE</v>
      </c>
    </row>
    <row r="2729" spans="5:8" x14ac:dyDescent="0.25">
      <c r="E2729" t="str">
        <f>""</f>
        <v/>
      </c>
      <c r="F2729" t="str">
        <f>""</f>
        <v/>
      </c>
      <c r="H2729" t="str">
        <f t="shared" si="66"/>
        <v>BCBS PAYABLE</v>
      </c>
    </row>
    <row r="2730" spans="5:8" x14ac:dyDescent="0.25">
      <c r="E2730" t="str">
        <f>""</f>
        <v/>
      </c>
      <c r="F2730" t="str">
        <f>""</f>
        <v/>
      </c>
      <c r="H2730" t="str">
        <f t="shared" si="66"/>
        <v>BCBS PAYABLE</v>
      </c>
    </row>
    <row r="2731" spans="5:8" x14ac:dyDescent="0.25">
      <c r="E2731" t="str">
        <f>""</f>
        <v/>
      </c>
      <c r="F2731" t="str">
        <f>""</f>
        <v/>
      </c>
      <c r="H2731" t="str">
        <f t="shared" si="66"/>
        <v>BCBS PAYABLE</v>
      </c>
    </row>
    <row r="2732" spans="5:8" x14ac:dyDescent="0.25">
      <c r="E2732" t="str">
        <f>""</f>
        <v/>
      </c>
      <c r="F2732" t="str">
        <f>""</f>
        <v/>
      </c>
      <c r="H2732" t="str">
        <f t="shared" si="66"/>
        <v>BCBS PAYABLE</v>
      </c>
    </row>
    <row r="2733" spans="5:8" x14ac:dyDescent="0.25">
      <c r="E2733" t="str">
        <f>""</f>
        <v/>
      </c>
      <c r="F2733" t="str">
        <f>""</f>
        <v/>
      </c>
      <c r="H2733" t="str">
        <f t="shared" si="66"/>
        <v>BCBS PAYABLE</v>
      </c>
    </row>
    <row r="2734" spans="5:8" x14ac:dyDescent="0.25">
      <c r="E2734" t="str">
        <f>""</f>
        <v/>
      </c>
      <c r="F2734" t="str">
        <f>""</f>
        <v/>
      </c>
      <c r="H2734" t="str">
        <f t="shared" si="66"/>
        <v>BCBS PAYABLE</v>
      </c>
    </row>
    <row r="2735" spans="5:8" x14ac:dyDescent="0.25">
      <c r="E2735" t="str">
        <f>""</f>
        <v/>
      </c>
      <c r="F2735" t="str">
        <f>""</f>
        <v/>
      </c>
      <c r="H2735" t="str">
        <f t="shared" si="66"/>
        <v>BCBS PAYABLE</v>
      </c>
    </row>
    <row r="2736" spans="5:8" x14ac:dyDescent="0.25">
      <c r="E2736" t="str">
        <f>""</f>
        <v/>
      </c>
      <c r="F2736" t="str">
        <f>""</f>
        <v/>
      </c>
      <c r="H2736" t="str">
        <f t="shared" si="66"/>
        <v>BCBS PAYABLE</v>
      </c>
    </row>
    <row r="2737" spans="5:8" x14ac:dyDescent="0.25">
      <c r="E2737" t="str">
        <f>""</f>
        <v/>
      </c>
      <c r="F2737" t="str">
        <f>""</f>
        <v/>
      </c>
      <c r="H2737" t="str">
        <f t="shared" si="66"/>
        <v>BCBS PAYABLE</v>
      </c>
    </row>
    <row r="2738" spans="5:8" x14ac:dyDescent="0.25">
      <c r="E2738" t="str">
        <f>""</f>
        <v/>
      </c>
      <c r="F2738" t="str">
        <f>""</f>
        <v/>
      </c>
      <c r="H2738" t="str">
        <f t="shared" si="66"/>
        <v>BCBS PAYABLE</v>
      </c>
    </row>
    <row r="2739" spans="5:8" x14ac:dyDescent="0.25">
      <c r="E2739" t="str">
        <f>""</f>
        <v/>
      </c>
      <c r="F2739" t="str">
        <f>""</f>
        <v/>
      </c>
      <c r="H2739" t="str">
        <f t="shared" si="66"/>
        <v>BCBS PAYABLE</v>
      </c>
    </row>
    <row r="2740" spans="5:8" x14ac:dyDescent="0.25">
      <c r="E2740" t="str">
        <f>""</f>
        <v/>
      </c>
      <c r="F2740" t="str">
        <f>""</f>
        <v/>
      </c>
      <c r="H2740" t="str">
        <f t="shared" si="66"/>
        <v>BCBS PAYABLE</v>
      </c>
    </row>
    <row r="2741" spans="5:8" x14ac:dyDescent="0.25">
      <c r="E2741" t="str">
        <f>""</f>
        <v/>
      </c>
      <c r="F2741" t="str">
        <f>""</f>
        <v/>
      </c>
      <c r="H2741" t="str">
        <f t="shared" si="66"/>
        <v>BCBS PAYABLE</v>
      </c>
    </row>
    <row r="2742" spans="5:8" x14ac:dyDescent="0.25">
      <c r="E2742" t="str">
        <f>""</f>
        <v/>
      </c>
      <c r="F2742" t="str">
        <f>""</f>
        <v/>
      </c>
      <c r="H2742" t="str">
        <f t="shared" si="66"/>
        <v>BCBS PAYABLE</v>
      </c>
    </row>
    <row r="2743" spans="5:8" x14ac:dyDescent="0.25">
      <c r="E2743" t="str">
        <f>""</f>
        <v/>
      </c>
      <c r="F2743" t="str">
        <f>""</f>
        <v/>
      </c>
      <c r="H2743" t="str">
        <f t="shared" si="66"/>
        <v>BCBS PAYABLE</v>
      </c>
    </row>
    <row r="2744" spans="5:8" x14ac:dyDescent="0.25">
      <c r="E2744" t="str">
        <f>""</f>
        <v/>
      </c>
      <c r="F2744" t="str">
        <f>""</f>
        <v/>
      </c>
      <c r="H2744" t="str">
        <f t="shared" si="66"/>
        <v>BCBS PAYABLE</v>
      </c>
    </row>
    <row r="2745" spans="5:8" x14ac:dyDescent="0.25">
      <c r="E2745" t="str">
        <f>"2EO202104142604"</f>
        <v>2EO202104142604</v>
      </c>
      <c r="F2745" t="str">
        <f>"BCBS PAYABLE"</f>
        <v>BCBS PAYABLE</v>
      </c>
      <c r="G2745" s="1">
        <v>3418.3</v>
      </c>
      <c r="H2745" t="str">
        <f t="shared" si="66"/>
        <v>BCBS PAYABLE</v>
      </c>
    </row>
    <row r="2746" spans="5:8" x14ac:dyDescent="0.25">
      <c r="E2746" t="str">
        <f>"2ES202103302364"</f>
        <v>2ES202103302364</v>
      </c>
      <c r="F2746" t="str">
        <f>"BCBS PAYABLE"</f>
        <v>BCBS PAYABLE</v>
      </c>
      <c r="G2746" s="1">
        <v>17939.79</v>
      </c>
      <c r="H2746" t="str">
        <f t="shared" si="66"/>
        <v>BCBS PAYABLE</v>
      </c>
    </row>
    <row r="2747" spans="5:8" x14ac:dyDescent="0.25">
      <c r="E2747" t="str">
        <f>""</f>
        <v/>
      </c>
      <c r="F2747" t="str">
        <f>""</f>
        <v/>
      </c>
      <c r="H2747" t="str">
        <f t="shared" si="66"/>
        <v>BCBS PAYABLE</v>
      </c>
    </row>
    <row r="2748" spans="5:8" x14ac:dyDescent="0.25">
      <c r="E2748" t="str">
        <f>""</f>
        <v/>
      </c>
      <c r="F2748" t="str">
        <f>""</f>
        <v/>
      </c>
      <c r="H2748" t="str">
        <f t="shared" si="66"/>
        <v>BCBS PAYABLE</v>
      </c>
    </row>
    <row r="2749" spans="5:8" x14ac:dyDescent="0.25">
      <c r="E2749" t="str">
        <f>""</f>
        <v/>
      </c>
      <c r="F2749" t="str">
        <f>""</f>
        <v/>
      </c>
      <c r="H2749" t="str">
        <f t="shared" si="66"/>
        <v>BCBS PAYABLE</v>
      </c>
    </row>
    <row r="2750" spans="5:8" x14ac:dyDescent="0.25">
      <c r="E2750" t="str">
        <f>""</f>
        <v/>
      </c>
      <c r="F2750" t="str">
        <f>""</f>
        <v/>
      </c>
      <c r="H2750" t="str">
        <f t="shared" si="66"/>
        <v>BCBS PAYABLE</v>
      </c>
    </row>
    <row r="2751" spans="5:8" x14ac:dyDescent="0.25">
      <c r="E2751" t="str">
        <f>""</f>
        <v/>
      </c>
      <c r="F2751" t="str">
        <f>""</f>
        <v/>
      </c>
      <c r="H2751" t="str">
        <f t="shared" si="66"/>
        <v>BCBS PAYABLE</v>
      </c>
    </row>
    <row r="2752" spans="5:8" x14ac:dyDescent="0.25">
      <c r="E2752" t="str">
        <f>""</f>
        <v/>
      </c>
      <c r="F2752" t="str">
        <f>""</f>
        <v/>
      </c>
      <c r="H2752" t="str">
        <f t="shared" si="66"/>
        <v>BCBS PAYABLE</v>
      </c>
    </row>
    <row r="2753" spans="5:8" x14ac:dyDescent="0.25">
      <c r="E2753" t="str">
        <f>""</f>
        <v/>
      </c>
      <c r="F2753" t="str">
        <f>""</f>
        <v/>
      </c>
      <c r="H2753" t="str">
        <f t="shared" si="66"/>
        <v>BCBS PAYABLE</v>
      </c>
    </row>
    <row r="2754" spans="5:8" x14ac:dyDescent="0.25">
      <c r="E2754" t="str">
        <f>""</f>
        <v/>
      </c>
      <c r="F2754" t="str">
        <f>""</f>
        <v/>
      </c>
      <c r="H2754" t="str">
        <f t="shared" si="66"/>
        <v>BCBS PAYABLE</v>
      </c>
    </row>
    <row r="2755" spans="5:8" x14ac:dyDescent="0.25">
      <c r="E2755" t="str">
        <f>""</f>
        <v/>
      </c>
      <c r="F2755" t="str">
        <f>""</f>
        <v/>
      </c>
      <c r="H2755" t="str">
        <f t="shared" si="66"/>
        <v>BCBS PAYABLE</v>
      </c>
    </row>
    <row r="2756" spans="5:8" x14ac:dyDescent="0.25">
      <c r="E2756" t="str">
        <f>""</f>
        <v/>
      </c>
      <c r="F2756" t="str">
        <f>""</f>
        <v/>
      </c>
      <c r="H2756" t="str">
        <f t="shared" si="66"/>
        <v>BCBS PAYABLE</v>
      </c>
    </row>
    <row r="2757" spans="5:8" x14ac:dyDescent="0.25">
      <c r="E2757" t="str">
        <f>""</f>
        <v/>
      </c>
      <c r="F2757" t="str">
        <f>""</f>
        <v/>
      </c>
      <c r="H2757" t="str">
        <f t="shared" si="66"/>
        <v>BCBS PAYABLE</v>
      </c>
    </row>
    <row r="2758" spans="5:8" x14ac:dyDescent="0.25">
      <c r="E2758" t="str">
        <f>""</f>
        <v/>
      </c>
      <c r="F2758" t="str">
        <f>""</f>
        <v/>
      </c>
      <c r="H2758" t="str">
        <f t="shared" si="66"/>
        <v>BCBS PAYABLE</v>
      </c>
    </row>
    <row r="2759" spans="5:8" x14ac:dyDescent="0.25">
      <c r="E2759" t="str">
        <f>""</f>
        <v/>
      </c>
      <c r="F2759" t="str">
        <f>""</f>
        <v/>
      </c>
      <c r="H2759" t="str">
        <f t="shared" si="66"/>
        <v>BCBS PAYABLE</v>
      </c>
    </row>
    <row r="2760" spans="5:8" x14ac:dyDescent="0.25">
      <c r="E2760" t="str">
        <f>""</f>
        <v/>
      </c>
      <c r="F2760" t="str">
        <f>""</f>
        <v/>
      </c>
      <c r="H2760" t="str">
        <f t="shared" si="66"/>
        <v>BCBS PAYABLE</v>
      </c>
    </row>
    <row r="2761" spans="5:8" x14ac:dyDescent="0.25">
      <c r="E2761" t="str">
        <f>""</f>
        <v/>
      </c>
      <c r="F2761" t="str">
        <f>""</f>
        <v/>
      </c>
      <c r="H2761" t="str">
        <f t="shared" si="66"/>
        <v>BCBS PAYABLE</v>
      </c>
    </row>
    <row r="2762" spans="5:8" x14ac:dyDescent="0.25">
      <c r="E2762" t="str">
        <f>""</f>
        <v/>
      </c>
      <c r="F2762" t="str">
        <f>""</f>
        <v/>
      </c>
      <c r="H2762" t="str">
        <f t="shared" si="66"/>
        <v>BCBS PAYABLE</v>
      </c>
    </row>
    <row r="2763" spans="5:8" x14ac:dyDescent="0.25">
      <c r="E2763" t="str">
        <f>""</f>
        <v/>
      </c>
      <c r="F2763" t="str">
        <f>""</f>
        <v/>
      </c>
      <c r="H2763" t="str">
        <f t="shared" si="66"/>
        <v>BCBS PAYABLE</v>
      </c>
    </row>
    <row r="2764" spans="5:8" x14ac:dyDescent="0.25">
      <c r="E2764" t="str">
        <f>"2ES202104142603"</f>
        <v>2ES202104142603</v>
      </c>
      <c r="F2764" t="str">
        <f>"BCBS PAYABLE"</f>
        <v>BCBS PAYABLE</v>
      </c>
      <c r="G2764" s="1">
        <v>16852.53</v>
      </c>
      <c r="H2764" t="str">
        <f t="shared" si="66"/>
        <v>BCBS PAYABLE</v>
      </c>
    </row>
    <row r="2765" spans="5:8" x14ac:dyDescent="0.25">
      <c r="E2765" t="str">
        <f>""</f>
        <v/>
      </c>
      <c r="F2765" t="str">
        <f>""</f>
        <v/>
      </c>
      <c r="H2765" t="str">
        <f t="shared" ref="H2765:H2781" si="67">"BCBS PAYABLE"</f>
        <v>BCBS PAYABLE</v>
      </c>
    </row>
    <row r="2766" spans="5:8" x14ac:dyDescent="0.25">
      <c r="E2766" t="str">
        <f>""</f>
        <v/>
      </c>
      <c r="F2766" t="str">
        <f>""</f>
        <v/>
      </c>
      <c r="H2766" t="str">
        <f t="shared" si="67"/>
        <v>BCBS PAYABLE</v>
      </c>
    </row>
    <row r="2767" spans="5:8" x14ac:dyDescent="0.25">
      <c r="E2767" t="str">
        <f>""</f>
        <v/>
      </c>
      <c r="F2767" t="str">
        <f>""</f>
        <v/>
      </c>
      <c r="H2767" t="str">
        <f t="shared" si="67"/>
        <v>BCBS PAYABLE</v>
      </c>
    </row>
    <row r="2768" spans="5:8" x14ac:dyDescent="0.25">
      <c r="E2768" t="str">
        <f>""</f>
        <v/>
      </c>
      <c r="F2768" t="str">
        <f>""</f>
        <v/>
      </c>
      <c r="H2768" t="str">
        <f t="shared" si="67"/>
        <v>BCBS PAYABLE</v>
      </c>
    </row>
    <row r="2769" spans="1:8" x14ac:dyDescent="0.25">
      <c r="E2769" t="str">
        <f>""</f>
        <v/>
      </c>
      <c r="F2769" t="str">
        <f>""</f>
        <v/>
      </c>
      <c r="H2769" t="str">
        <f t="shared" si="67"/>
        <v>BCBS PAYABLE</v>
      </c>
    </row>
    <row r="2770" spans="1:8" x14ac:dyDescent="0.25">
      <c r="E2770" t="str">
        <f>""</f>
        <v/>
      </c>
      <c r="F2770" t="str">
        <f>""</f>
        <v/>
      </c>
      <c r="H2770" t="str">
        <f t="shared" si="67"/>
        <v>BCBS PAYABLE</v>
      </c>
    </row>
    <row r="2771" spans="1:8" x14ac:dyDescent="0.25">
      <c r="E2771" t="str">
        <f>""</f>
        <v/>
      </c>
      <c r="F2771" t="str">
        <f>""</f>
        <v/>
      </c>
      <c r="H2771" t="str">
        <f t="shared" si="67"/>
        <v>BCBS PAYABLE</v>
      </c>
    </row>
    <row r="2772" spans="1:8" x14ac:dyDescent="0.25">
      <c r="E2772" t="str">
        <f>""</f>
        <v/>
      </c>
      <c r="F2772" t="str">
        <f>""</f>
        <v/>
      </c>
      <c r="H2772" t="str">
        <f t="shared" si="67"/>
        <v>BCBS PAYABLE</v>
      </c>
    </row>
    <row r="2773" spans="1:8" x14ac:dyDescent="0.25">
      <c r="E2773" t="str">
        <f>""</f>
        <v/>
      </c>
      <c r="F2773" t="str">
        <f>""</f>
        <v/>
      </c>
      <c r="H2773" t="str">
        <f t="shared" si="67"/>
        <v>BCBS PAYABLE</v>
      </c>
    </row>
    <row r="2774" spans="1:8" x14ac:dyDescent="0.25">
      <c r="E2774" t="str">
        <f>""</f>
        <v/>
      </c>
      <c r="F2774" t="str">
        <f>""</f>
        <v/>
      </c>
      <c r="H2774" t="str">
        <f t="shared" si="67"/>
        <v>BCBS PAYABLE</v>
      </c>
    </row>
    <row r="2775" spans="1:8" x14ac:dyDescent="0.25">
      <c r="E2775" t="str">
        <f>""</f>
        <v/>
      </c>
      <c r="F2775" t="str">
        <f>""</f>
        <v/>
      </c>
      <c r="H2775" t="str">
        <f t="shared" si="67"/>
        <v>BCBS PAYABLE</v>
      </c>
    </row>
    <row r="2776" spans="1:8" x14ac:dyDescent="0.25">
      <c r="E2776" t="str">
        <f>""</f>
        <v/>
      </c>
      <c r="F2776" t="str">
        <f>""</f>
        <v/>
      </c>
      <c r="H2776" t="str">
        <f t="shared" si="67"/>
        <v>BCBS PAYABLE</v>
      </c>
    </row>
    <row r="2777" spans="1:8" x14ac:dyDescent="0.25">
      <c r="E2777" t="str">
        <f>""</f>
        <v/>
      </c>
      <c r="F2777" t="str">
        <f>""</f>
        <v/>
      </c>
      <c r="H2777" t="str">
        <f t="shared" si="67"/>
        <v>BCBS PAYABLE</v>
      </c>
    </row>
    <row r="2778" spans="1:8" x14ac:dyDescent="0.25">
      <c r="E2778" t="str">
        <f>""</f>
        <v/>
      </c>
      <c r="F2778" t="str">
        <f>""</f>
        <v/>
      </c>
      <c r="H2778" t="str">
        <f t="shared" si="67"/>
        <v>BCBS PAYABLE</v>
      </c>
    </row>
    <row r="2779" spans="1:8" x14ac:dyDescent="0.25">
      <c r="E2779" t="str">
        <f>""</f>
        <v/>
      </c>
      <c r="F2779" t="str">
        <f>""</f>
        <v/>
      </c>
      <c r="H2779" t="str">
        <f t="shared" si="67"/>
        <v>BCBS PAYABLE</v>
      </c>
    </row>
    <row r="2780" spans="1:8" x14ac:dyDescent="0.25">
      <c r="E2780" t="str">
        <f>""</f>
        <v/>
      </c>
      <c r="F2780" t="str">
        <f>""</f>
        <v/>
      </c>
      <c r="H2780" t="str">
        <f t="shared" si="67"/>
        <v>BCBS PAYABLE</v>
      </c>
    </row>
    <row r="2781" spans="1:8" x14ac:dyDescent="0.25">
      <c r="E2781" t="str">
        <f>""</f>
        <v/>
      </c>
      <c r="F2781" t="str">
        <f>""</f>
        <v/>
      </c>
      <c r="H2781" t="str">
        <f t="shared" si="67"/>
        <v>BCBS PAYABLE</v>
      </c>
    </row>
    <row r="2782" spans="1:8" x14ac:dyDescent="0.25">
      <c r="A2782" t="s">
        <v>386</v>
      </c>
      <c r="B2782">
        <v>994</v>
      </c>
      <c r="C2782" s="1">
        <v>9954.01</v>
      </c>
      <c r="D2782" s="6">
        <v>44287</v>
      </c>
      <c r="E2782" t="str">
        <f>"FSA202103302364"</f>
        <v>FSA202103302364</v>
      </c>
      <c r="F2782" t="str">
        <f>"TASC FSA"</f>
        <v>TASC FSA</v>
      </c>
      <c r="G2782" s="1">
        <v>7180.1</v>
      </c>
      <c r="H2782" t="str">
        <f>"TASC FSA"</f>
        <v>TASC FSA</v>
      </c>
    </row>
    <row r="2783" spans="1:8" x14ac:dyDescent="0.25">
      <c r="E2783" t="str">
        <f>"FSA202103302365"</f>
        <v>FSA202103302365</v>
      </c>
      <c r="F2783" t="str">
        <f>"TASC FSA"</f>
        <v>TASC FSA</v>
      </c>
      <c r="G2783" s="1">
        <v>370.41</v>
      </c>
      <c r="H2783" t="str">
        <f>"TASC FSA"</f>
        <v>TASC FSA</v>
      </c>
    </row>
    <row r="2784" spans="1:8" x14ac:dyDescent="0.25">
      <c r="E2784" t="str">
        <f>"FSC202103302364"</f>
        <v>FSC202103302364</v>
      </c>
      <c r="F2784" t="str">
        <f>"TASC DEPENDENT CARE"</f>
        <v>TASC DEPENDENT CARE</v>
      </c>
      <c r="G2784" s="1">
        <v>50</v>
      </c>
      <c r="H2784" t="str">
        <f>"TASC DEPENDENT CARE"</f>
        <v>TASC DEPENDENT CARE</v>
      </c>
    </row>
    <row r="2785" spans="5:8" x14ac:dyDescent="0.25">
      <c r="E2785" t="str">
        <f>"FSF202103302364"</f>
        <v>FSF202103302364</v>
      </c>
      <c r="F2785" t="str">
        <f>"TASC - FSA  FEES"</f>
        <v>TASC - FSA  FEES</v>
      </c>
      <c r="G2785" s="1">
        <v>243</v>
      </c>
      <c r="H2785" t="str">
        <f t="shared" ref="H2785:H2824" si="68">"TASC - FSA  FEES"</f>
        <v>TASC - FSA  FEES</v>
      </c>
    </row>
    <row r="2786" spans="5:8" x14ac:dyDescent="0.25">
      <c r="E2786" t="str">
        <f>""</f>
        <v/>
      </c>
      <c r="F2786" t="str">
        <f>""</f>
        <v/>
      </c>
      <c r="H2786" t="str">
        <f t="shared" si="68"/>
        <v>TASC - FSA  FEES</v>
      </c>
    </row>
    <row r="2787" spans="5:8" x14ac:dyDescent="0.25">
      <c r="E2787" t="str">
        <f>""</f>
        <v/>
      </c>
      <c r="F2787" t="str">
        <f>""</f>
        <v/>
      </c>
      <c r="H2787" t="str">
        <f t="shared" si="68"/>
        <v>TASC - FSA  FEES</v>
      </c>
    </row>
    <row r="2788" spans="5:8" x14ac:dyDescent="0.25">
      <c r="E2788" t="str">
        <f>""</f>
        <v/>
      </c>
      <c r="F2788" t="str">
        <f>""</f>
        <v/>
      </c>
      <c r="H2788" t="str">
        <f t="shared" si="68"/>
        <v>TASC - FSA  FEES</v>
      </c>
    </row>
    <row r="2789" spans="5:8" x14ac:dyDescent="0.25">
      <c r="E2789" t="str">
        <f>""</f>
        <v/>
      </c>
      <c r="F2789" t="str">
        <f>""</f>
        <v/>
      </c>
      <c r="H2789" t="str">
        <f t="shared" si="68"/>
        <v>TASC - FSA  FEES</v>
      </c>
    </row>
    <row r="2790" spans="5:8" x14ac:dyDescent="0.25">
      <c r="E2790" t="str">
        <f>""</f>
        <v/>
      </c>
      <c r="F2790" t="str">
        <f>""</f>
        <v/>
      </c>
      <c r="H2790" t="str">
        <f t="shared" si="68"/>
        <v>TASC - FSA  FEES</v>
      </c>
    </row>
    <row r="2791" spans="5:8" x14ac:dyDescent="0.25">
      <c r="E2791" t="str">
        <f>""</f>
        <v/>
      </c>
      <c r="F2791" t="str">
        <f>""</f>
        <v/>
      </c>
      <c r="H2791" t="str">
        <f t="shared" si="68"/>
        <v>TASC - FSA  FEES</v>
      </c>
    </row>
    <row r="2792" spans="5:8" x14ac:dyDescent="0.25">
      <c r="E2792" t="str">
        <f>""</f>
        <v/>
      </c>
      <c r="F2792" t="str">
        <f>""</f>
        <v/>
      </c>
      <c r="H2792" t="str">
        <f t="shared" si="68"/>
        <v>TASC - FSA 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68"/>
        <v>TASC - FSA 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68"/>
        <v>TASC - FSA 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68"/>
        <v>TASC - FSA 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68"/>
        <v>TASC - FSA 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68"/>
        <v>TASC - FSA 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68"/>
        <v>TASC - FSA  FEES</v>
      </c>
    </row>
    <row r="2799" spans="5:8" x14ac:dyDescent="0.25">
      <c r="E2799" t="str">
        <f>""</f>
        <v/>
      </c>
      <c r="F2799" t="str">
        <f>""</f>
        <v/>
      </c>
      <c r="H2799" t="str">
        <f t="shared" si="68"/>
        <v>TASC - FSA 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68"/>
        <v>TASC - FSA 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68"/>
        <v>TASC - FSA 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68"/>
        <v>TASC - FSA 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68"/>
        <v>TASC - FSA 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68"/>
        <v>TASC - FSA  FEES</v>
      </c>
    </row>
    <row r="2805" spans="5:8" x14ac:dyDescent="0.25">
      <c r="E2805" t="str">
        <f>""</f>
        <v/>
      </c>
      <c r="F2805" t="str">
        <f>""</f>
        <v/>
      </c>
      <c r="H2805" t="str">
        <f t="shared" si="68"/>
        <v>TASC - FSA 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68"/>
        <v>TASC - FSA 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68"/>
        <v>TASC - FSA 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68"/>
        <v>TASC - FSA 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68"/>
        <v>TASC - FSA 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68"/>
        <v>TASC - FSA 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68"/>
        <v>TASC - FSA 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68"/>
        <v>TASC - FSA 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68"/>
        <v>TASC - FSA 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68"/>
        <v>TASC - FSA 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68"/>
        <v>TASC - FSA  FEES</v>
      </c>
    </row>
    <row r="2816" spans="5:8" x14ac:dyDescent="0.25">
      <c r="E2816" t="str">
        <f>""</f>
        <v/>
      </c>
      <c r="F2816" t="str">
        <f>""</f>
        <v/>
      </c>
      <c r="H2816" t="str">
        <f t="shared" si="68"/>
        <v>TASC - FSA  FEES</v>
      </c>
    </row>
    <row r="2817" spans="5:8" x14ac:dyDescent="0.25">
      <c r="E2817" t="str">
        <f>""</f>
        <v/>
      </c>
      <c r="F2817" t="str">
        <f>""</f>
        <v/>
      </c>
      <c r="H2817" t="str">
        <f t="shared" si="68"/>
        <v>TASC - FSA  FEES</v>
      </c>
    </row>
    <row r="2818" spans="5:8" x14ac:dyDescent="0.25">
      <c r="E2818" t="str">
        <f>""</f>
        <v/>
      </c>
      <c r="F2818" t="str">
        <f>""</f>
        <v/>
      </c>
      <c r="H2818" t="str">
        <f t="shared" si="68"/>
        <v>TASC - FSA  FEES</v>
      </c>
    </row>
    <row r="2819" spans="5:8" x14ac:dyDescent="0.25">
      <c r="E2819" t="str">
        <f>""</f>
        <v/>
      </c>
      <c r="F2819" t="str">
        <f>""</f>
        <v/>
      </c>
      <c r="H2819" t="str">
        <f t="shared" si="68"/>
        <v>TASC - FSA  FEES</v>
      </c>
    </row>
    <row r="2820" spans="5:8" x14ac:dyDescent="0.25">
      <c r="E2820" t="str">
        <f>""</f>
        <v/>
      </c>
      <c r="F2820" t="str">
        <f>""</f>
        <v/>
      </c>
      <c r="H2820" t="str">
        <f t="shared" si="68"/>
        <v>TASC - FSA  FEES</v>
      </c>
    </row>
    <row r="2821" spans="5:8" x14ac:dyDescent="0.25">
      <c r="E2821" t="str">
        <f>""</f>
        <v/>
      </c>
      <c r="F2821" t="str">
        <f>""</f>
        <v/>
      </c>
      <c r="H2821" t="str">
        <f t="shared" si="68"/>
        <v>TASC - FSA  FEES</v>
      </c>
    </row>
    <row r="2822" spans="5:8" x14ac:dyDescent="0.25">
      <c r="E2822" t="str">
        <f>""</f>
        <v/>
      </c>
      <c r="F2822" t="str">
        <f>""</f>
        <v/>
      </c>
      <c r="H2822" t="str">
        <f t="shared" si="68"/>
        <v>TASC - FSA  FEES</v>
      </c>
    </row>
    <row r="2823" spans="5:8" x14ac:dyDescent="0.25">
      <c r="E2823" t="str">
        <f>""</f>
        <v/>
      </c>
      <c r="F2823" t="str">
        <f>""</f>
        <v/>
      </c>
      <c r="H2823" t="str">
        <f t="shared" si="68"/>
        <v>TASC - FSA  FEES</v>
      </c>
    </row>
    <row r="2824" spans="5:8" x14ac:dyDescent="0.25">
      <c r="E2824" t="str">
        <f>"FSF202103302365"</f>
        <v>FSF202103302365</v>
      </c>
      <c r="F2824" t="str">
        <f>"TASC - FSA  FEES"</f>
        <v>TASC - FSA  FEES</v>
      </c>
      <c r="G2824" s="1">
        <v>12.6</v>
      </c>
      <c r="H2824" t="str">
        <f t="shared" si="68"/>
        <v>TASC - FSA  FEES</v>
      </c>
    </row>
    <row r="2825" spans="5:8" x14ac:dyDescent="0.25">
      <c r="E2825" t="str">
        <f>"HRA202103302364"</f>
        <v>HRA202103302364</v>
      </c>
      <c r="F2825" t="str">
        <f>"TASC HRA"</f>
        <v>TASC HRA</v>
      </c>
      <c r="G2825" s="1">
        <v>1000.08</v>
      </c>
      <c r="H2825" t="str">
        <f>"TASC HRA"</f>
        <v>TASC HRA</v>
      </c>
    </row>
    <row r="2826" spans="5:8" x14ac:dyDescent="0.25">
      <c r="E2826" t="str">
        <f>""</f>
        <v/>
      </c>
      <c r="F2826" t="str">
        <f>""</f>
        <v/>
      </c>
      <c r="H2826" t="str">
        <f>"TASC HRA"</f>
        <v>TASC HRA</v>
      </c>
    </row>
    <row r="2827" spans="5:8" x14ac:dyDescent="0.25">
      <c r="E2827" t="str">
        <f>""</f>
        <v/>
      </c>
      <c r="F2827" t="str">
        <f>""</f>
        <v/>
      </c>
      <c r="H2827" t="str">
        <f>"TASC HRA"</f>
        <v>TASC HRA</v>
      </c>
    </row>
    <row r="2828" spans="5:8" x14ac:dyDescent="0.25">
      <c r="E2828" t="str">
        <f>"HRA202103302365"</f>
        <v>HRA202103302365</v>
      </c>
      <c r="F2828" t="str">
        <f>"TASC HRA"</f>
        <v>TASC HRA</v>
      </c>
      <c r="G2828" s="1">
        <v>250.02</v>
      </c>
      <c r="H2828" t="str">
        <f>"TASC HRA"</f>
        <v>TASC HRA</v>
      </c>
    </row>
    <row r="2829" spans="5:8" x14ac:dyDescent="0.25">
      <c r="E2829" t="str">
        <f>"HRF202103302364"</f>
        <v>HRF202103302364</v>
      </c>
      <c r="F2829" t="str">
        <f>"TASC - HRA FEES"</f>
        <v>TASC - HRA FEES</v>
      </c>
      <c r="G2829" s="1">
        <v>820.8</v>
      </c>
      <c r="H2829" t="str">
        <f t="shared" ref="H2829:H2860" si="69">"TASC - HRA FEES"</f>
        <v>TASC - HRA FEES</v>
      </c>
    </row>
    <row r="2830" spans="5:8" x14ac:dyDescent="0.25">
      <c r="E2830" t="str">
        <f>""</f>
        <v/>
      </c>
      <c r="F2830" t="str">
        <f>""</f>
        <v/>
      </c>
      <c r="H2830" t="str">
        <f t="shared" si="69"/>
        <v>TASC - HRA FEES</v>
      </c>
    </row>
    <row r="2831" spans="5:8" x14ac:dyDescent="0.25">
      <c r="E2831" t="str">
        <f>""</f>
        <v/>
      </c>
      <c r="F2831" t="str">
        <f>""</f>
        <v/>
      </c>
      <c r="H2831" t="str">
        <f t="shared" si="69"/>
        <v>TASC - HRA FEES</v>
      </c>
    </row>
    <row r="2832" spans="5:8" x14ac:dyDescent="0.25">
      <c r="E2832" t="str">
        <f>""</f>
        <v/>
      </c>
      <c r="F2832" t="str">
        <f>""</f>
        <v/>
      </c>
      <c r="H2832" t="str">
        <f t="shared" si="69"/>
        <v>TASC - HRA FEES</v>
      </c>
    </row>
    <row r="2833" spans="5:8" x14ac:dyDescent="0.25">
      <c r="E2833" t="str">
        <f>""</f>
        <v/>
      </c>
      <c r="F2833" t="str">
        <f>""</f>
        <v/>
      </c>
      <c r="H2833" t="str">
        <f t="shared" si="69"/>
        <v>TASC - HRA FEES</v>
      </c>
    </row>
    <row r="2834" spans="5:8" x14ac:dyDescent="0.25">
      <c r="E2834" t="str">
        <f>""</f>
        <v/>
      </c>
      <c r="F2834" t="str">
        <f>""</f>
        <v/>
      </c>
      <c r="H2834" t="str">
        <f t="shared" si="69"/>
        <v>TASC - HRA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69"/>
        <v>TASC - HRA FEES</v>
      </c>
    </row>
    <row r="2836" spans="5:8" x14ac:dyDescent="0.25">
      <c r="E2836" t="str">
        <f>""</f>
        <v/>
      </c>
      <c r="F2836" t="str">
        <f>""</f>
        <v/>
      </c>
      <c r="H2836" t="str">
        <f t="shared" si="69"/>
        <v>TASC - HRA FEES</v>
      </c>
    </row>
    <row r="2837" spans="5:8" x14ac:dyDescent="0.25">
      <c r="E2837" t="str">
        <f>""</f>
        <v/>
      </c>
      <c r="F2837" t="str">
        <f>""</f>
        <v/>
      </c>
      <c r="H2837" t="str">
        <f t="shared" si="69"/>
        <v>TASC - HRA FEES</v>
      </c>
    </row>
    <row r="2838" spans="5:8" x14ac:dyDescent="0.25">
      <c r="E2838" t="str">
        <f>""</f>
        <v/>
      </c>
      <c r="F2838" t="str">
        <f>""</f>
        <v/>
      </c>
      <c r="H2838" t="str">
        <f t="shared" si="69"/>
        <v>TASC - HRA FEES</v>
      </c>
    </row>
    <row r="2839" spans="5:8" x14ac:dyDescent="0.25">
      <c r="E2839" t="str">
        <f>""</f>
        <v/>
      </c>
      <c r="F2839" t="str">
        <f>""</f>
        <v/>
      </c>
      <c r="H2839" t="str">
        <f t="shared" si="69"/>
        <v>TASC - HRA FEES</v>
      </c>
    </row>
    <row r="2840" spans="5:8" x14ac:dyDescent="0.25">
      <c r="E2840" t="str">
        <f>""</f>
        <v/>
      </c>
      <c r="F2840" t="str">
        <f>""</f>
        <v/>
      </c>
      <c r="H2840" t="str">
        <f t="shared" si="69"/>
        <v>TASC - HRA FEES</v>
      </c>
    </row>
    <row r="2841" spans="5:8" x14ac:dyDescent="0.25">
      <c r="E2841" t="str">
        <f>""</f>
        <v/>
      </c>
      <c r="F2841" t="str">
        <f>""</f>
        <v/>
      </c>
      <c r="H2841" t="str">
        <f t="shared" si="69"/>
        <v>TASC - HRA FEES</v>
      </c>
    </row>
    <row r="2842" spans="5:8" x14ac:dyDescent="0.25">
      <c r="E2842" t="str">
        <f>""</f>
        <v/>
      </c>
      <c r="F2842" t="str">
        <f>""</f>
        <v/>
      </c>
      <c r="H2842" t="str">
        <f t="shared" si="69"/>
        <v>TASC - HRA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69"/>
        <v>TASC - HRA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69"/>
        <v>TASC - HRA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69"/>
        <v>TASC - HRA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69"/>
        <v>TASC - HRA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69"/>
        <v>TASC - HRA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69"/>
        <v>TASC - HRA FEES</v>
      </c>
    </row>
    <row r="2849" spans="5:8" x14ac:dyDescent="0.25">
      <c r="E2849" t="str">
        <f>""</f>
        <v/>
      </c>
      <c r="F2849" t="str">
        <f>""</f>
        <v/>
      </c>
      <c r="H2849" t="str">
        <f t="shared" si="69"/>
        <v>TASC - HRA FEES</v>
      </c>
    </row>
    <row r="2850" spans="5:8" x14ac:dyDescent="0.25">
      <c r="E2850" t="str">
        <f>""</f>
        <v/>
      </c>
      <c r="F2850" t="str">
        <f>""</f>
        <v/>
      </c>
      <c r="H2850" t="str">
        <f t="shared" si="69"/>
        <v>TASC - HRA FEES</v>
      </c>
    </row>
    <row r="2851" spans="5:8" x14ac:dyDescent="0.25">
      <c r="E2851" t="str">
        <f>""</f>
        <v/>
      </c>
      <c r="F2851" t="str">
        <f>""</f>
        <v/>
      </c>
      <c r="H2851" t="str">
        <f t="shared" si="69"/>
        <v>TASC - HRA FEES</v>
      </c>
    </row>
    <row r="2852" spans="5:8" x14ac:dyDescent="0.25">
      <c r="E2852" t="str">
        <f>""</f>
        <v/>
      </c>
      <c r="F2852" t="str">
        <f>""</f>
        <v/>
      </c>
      <c r="H2852" t="str">
        <f t="shared" si="69"/>
        <v>TASC - HRA FEES</v>
      </c>
    </row>
    <row r="2853" spans="5:8" x14ac:dyDescent="0.25">
      <c r="E2853" t="str">
        <f>""</f>
        <v/>
      </c>
      <c r="F2853" t="str">
        <f>""</f>
        <v/>
      </c>
      <c r="H2853" t="str">
        <f t="shared" si="69"/>
        <v>TASC - HRA FEES</v>
      </c>
    </row>
    <row r="2854" spans="5:8" x14ac:dyDescent="0.25">
      <c r="E2854" t="str">
        <f>""</f>
        <v/>
      </c>
      <c r="F2854" t="str">
        <f>""</f>
        <v/>
      </c>
      <c r="H2854" t="str">
        <f t="shared" si="69"/>
        <v>TASC - HRA FEES</v>
      </c>
    </row>
    <row r="2855" spans="5:8" x14ac:dyDescent="0.25">
      <c r="E2855" t="str">
        <f>""</f>
        <v/>
      </c>
      <c r="F2855" t="str">
        <f>""</f>
        <v/>
      </c>
      <c r="H2855" t="str">
        <f t="shared" si="69"/>
        <v>TASC - HRA FEES</v>
      </c>
    </row>
    <row r="2856" spans="5:8" x14ac:dyDescent="0.25">
      <c r="E2856" t="str">
        <f>""</f>
        <v/>
      </c>
      <c r="F2856" t="str">
        <f>""</f>
        <v/>
      </c>
      <c r="H2856" t="str">
        <f t="shared" si="69"/>
        <v>TASC - HRA FEES</v>
      </c>
    </row>
    <row r="2857" spans="5:8" x14ac:dyDescent="0.25">
      <c r="E2857" t="str">
        <f>""</f>
        <v/>
      </c>
      <c r="F2857" t="str">
        <f>""</f>
        <v/>
      </c>
      <c r="H2857" t="str">
        <f t="shared" si="69"/>
        <v>TASC - HRA FEES</v>
      </c>
    </row>
    <row r="2858" spans="5:8" x14ac:dyDescent="0.25">
      <c r="E2858" t="str">
        <f>""</f>
        <v/>
      </c>
      <c r="F2858" t="str">
        <f>""</f>
        <v/>
      </c>
      <c r="H2858" t="str">
        <f t="shared" si="69"/>
        <v>TASC - HRA FEES</v>
      </c>
    </row>
    <row r="2859" spans="5:8" x14ac:dyDescent="0.25">
      <c r="E2859" t="str">
        <f>""</f>
        <v/>
      </c>
      <c r="F2859" t="str">
        <f>""</f>
        <v/>
      </c>
      <c r="H2859" t="str">
        <f t="shared" si="69"/>
        <v>TASC - HRA FEES</v>
      </c>
    </row>
    <row r="2860" spans="5:8" x14ac:dyDescent="0.25">
      <c r="E2860" t="str">
        <f>""</f>
        <v/>
      </c>
      <c r="F2860" t="str">
        <f>""</f>
        <v/>
      </c>
      <c r="H2860" t="str">
        <f t="shared" si="69"/>
        <v>TASC - HRA FEES</v>
      </c>
    </row>
    <row r="2861" spans="5:8" x14ac:dyDescent="0.25">
      <c r="E2861" t="str">
        <f>""</f>
        <v/>
      </c>
      <c r="F2861" t="str">
        <f>""</f>
        <v/>
      </c>
      <c r="H2861" t="str">
        <f t="shared" ref="H2861:H2880" si="70">"TASC - HRA FEES"</f>
        <v>TASC - HRA FEES</v>
      </c>
    </row>
    <row r="2862" spans="5:8" x14ac:dyDescent="0.25">
      <c r="E2862" t="str">
        <f>""</f>
        <v/>
      </c>
      <c r="F2862" t="str">
        <f>""</f>
        <v/>
      </c>
      <c r="H2862" t="str">
        <f t="shared" si="70"/>
        <v>TASC - HRA FEES</v>
      </c>
    </row>
    <row r="2863" spans="5:8" x14ac:dyDescent="0.25">
      <c r="E2863" t="str">
        <f>""</f>
        <v/>
      </c>
      <c r="F2863" t="str">
        <f>""</f>
        <v/>
      </c>
      <c r="H2863" t="str">
        <f t="shared" si="70"/>
        <v>TASC - HRA FEES</v>
      </c>
    </row>
    <row r="2864" spans="5:8" x14ac:dyDescent="0.25">
      <c r="E2864" t="str">
        <f>""</f>
        <v/>
      </c>
      <c r="F2864" t="str">
        <f>""</f>
        <v/>
      </c>
      <c r="H2864" t="str">
        <f t="shared" si="70"/>
        <v>TASC - HRA FEES</v>
      </c>
    </row>
    <row r="2865" spans="5:8" x14ac:dyDescent="0.25">
      <c r="E2865" t="str">
        <f>""</f>
        <v/>
      </c>
      <c r="F2865" t="str">
        <f>""</f>
        <v/>
      </c>
      <c r="H2865" t="str">
        <f t="shared" si="70"/>
        <v>TASC - HRA FEES</v>
      </c>
    </row>
    <row r="2866" spans="5:8" x14ac:dyDescent="0.25">
      <c r="E2866" t="str">
        <f>""</f>
        <v/>
      </c>
      <c r="F2866" t="str">
        <f>""</f>
        <v/>
      </c>
      <c r="H2866" t="str">
        <f t="shared" si="70"/>
        <v>TASC - HRA FEES</v>
      </c>
    </row>
    <row r="2867" spans="5:8" x14ac:dyDescent="0.25">
      <c r="E2867" t="str">
        <f>""</f>
        <v/>
      </c>
      <c r="F2867" t="str">
        <f>""</f>
        <v/>
      </c>
      <c r="H2867" t="str">
        <f t="shared" si="70"/>
        <v>TASC - HRA FEES</v>
      </c>
    </row>
    <row r="2868" spans="5:8" x14ac:dyDescent="0.25">
      <c r="E2868" t="str">
        <f>""</f>
        <v/>
      </c>
      <c r="F2868" t="str">
        <f>""</f>
        <v/>
      </c>
      <c r="H2868" t="str">
        <f t="shared" si="70"/>
        <v>TASC - HRA FEES</v>
      </c>
    </row>
    <row r="2869" spans="5:8" x14ac:dyDescent="0.25">
      <c r="E2869" t="str">
        <f>""</f>
        <v/>
      </c>
      <c r="F2869" t="str">
        <f>""</f>
        <v/>
      </c>
      <c r="H2869" t="str">
        <f t="shared" si="70"/>
        <v>TASC - HRA FEES</v>
      </c>
    </row>
    <row r="2870" spans="5:8" x14ac:dyDescent="0.25">
      <c r="E2870" t="str">
        <f>""</f>
        <v/>
      </c>
      <c r="F2870" t="str">
        <f>""</f>
        <v/>
      </c>
      <c r="H2870" t="str">
        <f t="shared" si="70"/>
        <v>TASC - HRA FEES</v>
      </c>
    </row>
    <row r="2871" spans="5:8" x14ac:dyDescent="0.25">
      <c r="E2871" t="str">
        <f>""</f>
        <v/>
      </c>
      <c r="F2871" t="str">
        <f>""</f>
        <v/>
      </c>
      <c r="H2871" t="str">
        <f t="shared" si="70"/>
        <v>TASC - HRA FEES</v>
      </c>
    </row>
    <row r="2872" spans="5:8" x14ac:dyDescent="0.25">
      <c r="E2872" t="str">
        <f>""</f>
        <v/>
      </c>
      <c r="F2872" t="str">
        <f>""</f>
        <v/>
      </c>
      <c r="H2872" t="str">
        <f t="shared" si="70"/>
        <v>TASC - HRA FEES</v>
      </c>
    </row>
    <row r="2873" spans="5:8" x14ac:dyDescent="0.25">
      <c r="E2873" t="str">
        <f>""</f>
        <v/>
      </c>
      <c r="F2873" t="str">
        <f>""</f>
        <v/>
      </c>
      <c r="H2873" t="str">
        <f t="shared" si="70"/>
        <v>TASC - HRA FEES</v>
      </c>
    </row>
    <row r="2874" spans="5:8" x14ac:dyDescent="0.25">
      <c r="E2874" t="str">
        <f>""</f>
        <v/>
      </c>
      <c r="F2874" t="str">
        <f>""</f>
        <v/>
      </c>
      <c r="H2874" t="str">
        <f t="shared" si="70"/>
        <v>TASC - HRA FEES</v>
      </c>
    </row>
    <row r="2875" spans="5:8" x14ac:dyDescent="0.25">
      <c r="E2875" t="str">
        <f>""</f>
        <v/>
      </c>
      <c r="F2875" t="str">
        <f>""</f>
        <v/>
      </c>
      <c r="H2875" t="str">
        <f t="shared" si="70"/>
        <v>TASC - HRA FEES</v>
      </c>
    </row>
    <row r="2876" spans="5:8" x14ac:dyDescent="0.25">
      <c r="E2876" t="str">
        <f>""</f>
        <v/>
      </c>
      <c r="F2876" t="str">
        <f>""</f>
        <v/>
      </c>
      <c r="H2876" t="str">
        <f t="shared" si="70"/>
        <v>TASC - HRA FEES</v>
      </c>
    </row>
    <row r="2877" spans="5:8" x14ac:dyDescent="0.25">
      <c r="E2877" t="str">
        <f>""</f>
        <v/>
      </c>
      <c r="F2877" t="str">
        <f>""</f>
        <v/>
      </c>
      <c r="H2877" t="str">
        <f t="shared" si="70"/>
        <v>TASC - HRA FEES</v>
      </c>
    </row>
    <row r="2878" spans="5:8" x14ac:dyDescent="0.25">
      <c r="E2878" t="str">
        <f>""</f>
        <v/>
      </c>
      <c r="F2878" t="str">
        <f>""</f>
        <v/>
      </c>
      <c r="H2878" t="str">
        <f t="shared" si="70"/>
        <v>TASC - HRA FEES</v>
      </c>
    </row>
    <row r="2879" spans="5:8" x14ac:dyDescent="0.25">
      <c r="E2879" t="str">
        <f>""</f>
        <v/>
      </c>
      <c r="F2879" t="str">
        <f>""</f>
        <v/>
      </c>
      <c r="H2879" t="str">
        <f t="shared" si="70"/>
        <v>TASC - HRA FEES</v>
      </c>
    </row>
    <row r="2880" spans="5:8" x14ac:dyDescent="0.25">
      <c r="E2880" t="str">
        <f>"HRF202103302365"</f>
        <v>HRF202103302365</v>
      </c>
      <c r="F2880" t="str">
        <f>"TASC - HRA FEES"</f>
        <v>TASC - HRA FEES</v>
      </c>
      <c r="G2880" s="1">
        <v>27</v>
      </c>
      <c r="H2880" t="str">
        <f t="shared" si="70"/>
        <v>TASC - HRA FEES</v>
      </c>
    </row>
    <row r="2881" spans="1:8" x14ac:dyDescent="0.25">
      <c r="A2881" t="s">
        <v>386</v>
      </c>
      <c r="B2881">
        <v>1003</v>
      </c>
      <c r="C2881" s="1">
        <v>8613.11</v>
      </c>
      <c r="D2881" s="6">
        <v>44302</v>
      </c>
      <c r="E2881" t="str">
        <f>"FSA202104142603"</f>
        <v>FSA202104142603</v>
      </c>
      <c r="F2881" t="str">
        <f>"TASC FSA"</f>
        <v>TASC FSA</v>
      </c>
      <c r="G2881" s="1">
        <v>7100.1</v>
      </c>
      <c r="H2881" t="str">
        <f>"TASC FSA"</f>
        <v>TASC FSA</v>
      </c>
    </row>
    <row r="2882" spans="1:8" x14ac:dyDescent="0.25">
      <c r="E2882" t="str">
        <f>"FSA202104142604"</f>
        <v>FSA202104142604</v>
      </c>
      <c r="F2882" t="str">
        <f>"TASC FSA"</f>
        <v>TASC FSA</v>
      </c>
      <c r="G2882" s="1">
        <v>370.41</v>
      </c>
      <c r="H2882" t="str">
        <f>"TASC FSA"</f>
        <v>TASC FSA</v>
      </c>
    </row>
    <row r="2883" spans="1:8" x14ac:dyDescent="0.25">
      <c r="E2883" t="str">
        <f>"FSC202104142603"</f>
        <v>FSC202104142603</v>
      </c>
      <c r="F2883" t="str">
        <f>"TASC DEPENDENT CARE"</f>
        <v>TASC DEPENDENT CARE</v>
      </c>
      <c r="G2883" s="1">
        <v>50</v>
      </c>
      <c r="H2883" t="str">
        <f>"TASC DEPENDENT CARE"</f>
        <v>TASC DEPENDENT CARE</v>
      </c>
    </row>
    <row r="2884" spans="1:8" x14ac:dyDescent="0.25">
      <c r="E2884" t="str">
        <f>"FSF202104142603"</f>
        <v>FSF202104142603</v>
      </c>
      <c r="F2884" t="str">
        <f>"TASC - FSA  FEES"</f>
        <v>TASC - FSA  FEES</v>
      </c>
      <c r="G2884" s="1">
        <v>239.4</v>
      </c>
      <c r="H2884" t="str">
        <f t="shared" ref="H2884:H2922" si="71">"TASC - FSA  FEES"</f>
        <v>TASC - FSA  FEES</v>
      </c>
    </row>
    <row r="2885" spans="1:8" x14ac:dyDescent="0.25">
      <c r="E2885" t="str">
        <f>""</f>
        <v/>
      </c>
      <c r="F2885" t="str">
        <f>""</f>
        <v/>
      </c>
      <c r="H2885" t="str">
        <f t="shared" si="71"/>
        <v>TASC - FSA  FEES</v>
      </c>
    </row>
    <row r="2886" spans="1:8" x14ac:dyDescent="0.25">
      <c r="E2886" t="str">
        <f>""</f>
        <v/>
      </c>
      <c r="F2886" t="str">
        <f>""</f>
        <v/>
      </c>
      <c r="H2886" t="str">
        <f t="shared" si="71"/>
        <v>TASC - FSA  FEES</v>
      </c>
    </row>
    <row r="2887" spans="1:8" x14ac:dyDescent="0.25">
      <c r="E2887" t="str">
        <f>""</f>
        <v/>
      </c>
      <c r="F2887" t="str">
        <f>""</f>
        <v/>
      </c>
      <c r="H2887" t="str">
        <f t="shared" si="71"/>
        <v>TASC - FSA  FEES</v>
      </c>
    </row>
    <row r="2888" spans="1:8" x14ac:dyDescent="0.25">
      <c r="E2888" t="str">
        <f>""</f>
        <v/>
      </c>
      <c r="F2888" t="str">
        <f>""</f>
        <v/>
      </c>
      <c r="H2888" t="str">
        <f t="shared" si="71"/>
        <v>TASC - FSA  FEES</v>
      </c>
    </row>
    <row r="2889" spans="1:8" x14ac:dyDescent="0.25">
      <c r="E2889" t="str">
        <f>""</f>
        <v/>
      </c>
      <c r="F2889" t="str">
        <f>""</f>
        <v/>
      </c>
      <c r="H2889" t="str">
        <f t="shared" si="71"/>
        <v>TASC - FSA  FEES</v>
      </c>
    </row>
    <row r="2890" spans="1:8" x14ac:dyDescent="0.25">
      <c r="E2890" t="str">
        <f>""</f>
        <v/>
      </c>
      <c r="F2890" t="str">
        <f>""</f>
        <v/>
      </c>
      <c r="H2890" t="str">
        <f t="shared" si="71"/>
        <v>TASC - FSA  FEES</v>
      </c>
    </row>
    <row r="2891" spans="1:8" x14ac:dyDescent="0.25">
      <c r="E2891" t="str">
        <f>""</f>
        <v/>
      </c>
      <c r="F2891" t="str">
        <f>""</f>
        <v/>
      </c>
      <c r="H2891" t="str">
        <f t="shared" si="71"/>
        <v>TASC - FSA  FEES</v>
      </c>
    </row>
    <row r="2892" spans="1:8" x14ac:dyDescent="0.25">
      <c r="E2892" t="str">
        <f>""</f>
        <v/>
      </c>
      <c r="F2892" t="str">
        <f>""</f>
        <v/>
      </c>
      <c r="H2892" t="str">
        <f t="shared" si="71"/>
        <v>TASC - FSA  FEES</v>
      </c>
    </row>
    <row r="2893" spans="1:8" x14ac:dyDescent="0.25">
      <c r="E2893" t="str">
        <f>""</f>
        <v/>
      </c>
      <c r="F2893" t="str">
        <f>""</f>
        <v/>
      </c>
      <c r="H2893" t="str">
        <f t="shared" si="71"/>
        <v>TASC - FSA  FEES</v>
      </c>
    </row>
    <row r="2894" spans="1:8" x14ac:dyDescent="0.25">
      <c r="E2894" t="str">
        <f>""</f>
        <v/>
      </c>
      <c r="F2894" t="str">
        <f>""</f>
        <v/>
      </c>
      <c r="H2894" t="str">
        <f t="shared" si="71"/>
        <v>TASC - FSA  FEES</v>
      </c>
    </row>
    <row r="2895" spans="1:8" x14ac:dyDescent="0.25">
      <c r="E2895" t="str">
        <f>""</f>
        <v/>
      </c>
      <c r="F2895" t="str">
        <f>""</f>
        <v/>
      </c>
      <c r="H2895" t="str">
        <f t="shared" si="71"/>
        <v>TASC - FSA  FEES</v>
      </c>
    </row>
    <row r="2896" spans="1:8" x14ac:dyDescent="0.25">
      <c r="E2896" t="str">
        <f>""</f>
        <v/>
      </c>
      <c r="F2896" t="str">
        <f>""</f>
        <v/>
      </c>
      <c r="H2896" t="str">
        <f t="shared" si="71"/>
        <v>TASC - FSA  FEES</v>
      </c>
    </row>
    <row r="2897" spans="5:8" x14ac:dyDescent="0.25">
      <c r="E2897" t="str">
        <f>""</f>
        <v/>
      </c>
      <c r="F2897" t="str">
        <f>""</f>
        <v/>
      </c>
      <c r="H2897" t="str">
        <f t="shared" si="71"/>
        <v>TASC - FSA  FEES</v>
      </c>
    </row>
    <row r="2898" spans="5:8" x14ac:dyDescent="0.25">
      <c r="E2898" t="str">
        <f>""</f>
        <v/>
      </c>
      <c r="F2898" t="str">
        <f>""</f>
        <v/>
      </c>
      <c r="H2898" t="str">
        <f t="shared" si="71"/>
        <v>TASC - FSA  FEES</v>
      </c>
    </row>
    <row r="2899" spans="5:8" x14ac:dyDescent="0.25">
      <c r="E2899" t="str">
        <f>""</f>
        <v/>
      </c>
      <c r="F2899" t="str">
        <f>""</f>
        <v/>
      </c>
      <c r="H2899" t="str">
        <f t="shared" si="71"/>
        <v>TASC - FSA  FEES</v>
      </c>
    </row>
    <row r="2900" spans="5:8" x14ac:dyDescent="0.25">
      <c r="E2900" t="str">
        <f>""</f>
        <v/>
      </c>
      <c r="F2900" t="str">
        <f>""</f>
        <v/>
      </c>
      <c r="H2900" t="str">
        <f t="shared" si="71"/>
        <v>TASC - FSA  FEES</v>
      </c>
    </row>
    <row r="2901" spans="5:8" x14ac:dyDescent="0.25">
      <c r="E2901" t="str">
        <f>""</f>
        <v/>
      </c>
      <c r="F2901" t="str">
        <f>""</f>
        <v/>
      </c>
      <c r="H2901" t="str">
        <f t="shared" si="71"/>
        <v>TASC - FSA  FEES</v>
      </c>
    </row>
    <row r="2902" spans="5:8" x14ac:dyDescent="0.25">
      <c r="E2902" t="str">
        <f>""</f>
        <v/>
      </c>
      <c r="F2902" t="str">
        <f>""</f>
        <v/>
      </c>
      <c r="H2902" t="str">
        <f t="shared" si="71"/>
        <v>TASC - FSA  FEES</v>
      </c>
    </row>
    <row r="2903" spans="5:8" x14ac:dyDescent="0.25">
      <c r="E2903" t="str">
        <f>""</f>
        <v/>
      </c>
      <c r="F2903" t="str">
        <f>""</f>
        <v/>
      </c>
      <c r="H2903" t="str">
        <f t="shared" si="71"/>
        <v>TASC - FSA  FEES</v>
      </c>
    </row>
    <row r="2904" spans="5:8" x14ac:dyDescent="0.25">
      <c r="E2904" t="str">
        <f>""</f>
        <v/>
      </c>
      <c r="F2904" t="str">
        <f>""</f>
        <v/>
      </c>
      <c r="H2904" t="str">
        <f t="shared" si="71"/>
        <v>TASC - FSA  FEES</v>
      </c>
    </row>
    <row r="2905" spans="5:8" x14ac:dyDescent="0.25">
      <c r="E2905" t="str">
        <f>""</f>
        <v/>
      </c>
      <c r="F2905" t="str">
        <f>""</f>
        <v/>
      </c>
      <c r="H2905" t="str">
        <f t="shared" si="71"/>
        <v>TASC - FSA  FEES</v>
      </c>
    </row>
    <row r="2906" spans="5:8" x14ac:dyDescent="0.25">
      <c r="E2906" t="str">
        <f>""</f>
        <v/>
      </c>
      <c r="F2906" t="str">
        <f>""</f>
        <v/>
      </c>
      <c r="H2906" t="str">
        <f t="shared" si="71"/>
        <v>TASC - FSA  FEES</v>
      </c>
    </row>
    <row r="2907" spans="5:8" x14ac:dyDescent="0.25">
      <c r="E2907" t="str">
        <f>""</f>
        <v/>
      </c>
      <c r="F2907" t="str">
        <f>""</f>
        <v/>
      </c>
      <c r="H2907" t="str">
        <f t="shared" si="71"/>
        <v>TASC - FSA  FEES</v>
      </c>
    </row>
    <row r="2908" spans="5:8" x14ac:dyDescent="0.25">
      <c r="E2908" t="str">
        <f>""</f>
        <v/>
      </c>
      <c r="F2908" t="str">
        <f>""</f>
        <v/>
      </c>
      <c r="H2908" t="str">
        <f t="shared" si="71"/>
        <v>TASC - FSA  FEES</v>
      </c>
    </row>
    <row r="2909" spans="5:8" x14ac:dyDescent="0.25">
      <c r="E2909" t="str">
        <f>""</f>
        <v/>
      </c>
      <c r="F2909" t="str">
        <f>""</f>
        <v/>
      </c>
      <c r="H2909" t="str">
        <f t="shared" si="71"/>
        <v>TASC - FSA  FEES</v>
      </c>
    </row>
    <row r="2910" spans="5:8" x14ac:dyDescent="0.25">
      <c r="E2910" t="str">
        <f>""</f>
        <v/>
      </c>
      <c r="F2910" t="str">
        <f>""</f>
        <v/>
      </c>
      <c r="H2910" t="str">
        <f t="shared" si="71"/>
        <v>TASC - FSA  FEES</v>
      </c>
    </row>
    <row r="2911" spans="5:8" x14ac:dyDescent="0.25">
      <c r="E2911" t="str">
        <f>""</f>
        <v/>
      </c>
      <c r="F2911" t="str">
        <f>""</f>
        <v/>
      </c>
      <c r="H2911" t="str">
        <f t="shared" si="71"/>
        <v>TASC - FSA  FEES</v>
      </c>
    </row>
    <row r="2912" spans="5:8" x14ac:dyDescent="0.25">
      <c r="E2912" t="str">
        <f>""</f>
        <v/>
      </c>
      <c r="F2912" t="str">
        <f>""</f>
        <v/>
      </c>
      <c r="H2912" t="str">
        <f t="shared" si="71"/>
        <v>TASC - FSA  FEES</v>
      </c>
    </row>
    <row r="2913" spans="5:8" x14ac:dyDescent="0.25">
      <c r="E2913" t="str">
        <f>""</f>
        <v/>
      </c>
      <c r="F2913" t="str">
        <f>""</f>
        <v/>
      </c>
      <c r="H2913" t="str">
        <f t="shared" si="71"/>
        <v>TASC - FSA  FEES</v>
      </c>
    </row>
    <row r="2914" spans="5:8" x14ac:dyDescent="0.25">
      <c r="E2914" t="str">
        <f>""</f>
        <v/>
      </c>
      <c r="F2914" t="str">
        <f>""</f>
        <v/>
      </c>
      <c r="H2914" t="str">
        <f t="shared" si="71"/>
        <v>TASC - FSA  FEES</v>
      </c>
    </row>
    <row r="2915" spans="5:8" x14ac:dyDescent="0.25">
      <c r="E2915" t="str">
        <f>""</f>
        <v/>
      </c>
      <c r="F2915" t="str">
        <f>""</f>
        <v/>
      </c>
      <c r="H2915" t="str">
        <f t="shared" si="71"/>
        <v>TASC - FSA  FEES</v>
      </c>
    </row>
    <row r="2916" spans="5:8" x14ac:dyDescent="0.25">
      <c r="E2916" t="str">
        <f>""</f>
        <v/>
      </c>
      <c r="F2916" t="str">
        <f>""</f>
        <v/>
      </c>
      <c r="H2916" t="str">
        <f t="shared" si="71"/>
        <v>TASC - FSA  FEES</v>
      </c>
    </row>
    <row r="2917" spans="5:8" x14ac:dyDescent="0.25">
      <c r="E2917" t="str">
        <f>""</f>
        <v/>
      </c>
      <c r="F2917" t="str">
        <f>""</f>
        <v/>
      </c>
      <c r="H2917" t="str">
        <f t="shared" si="71"/>
        <v>TASC - FSA  FEES</v>
      </c>
    </row>
    <row r="2918" spans="5:8" x14ac:dyDescent="0.25">
      <c r="E2918" t="str">
        <f>""</f>
        <v/>
      </c>
      <c r="F2918" t="str">
        <f>""</f>
        <v/>
      </c>
      <c r="H2918" t="str">
        <f t="shared" si="71"/>
        <v>TASC - FSA  FEES</v>
      </c>
    </row>
    <row r="2919" spans="5:8" x14ac:dyDescent="0.25">
      <c r="E2919" t="str">
        <f>""</f>
        <v/>
      </c>
      <c r="F2919" t="str">
        <f>""</f>
        <v/>
      </c>
      <c r="H2919" t="str">
        <f t="shared" si="71"/>
        <v>TASC - FSA  FEES</v>
      </c>
    </row>
    <row r="2920" spans="5:8" x14ac:dyDescent="0.25">
      <c r="E2920" t="str">
        <f>""</f>
        <v/>
      </c>
      <c r="F2920" t="str">
        <f>""</f>
        <v/>
      </c>
      <c r="H2920" t="str">
        <f t="shared" si="71"/>
        <v>TASC - FSA  FEES</v>
      </c>
    </row>
    <row r="2921" spans="5:8" x14ac:dyDescent="0.25">
      <c r="E2921" t="str">
        <f>""</f>
        <v/>
      </c>
      <c r="F2921" t="str">
        <f>""</f>
        <v/>
      </c>
      <c r="H2921" t="str">
        <f t="shared" si="71"/>
        <v>TASC - FSA  FEES</v>
      </c>
    </row>
    <row r="2922" spans="5:8" x14ac:dyDescent="0.25">
      <c r="E2922" t="str">
        <f>"FSF202104142604"</f>
        <v>FSF202104142604</v>
      </c>
      <c r="F2922" t="str">
        <f>"TASC - FSA  FEES"</f>
        <v>TASC - FSA  FEES</v>
      </c>
      <c r="G2922" s="1">
        <v>12.6</v>
      </c>
      <c r="H2922" t="str">
        <f t="shared" si="71"/>
        <v>TASC - FSA  FEES</v>
      </c>
    </row>
    <row r="2923" spans="5:8" x14ac:dyDescent="0.25">
      <c r="E2923" t="str">
        <f>"HRF202104142603"</f>
        <v>HRF202104142603</v>
      </c>
      <c r="F2923" t="str">
        <f>"TASC - HRA FEES"</f>
        <v>TASC - HRA FEES</v>
      </c>
      <c r="G2923" s="1">
        <v>813.6</v>
      </c>
      <c r="H2923" t="str">
        <f t="shared" ref="H2923:H2954" si="72">"TASC - HRA FEES"</f>
        <v>TASC - HRA FEES</v>
      </c>
    </row>
    <row r="2924" spans="5:8" x14ac:dyDescent="0.25">
      <c r="E2924" t="str">
        <f>""</f>
        <v/>
      </c>
      <c r="F2924" t="str">
        <f>""</f>
        <v/>
      </c>
      <c r="H2924" t="str">
        <f t="shared" si="72"/>
        <v>TASC - HRA FEES</v>
      </c>
    </row>
    <row r="2925" spans="5:8" x14ac:dyDescent="0.25">
      <c r="E2925" t="str">
        <f>""</f>
        <v/>
      </c>
      <c r="F2925" t="str">
        <f>""</f>
        <v/>
      </c>
      <c r="H2925" t="str">
        <f t="shared" si="72"/>
        <v>TASC - HRA FEES</v>
      </c>
    </row>
    <row r="2926" spans="5:8" x14ac:dyDescent="0.25">
      <c r="E2926" t="str">
        <f>""</f>
        <v/>
      </c>
      <c r="F2926" t="str">
        <f>""</f>
        <v/>
      </c>
      <c r="H2926" t="str">
        <f t="shared" si="72"/>
        <v>TASC - HRA FEES</v>
      </c>
    </row>
    <row r="2927" spans="5:8" x14ac:dyDescent="0.25">
      <c r="E2927" t="str">
        <f>""</f>
        <v/>
      </c>
      <c r="F2927" t="str">
        <f>""</f>
        <v/>
      </c>
      <c r="H2927" t="str">
        <f t="shared" si="72"/>
        <v>TASC - HRA FEES</v>
      </c>
    </row>
    <row r="2928" spans="5:8" x14ac:dyDescent="0.25">
      <c r="E2928" t="str">
        <f>""</f>
        <v/>
      </c>
      <c r="F2928" t="str">
        <f>""</f>
        <v/>
      </c>
      <c r="H2928" t="str">
        <f t="shared" si="72"/>
        <v>TASC - HRA FEES</v>
      </c>
    </row>
    <row r="2929" spans="5:8" x14ac:dyDescent="0.25">
      <c r="E2929" t="str">
        <f>""</f>
        <v/>
      </c>
      <c r="F2929" t="str">
        <f>""</f>
        <v/>
      </c>
      <c r="H2929" t="str">
        <f t="shared" si="72"/>
        <v>TASC - HRA FEES</v>
      </c>
    </row>
    <row r="2930" spans="5:8" x14ac:dyDescent="0.25">
      <c r="E2930" t="str">
        <f>""</f>
        <v/>
      </c>
      <c r="F2930" t="str">
        <f>""</f>
        <v/>
      </c>
      <c r="H2930" t="str">
        <f t="shared" si="72"/>
        <v>TASC - HRA FEES</v>
      </c>
    </row>
    <row r="2931" spans="5:8" x14ac:dyDescent="0.25">
      <c r="E2931" t="str">
        <f>""</f>
        <v/>
      </c>
      <c r="F2931" t="str">
        <f>""</f>
        <v/>
      </c>
      <c r="H2931" t="str">
        <f t="shared" si="72"/>
        <v>TASC - HRA FEES</v>
      </c>
    </row>
    <row r="2932" spans="5:8" x14ac:dyDescent="0.25">
      <c r="E2932" t="str">
        <f>""</f>
        <v/>
      </c>
      <c r="F2932" t="str">
        <f>""</f>
        <v/>
      </c>
      <c r="H2932" t="str">
        <f t="shared" si="72"/>
        <v>TASC - HRA FEES</v>
      </c>
    </row>
    <row r="2933" spans="5:8" x14ac:dyDescent="0.25">
      <c r="E2933" t="str">
        <f>""</f>
        <v/>
      </c>
      <c r="F2933" t="str">
        <f>""</f>
        <v/>
      </c>
      <c r="H2933" t="str">
        <f t="shared" si="72"/>
        <v>TASC - HRA FEES</v>
      </c>
    </row>
    <row r="2934" spans="5:8" x14ac:dyDescent="0.25">
      <c r="E2934" t="str">
        <f>""</f>
        <v/>
      </c>
      <c r="F2934" t="str">
        <f>""</f>
        <v/>
      </c>
      <c r="H2934" t="str">
        <f t="shared" si="72"/>
        <v>TASC - HRA FEES</v>
      </c>
    </row>
    <row r="2935" spans="5:8" x14ac:dyDescent="0.25">
      <c r="E2935" t="str">
        <f>""</f>
        <v/>
      </c>
      <c r="F2935" t="str">
        <f>""</f>
        <v/>
      </c>
      <c r="H2935" t="str">
        <f t="shared" si="72"/>
        <v>TASC - HRA FEES</v>
      </c>
    </row>
    <row r="2936" spans="5:8" x14ac:dyDescent="0.25">
      <c r="E2936" t="str">
        <f>""</f>
        <v/>
      </c>
      <c r="F2936" t="str">
        <f>""</f>
        <v/>
      </c>
      <c r="H2936" t="str">
        <f t="shared" si="72"/>
        <v>TASC - HRA FEES</v>
      </c>
    </row>
    <row r="2937" spans="5:8" x14ac:dyDescent="0.25">
      <c r="E2937" t="str">
        <f>""</f>
        <v/>
      </c>
      <c r="F2937" t="str">
        <f>""</f>
        <v/>
      </c>
      <c r="H2937" t="str">
        <f t="shared" si="72"/>
        <v>TASC - HRA FEES</v>
      </c>
    </row>
    <row r="2938" spans="5:8" x14ac:dyDescent="0.25">
      <c r="E2938" t="str">
        <f>""</f>
        <v/>
      </c>
      <c r="F2938" t="str">
        <f>""</f>
        <v/>
      </c>
      <c r="H2938" t="str">
        <f t="shared" si="72"/>
        <v>TASC - HRA FEES</v>
      </c>
    </row>
    <row r="2939" spans="5:8" x14ac:dyDescent="0.25">
      <c r="E2939" t="str">
        <f>""</f>
        <v/>
      </c>
      <c r="F2939" t="str">
        <f>""</f>
        <v/>
      </c>
      <c r="H2939" t="str">
        <f t="shared" si="72"/>
        <v>TASC - HRA FEES</v>
      </c>
    </row>
    <row r="2940" spans="5:8" x14ac:dyDescent="0.25">
      <c r="E2940" t="str">
        <f>""</f>
        <v/>
      </c>
      <c r="F2940" t="str">
        <f>""</f>
        <v/>
      </c>
      <c r="H2940" t="str">
        <f t="shared" si="72"/>
        <v>TASC - HRA FEES</v>
      </c>
    </row>
    <row r="2941" spans="5:8" x14ac:dyDescent="0.25">
      <c r="E2941" t="str">
        <f>""</f>
        <v/>
      </c>
      <c r="F2941" t="str">
        <f>""</f>
        <v/>
      </c>
      <c r="H2941" t="str">
        <f t="shared" si="72"/>
        <v>TASC - HRA FEES</v>
      </c>
    </row>
    <row r="2942" spans="5:8" x14ac:dyDescent="0.25">
      <c r="E2942" t="str">
        <f>""</f>
        <v/>
      </c>
      <c r="F2942" t="str">
        <f>""</f>
        <v/>
      </c>
      <c r="H2942" t="str">
        <f t="shared" si="72"/>
        <v>TASC - HRA FEES</v>
      </c>
    </row>
    <row r="2943" spans="5:8" x14ac:dyDescent="0.25">
      <c r="E2943" t="str">
        <f>""</f>
        <v/>
      </c>
      <c r="F2943" t="str">
        <f>""</f>
        <v/>
      </c>
      <c r="H2943" t="str">
        <f t="shared" si="72"/>
        <v>TASC - HRA FEES</v>
      </c>
    </row>
    <row r="2944" spans="5:8" x14ac:dyDescent="0.25">
      <c r="E2944" t="str">
        <f>""</f>
        <v/>
      </c>
      <c r="F2944" t="str">
        <f>""</f>
        <v/>
      </c>
      <c r="H2944" t="str">
        <f t="shared" si="72"/>
        <v>TASC - HRA FEES</v>
      </c>
    </row>
    <row r="2945" spans="5:8" x14ac:dyDescent="0.25">
      <c r="E2945" t="str">
        <f>""</f>
        <v/>
      </c>
      <c r="F2945" t="str">
        <f>""</f>
        <v/>
      </c>
      <c r="H2945" t="str">
        <f t="shared" si="72"/>
        <v>TASC - HRA FEES</v>
      </c>
    </row>
    <row r="2946" spans="5:8" x14ac:dyDescent="0.25">
      <c r="E2946" t="str">
        <f>""</f>
        <v/>
      </c>
      <c r="F2946" t="str">
        <f>""</f>
        <v/>
      </c>
      <c r="H2946" t="str">
        <f t="shared" si="72"/>
        <v>TASC - HRA FEES</v>
      </c>
    </row>
    <row r="2947" spans="5:8" x14ac:dyDescent="0.25">
      <c r="E2947" t="str">
        <f>""</f>
        <v/>
      </c>
      <c r="F2947" t="str">
        <f>""</f>
        <v/>
      </c>
      <c r="H2947" t="str">
        <f t="shared" si="72"/>
        <v>TASC - HRA FEES</v>
      </c>
    </row>
    <row r="2948" spans="5:8" x14ac:dyDescent="0.25">
      <c r="E2948" t="str">
        <f>""</f>
        <v/>
      </c>
      <c r="F2948" t="str">
        <f>""</f>
        <v/>
      </c>
      <c r="H2948" t="str">
        <f t="shared" si="72"/>
        <v>TASC - HRA FEES</v>
      </c>
    </row>
    <row r="2949" spans="5:8" x14ac:dyDescent="0.25">
      <c r="E2949" t="str">
        <f>""</f>
        <v/>
      </c>
      <c r="F2949" t="str">
        <f>""</f>
        <v/>
      </c>
      <c r="H2949" t="str">
        <f t="shared" si="72"/>
        <v>TASC - HRA FEES</v>
      </c>
    </row>
    <row r="2950" spans="5:8" x14ac:dyDescent="0.25">
      <c r="E2950" t="str">
        <f>""</f>
        <v/>
      </c>
      <c r="F2950" t="str">
        <f>""</f>
        <v/>
      </c>
      <c r="H2950" t="str">
        <f t="shared" si="72"/>
        <v>TASC - HRA FEES</v>
      </c>
    </row>
    <row r="2951" spans="5:8" x14ac:dyDescent="0.25">
      <c r="E2951" t="str">
        <f>""</f>
        <v/>
      </c>
      <c r="F2951" t="str">
        <f>""</f>
        <v/>
      </c>
      <c r="H2951" t="str">
        <f t="shared" si="72"/>
        <v>TASC - HRA FEES</v>
      </c>
    </row>
    <row r="2952" spans="5:8" x14ac:dyDescent="0.25">
      <c r="E2952" t="str">
        <f>""</f>
        <v/>
      </c>
      <c r="F2952" t="str">
        <f>""</f>
        <v/>
      </c>
      <c r="H2952" t="str">
        <f t="shared" si="72"/>
        <v>TASC - HRA FEES</v>
      </c>
    </row>
    <row r="2953" spans="5:8" x14ac:dyDescent="0.25">
      <c r="E2953" t="str">
        <f>""</f>
        <v/>
      </c>
      <c r="F2953" t="str">
        <f>""</f>
        <v/>
      </c>
      <c r="H2953" t="str">
        <f t="shared" si="72"/>
        <v>TASC - HRA FEES</v>
      </c>
    </row>
    <row r="2954" spans="5:8" x14ac:dyDescent="0.25">
      <c r="E2954" t="str">
        <f>""</f>
        <v/>
      </c>
      <c r="F2954" t="str">
        <f>""</f>
        <v/>
      </c>
      <c r="H2954" t="str">
        <f t="shared" si="72"/>
        <v>TASC - HRA FEES</v>
      </c>
    </row>
    <row r="2955" spans="5:8" x14ac:dyDescent="0.25">
      <c r="E2955" t="str">
        <f>""</f>
        <v/>
      </c>
      <c r="F2955" t="str">
        <f>""</f>
        <v/>
      </c>
      <c r="H2955" t="str">
        <f t="shared" ref="H2955:H2974" si="73">"TASC - HRA FEES"</f>
        <v>TASC - HRA FEES</v>
      </c>
    </row>
    <row r="2956" spans="5:8" x14ac:dyDescent="0.25">
      <c r="E2956" t="str">
        <f>""</f>
        <v/>
      </c>
      <c r="F2956" t="str">
        <f>""</f>
        <v/>
      </c>
      <c r="H2956" t="str">
        <f t="shared" si="73"/>
        <v>TASC - HRA FEES</v>
      </c>
    </row>
    <row r="2957" spans="5:8" x14ac:dyDescent="0.25">
      <c r="E2957" t="str">
        <f>""</f>
        <v/>
      </c>
      <c r="F2957" t="str">
        <f>""</f>
        <v/>
      </c>
      <c r="H2957" t="str">
        <f t="shared" si="73"/>
        <v>TASC - HRA FEES</v>
      </c>
    </row>
    <row r="2958" spans="5:8" x14ac:dyDescent="0.25">
      <c r="E2958" t="str">
        <f>""</f>
        <v/>
      </c>
      <c r="F2958" t="str">
        <f>""</f>
        <v/>
      </c>
      <c r="H2958" t="str">
        <f t="shared" si="73"/>
        <v>TASC - HRA FEES</v>
      </c>
    </row>
    <row r="2959" spans="5:8" x14ac:dyDescent="0.25">
      <c r="E2959" t="str">
        <f>""</f>
        <v/>
      </c>
      <c r="F2959" t="str">
        <f>""</f>
        <v/>
      </c>
      <c r="H2959" t="str">
        <f t="shared" si="73"/>
        <v>TASC - HRA FEES</v>
      </c>
    </row>
    <row r="2960" spans="5:8" x14ac:dyDescent="0.25">
      <c r="E2960" t="str">
        <f>""</f>
        <v/>
      </c>
      <c r="F2960" t="str">
        <f>""</f>
        <v/>
      </c>
      <c r="H2960" t="str">
        <f t="shared" si="73"/>
        <v>TASC - HRA FEES</v>
      </c>
    </row>
    <row r="2961" spans="1:8" x14ac:dyDescent="0.25">
      <c r="E2961" t="str">
        <f>""</f>
        <v/>
      </c>
      <c r="F2961" t="str">
        <f>""</f>
        <v/>
      </c>
      <c r="H2961" t="str">
        <f t="shared" si="73"/>
        <v>TASC - HRA FEES</v>
      </c>
    </row>
    <row r="2962" spans="1:8" x14ac:dyDescent="0.25">
      <c r="E2962" t="str">
        <f>""</f>
        <v/>
      </c>
      <c r="F2962" t="str">
        <f>""</f>
        <v/>
      </c>
      <c r="H2962" t="str">
        <f t="shared" si="73"/>
        <v>TASC - HRA FEES</v>
      </c>
    </row>
    <row r="2963" spans="1:8" x14ac:dyDescent="0.25">
      <c r="E2963" t="str">
        <f>""</f>
        <v/>
      </c>
      <c r="F2963" t="str">
        <f>""</f>
        <v/>
      </c>
      <c r="H2963" t="str">
        <f t="shared" si="73"/>
        <v>TASC - HRA FEES</v>
      </c>
    </row>
    <row r="2964" spans="1:8" x14ac:dyDescent="0.25">
      <c r="E2964" t="str">
        <f>""</f>
        <v/>
      </c>
      <c r="F2964" t="str">
        <f>""</f>
        <v/>
      </c>
      <c r="H2964" t="str">
        <f t="shared" si="73"/>
        <v>TASC - HRA FEES</v>
      </c>
    </row>
    <row r="2965" spans="1:8" x14ac:dyDescent="0.25">
      <c r="E2965" t="str">
        <f>""</f>
        <v/>
      </c>
      <c r="F2965" t="str">
        <f>""</f>
        <v/>
      </c>
      <c r="H2965" t="str">
        <f t="shared" si="73"/>
        <v>TASC - HRA FEES</v>
      </c>
    </row>
    <row r="2966" spans="1:8" x14ac:dyDescent="0.25">
      <c r="E2966" t="str">
        <f>""</f>
        <v/>
      </c>
      <c r="F2966" t="str">
        <f>""</f>
        <v/>
      </c>
      <c r="H2966" t="str">
        <f t="shared" si="73"/>
        <v>TASC - HRA FEES</v>
      </c>
    </row>
    <row r="2967" spans="1:8" x14ac:dyDescent="0.25">
      <c r="E2967" t="str">
        <f>""</f>
        <v/>
      </c>
      <c r="F2967" t="str">
        <f>""</f>
        <v/>
      </c>
      <c r="H2967" t="str">
        <f t="shared" si="73"/>
        <v>TASC - HRA FEES</v>
      </c>
    </row>
    <row r="2968" spans="1:8" x14ac:dyDescent="0.25">
      <c r="E2968" t="str">
        <f>""</f>
        <v/>
      </c>
      <c r="F2968" t="str">
        <f>""</f>
        <v/>
      </c>
      <c r="H2968" t="str">
        <f t="shared" si="73"/>
        <v>TASC - HRA FEES</v>
      </c>
    </row>
    <row r="2969" spans="1:8" x14ac:dyDescent="0.25">
      <c r="E2969" t="str">
        <f>""</f>
        <v/>
      </c>
      <c r="F2969" t="str">
        <f>""</f>
        <v/>
      </c>
      <c r="H2969" t="str">
        <f t="shared" si="73"/>
        <v>TASC - HRA FEES</v>
      </c>
    </row>
    <row r="2970" spans="1:8" x14ac:dyDescent="0.25">
      <c r="E2970" t="str">
        <f>""</f>
        <v/>
      </c>
      <c r="F2970" t="str">
        <f>""</f>
        <v/>
      </c>
      <c r="H2970" t="str">
        <f t="shared" si="73"/>
        <v>TASC - HRA FEES</v>
      </c>
    </row>
    <row r="2971" spans="1:8" x14ac:dyDescent="0.25">
      <c r="E2971" t="str">
        <f>""</f>
        <v/>
      </c>
      <c r="F2971" t="str">
        <f>""</f>
        <v/>
      </c>
      <c r="H2971" t="str">
        <f t="shared" si="73"/>
        <v>TASC - HRA FEES</v>
      </c>
    </row>
    <row r="2972" spans="1:8" x14ac:dyDescent="0.25">
      <c r="E2972" t="str">
        <f>""</f>
        <v/>
      </c>
      <c r="F2972" t="str">
        <f>""</f>
        <v/>
      </c>
      <c r="H2972" t="str">
        <f t="shared" si="73"/>
        <v>TASC - HRA FEES</v>
      </c>
    </row>
    <row r="2973" spans="1:8" x14ac:dyDescent="0.25">
      <c r="E2973" t="str">
        <f>""</f>
        <v/>
      </c>
      <c r="F2973" t="str">
        <f>""</f>
        <v/>
      </c>
      <c r="H2973" t="str">
        <f t="shared" si="73"/>
        <v>TASC - HRA FEES</v>
      </c>
    </row>
    <row r="2974" spans="1:8" x14ac:dyDescent="0.25">
      <c r="E2974" t="str">
        <f>"HRF202104142604"</f>
        <v>HRF202104142604</v>
      </c>
      <c r="F2974" t="str">
        <f>"TASC - HRA FEES"</f>
        <v>TASC - HRA FEES</v>
      </c>
      <c r="G2974" s="1">
        <v>27</v>
      </c>
      <c r="H2974" t="str">
        <f t="shared" si="73"/>
        <v>TASC - HRA FEES</v>
      </c>
    </row>
    <row r="2975" spans="1:8" x14ac:dyDescent="0.25">
      <c r="A2975" t="s">
        <v>387</v>
      </c>
      <c r="B2975">
        <v>993</v>
      </c>
      <c r="C2975" s="1">
        <v>4289.63</v>
      </c>
      <c r="D2975" s="6">
        <v>44287</v>
      </c>
      <c r="E2975" t="str">
        <f>"C2 202103302365"</f>
        <v>C2 202103302365</v>
      </c>
      <c r="F2975" t="str">
        <f>"0012982132CCL7445"</f>
        <v>0012982132CCL7445</v>
      </c>
      <c r="G2975" s="1">
        <v>692.31</v>
      </c>
      <c r="H2975" t="str">
        <f>"0012982132CCL7445"</f>
        <v>0012982132CCL7445</v>
      </c>
    </row>
    <row r="2976" spans="1:8" x14ac:dyDescent="0.25">
      <c r="E2976" t="str">
        <f>"C20202103302364"</f>
        <v>C20202103302364</v>
      </c>
      <c r="F2976" t="str">
        <f>"001003981107-12252"</f>
        <v>001003981107-12252</v>
      </c>
      <c r="G2976" s="1">
        <v>115.39</v>
      </c>
      <c r="H2976" t="str">
        <f>"001003981107-12252"</f>
        <v>001003981107-12252</v>
      </c>
    </row>
    <row r="2977" spans="5:8" x14ac:dyDescent="0.25">
      <c r="E2977" t="str">
        <f>"C42202103302364"</f>
        <v>C42202103302364</v>
      </c>
      <c r="F2977" t="str">
        <f>"001236769211-14410"</f>
        <v>001236769211-14410</v>
      </c>
      <c r="G2977" s="1">
        <v>230.31</v>
      </c>
      <c r="H2977" t="str">
        <f>"001236769211-14410"</f>
        <v>001236769211-14410</v>
      </c>
    </row>
    <row r="2978" spans="5:8" x14ac:dyDescent="0.25">
      <c r="E2978" t="str">
        <f>"C46202103302364"</f>
        <v>C46202103302364</v>
      </c>
      <c r="F2978" t="str">
        <f>"CAUSE# 11-14911"</f>
        <v>CAUSE# 11-14911</v>
      </c>
      <c r="G2978" s="1">
        <v>238.62</v>
      </c>
      <c r="H2978" t="str">
        <f>"CAUSE# 11-14911"</f>
        <v>CAUSE# 11-14911</v>
      </c>
    </row>
    <row r="2979" spans="5:8" x14ac:dyDescent="0.25">
      <c r="E2979" t="str">
        <f>"C60202103302364"</f>
        <v>C60202103302364</v>
      </c>
      <c r="F2979" t="str">
        <f>"00130730762012V300"</f>
        <v>00130730762012V300</v>
      </c>
      <c r="G2979" s="1">
        <v>399.32</v>
      </c>
      <c r="H2979" t="str">
        <f>"00130730762012V300"</f>
        <v>00130730762012V300</v>
      </c>
    </row>
    <row r="2980" spans="5:8" x14ac:dyDescent="0.25">
      <c r="E2980" t="str">
        <f>"C62202103302364"</f>
        <v>C62202103302364</v>
      </c>
      <c r="F2980" t="str">
        <f>"# 0012128865"</f>
        <v># 0012128865</v>
      </c>
      <c r="G2980" s="1">
        <v>243.23</v>
      </c>
      <c r="H2980" t="str">
        <f>"# 0012128865"</f>
        <v># 0012128865</v>
      </c>
    </row>
    <row r="2981" spans="5:8" x14ac:dyDescent="0.25">
      <c r="E2981" t="str">
        <f>"C66202103302364"</f>
        <v>C66202103302364</v>
      </c>
      <c r="F2981" t="str">
        <f>"# 0012871801"</f>
        <v># 0012871801</v>
      </c>
      <c r="G2981" s="1">
        <v>90</v>
      </c>
      <c r="H2981" t="str">
        <f>"# 0012871801"</f>
        <v># 0012871801</v>
      </c>
    </row>
    <row r="2982" spans="5:8" x14ac:dyDescent="0.25">
      <c r="E2982" t="str">
        <f>"C67202103302364"</f>
        <v>C67202103302364</v>
      </c>
      <c r="F2982" t="str">
        <f>"13154657"</f>
        <v>13154657</v>
      </c>
      <c r="G2982" s="1">
        <v>101.99</v>
      </c>
      <c r="H2982" t="str">
        <f>"13154657"</f>
        <v>13154657</v>
      </c>
    </row>
    <row r="2983" spans="5:8" x14ac:dyDescent="0.25">
      <c r="E2983" t="str">
        <f>"C69202103302364"</f>
        <v>C69202103302364</v>
      </c>
      <c r="F2983" t="str">
        <f>"0012046911423672"</f>
        <v>0012046911423672</v>
      </c>
      <c r="G2983" s="1">
        <v>187.38</v>
      </c>
      <c r="H2983" t="str">
        <f>"0012046911423672"</f>
        <v>0012046911423672</v>
      </c>
    </row>
    <row r="2984" spans="5:8" x14ac:dyDescent="0.25">
      <c r="E2984" t="str">
        <f>"C71202103302364"</f>
        <v>C71202103302364</v>
      </c>
      <c r="F2984" t="str">
        <f>"00137390532018V215"</f>
        <v>00137390532018V215</v>
      </c>
      <c r="G2984" s="1">
        <v>264</v>
      </c>
      <c r="H2984" t="str">
        <f>"00137390532018V215"</f>
        <v>00137390532018V215</v>
      </c>
    </row>
    <row r="2985" spans="5:8" x14ac:dyDescent="0.25">
      <c r="E2985" t="str">
        <f>"C72202103302364"</f>
        <v>C72202103302364</v>
      </c>
      <c r="F2985" t="str">
        <f>"0012797601C20130529B"</f>
        <v>0012797601C20130529B</v>
      </c>
      <c r="G2985" s="1">
        <v>241.85</v>
      </c>
      <c r="H2985" t="str">
        <f>"0012797601C20130529B"</f>
        <v>0012797601C20130529B</v>
      </c>
    </row>
    <row r="2986" spans="5:8" x14ac:dyDescent="0.25">
      <c r="E2986" t="str">
        <f>"C78202103302364"</f>
        <v>C78202103302364</v>
      </c>
      <c r="F2986" t="str">
        <f>"00105115972005106221"</f>
        <v>00105115972005106221</v>
      </c>
      <c r="G2986" s="1">
        <v>245.08</v>
      </c>
      <c r="H2986" t="str">
        <f>"00105115972005106221"</f>
        <v>00105115972005106221</v>
      </c>
    </row>
    <row r="2987" spans="5:8" x14ac:dyDescent="0.25">
      <c r="E2987" t="str">
        <f>"C83202103302364"</f>
        <v>C83202103302364</v>
      </c>
      <c r="F2987" t="str">
        <f>"0013096953150533"</f>
        <v>0013096953150533</v>
      </c>
      <c r="G2987" s="1">
        <v>346.15</v>
      </c>
      <c r="H2987" t="str">
        <f>"0013096953150533"</f>
        <v>0013096953150533</v>
      </c>
    </row>
    <row r="2988" spans="5:8" x14ac:dyDescent="0.25">
      <c r="E2988" t="str">
        <f>"C85202103302364"</f>
        <v>C85202103302364</v>
      </c>
      <c r="F2988" t="str">
        <f>"0012469425201770874"</f>
        <v>0012469425201770874</v>
      </c>
      <c r="G2988" s="1">
        <v>138.46</v>
      </c>
      <c r="H2988" t="str">
        <f>"0012469425201770874"</f>
        <v>0012469425201770874</v>
      </c>
    </row>
    <row r="2989" spans="5:8" x14ac:dyDescent="0.25">
      <c r="E2989" t="str">
        <f>"C86202103302364"</f>
        <v>C86202103302364</v>
      </c>
      <c r="F2989" t="str">
        <f>"0013854015101285F"</f>
        <v>0013854015101285F</v>
      </c>
      <c r="G2989" s="1">
        <v>241.85</v>
      </c>
      <c r="H2989" t="str">
        <f>"0013854015101285F"</f>
        <v>0013854015101285F</v>
      </c>
    </row>
    <row r="2990" spans="5:8" x14ac:dyDescent="0.25">
      <c r="E2990" t="str">
        <f>"C87202103302364"</f>
        <v>C87202103302364</v>
      </c>
      <c r="F2990" t="str">
        <f>"0012963634L130019CVB"</f>
        <v>0012963634L130019CVB</v>
      </c>
      <c r="G2990" s="1">
        <v>249.23</v>
      </c>
      <c r="H2990" t="str">
        <f>"0012963634L130019CVB"</f>
        <v>0012963634L130019CVB</v>
      </c>
    </row>
    <row r="2991" spans="5:8" x14ac:dyDescent="0.25">
      <c r="E2991" t="str">
        <f>"C89202103302364"</f>
        <v>C89202103302364</v>
      </c>
      <c r="F2991" t="str">
        <f>"00127760434232477"</f>
        <v>00127760434232477</v>
      </c>
      <c r="G2991" s="1">
        <v>129.69</v>
      </c>
      <c r="H2991" t="str">
        <f>"00127760434232477"</f>
        <v>00127760434232477</v>
      </c>
    </row>
    <row r="2992" spans="5:8" x14ac:dyDescent="0.25">
      <c r="E2992" t="str">
        <f>"C90202103302364"</f>
        <v>C90202103302364</v>
      </c>
      <c r="F2992" t="str">
        <f>"00116477472008EM5013"</f>
        <v>00116477472008EM5013</v>
      </c>
      <c r="G2992" s="1">
        <v>134.77000000000001</v>
      </c>
      <c r="H2992" t="str">
        <f>"00116477472008EM5013"</f>
        <v>00116477472008EM5013</v>
      </c>
    </row>
    <row r="2993" spans="1:8" x14ac:dyDescent="0.25">
      <c r="A2993" t="s">
        <v>387</v>
      </c>
      <c r="B2993">
        <v>1002</v>
      </c>
      <c r="C2993" s="1">
        <v>4528.25</v>
      </c>
      <c r="D2993" s="6">
        <v>44302</v>
      </c>
      <c r="E2993" t="str">
        <f>"C2 202104142604"</f>
        <v>C2 202104142604</v>
      </c>
      <c r="F2993" t="str">
        <f>"0012982132CCL7445"</f>
        <v>0012982132CCL7445</v>
      </c>
      <c r="G2993" s="1">
        <v>692.31</v>
      </c>
      <c r="H2993" t="str">
        <f>"0012982132CCL7445"</f>
        <v>0012982132CCL7445</v>
      </c>
    </row>
    <row r="2994" spans="1:8" x14ac:dyDescent="0.25">
      <c r="E2994" t="str">
        <f>"C20202104142603"</f>
        <v>C20202104142603</v>
      </c>
      <c r="F2994" t="str">
        <f>"001003981107-12252"</f>
        <v>001003981107-12252</v>
      </c>
      <c r="G2994" s="1">
        <v>115.39</v>
      </c>
      <c r="H2994" t="str">
        <f>"001003981107-12252"</f>
        <v>001003981107-12252</v>
      </c>
    </row>
    <row r="2995" spans="1:8" x14ac:dyDescent="0.25">
      <c r="E2995" t="str">
        <f>"C42202104142603"</f>
        <v>C42202104142603</v>
      </c>
      <c r="F2995" t="str">
        <f>"001236769211-14410"</f>
        <v>001236769211-14410</v>
      </c>
      <c r="G2995" s="1">
        <v>230.31</v>
      </c>
      <c r="H2995" t="str">
        <f>"001236769211-14410"</f>
        <v>001236769211-14410</v>
      </c>
    </row>
    <row r="2996" spans="1:8" x14ac:dyDescent="0.25">
      <c r="E2996" t="str">
        <f>"C46202104142603"</f>
        <v>C46202104142603</v>
      </c>
      <c r="F2996" t="str">
        <f>"CAUSE# 11-14911"</f>
        <v>CAUSE# 11-14911</v>
      </c>
      <c r="G2996" s="1">
        <v>238.62</v>
      </c>
      <c r="H2996" t="str">
        <f>"CAUSE# 11-14911"</f>
        <v>CAUSE# 11-14911</v>
      </c>
    </row>
    <row r="2997" spans="1:8" x14ac:dyDescent="0.25">
      <c r="E2997" t="str">
        <f>"C60202104142603"</f>
        <v>C60202104142603</v>
      </c>
      <c r="F2997" t="str">
        <f>"00130730762012V300"</f>
        <v>00130730762012V300</v>
      </c>
      <c r="G2997" s="1">
        <v>399.32</v>
      </c>
      <c r="H2997" t="str">
        <f>"00130730762012V300"</f>
        <v>00130730762012V300</v>
      </c>
    </row>
    <row r="2998" spans="1:8" x14ac:dyDescent="0.25">
      <c r="E2998" t="str">
        <f>"C62202104142603"</f>
        <v>C62202104142603</v>
      </c>
      <c r="F2998" t="str">
        <f>"# 0012128865"</f>
        <v># 0012128865</v>
      </c>
      <c r="G2998" s="1">
        <v>243.23</v>
      </c>
      <c r="H2998" t="str">
        <f>"# 0012128865"</f>
        <v># 0012128865</v>
      </c>
    </row>
    <row r="2999" spans="1:8" x14ac:dyDescent="0.25">
      <c r="E2999" t="str">
        <f>"C66202104142603"</f>
        <v>C66202104142603</v>
      </c>
      <c r="F2999" t="str">
        <f>"# 0012871801"</f>
        <v># 0012871801</v>
      </c>
      <c r="G2999" s="1">
        <v>90</v>
      </c>
      <c r="H2999" t="str">
        <f>"# 0012871801"</f>
        <v># 0012871801</v>
      </c>
    </row>
    <row r="3000" spans="1:8" x14ac:dyDescent="0.25">
      <c r="E3000" t="str">
        <f>"C67202104142603"</f>
        <v>C67202104142603</v>
      </c>
      <c r="F3000" t="str">
        <f>"13154657"</f>
        <v>13154657</v>
      </c>
      <c r="G3000" s="1">
        <v>101.99</v>
      </c>
      <c r="H3000" t="str">
        <f>"13154657"</f>
        <v>13154657</v>
      </c>
    </row>
    <row r="3001" spans="1:8" x14ac:dyDescent="0.25">
      <c r="E3001" t="str">
        <f>"C69202104142603"</f>
        <v>C69202104142603</v>
      </c>
      <c r="F3001" t="str">
        <f>"0012046911423672"</f>
        <v>0012046911423672</v>
      </c>
      <c r="G3001" s="1">
        <v>187.38</v>
      </c>
      <c r="H3001" t="str">
        <f>"0012046911423672"</f>
        <v>0012046911423672</v>
      </c>
    </row>
    <row r="3002" spans="1:8" x14ac:dyDescent="0.25">
      <c r="E3002" t="str">
        <f>"C71202104142603"</f>
        <v>C71202104142603</v>
      </c>
      <c r="F3002" t="str">
        <f>"00137390532018V215"</f>
        <v>00137390532018V215</v>
      </c>
      <c r="G3002" s="1">
        <v>264</v>
      </c>
      <c r="H3002" t="str">
        <f>"00137390532018V215"</f>
        <v>00137390532018V215</v>
      </c>
    </row>
    <row r="3003" spans="1:8" x14ac:dyDescent="0.25">
      <c r="E3003" t="str">
        <f>"C72202104142603"</f>
        <v>C72202104142603</v>
      </c>
      <c r="F3003" t="str">
        <f>"0012797601C20130529B"</f>
        <v>0012797601C20130529B</v>
      </c>
      <c r="G3003" s="1">
        <v>241.85</v>
      </c>
      <c r="H3003" t="str">
        <f>"0012797601C20130529B"</f>
        <v>0012797601C20130529B</v>
      </c>
    </row>
    <row r="3004" spans="1:8" x14ac:dyDescent="0.25">
      <c r="E3004" t="str">
        <f>"C78202104142603"</f>
        <v>C78202104142603</v>
      </c>
      <c r="F3004" t="str">
        <f>"00105115972005106221"</f>
        <v>00105115972005106221</v>
      </c>
      <c r="G3004" s="1">
        <v>245.08</v>
      </c>
      <c r="H3004" t="str">
        <f>"00105115972005106221"</f>
        <v>00105115972005106221</v>
      </c>
    </row>
    <row r="3005" spans="1:8" x14ac:dyDescent="0.25">
      <c r="E3005" t="str">
        <f>"C83202104142603"</f>
        <v>C83202104142603</v>
      </c>
      <c r="F3005" t="str">
        <f>"0013096953150533"</f>
        <v>0013096953150533</v>
      </c>
      <c r="G3005" s="1">
        <v>346.15</v>
      </c>
      <c r="H3005" t="str">
        <f>"0013096953150533"</f>
        <v>0013096953150533</v>
      </c>
    </row>
    <row r="3006" spans="1:8" x14ac:dyDescent="0.25">
      <c r="E3006" t="str">
        <f>"C85202104142603"</f>
        <v>C85202104142603</v>
      </c>
      <c r="F3006" t="str">
        <f>"0012469425201770874"</f>
        <v>0012469425201770874</v>
      </c>
      <c r="G3006" s="1">
        <v>138.46</v>
      </c>
      <c r="H3006" t="str">
        <f>"0012469425201770874"</f>
        <v>0012469425201770874</v>
      </c>
    </row>
    <row r="3007" spans="1:8" x14ac:dyDescent="0.25">
      <c r="E3007" t="str">
        <f>"C86202104142603"</f>
        <v>C86202104142603</v>
      </c>
      <c r="F3007" t="str">
        <f>"0013854015101285F"</f>
        <v>0013854015101285F</v>
      </c>
      <c r="G3007" s="1">
        <v>241.85</v>
      </c>
      <c r="H3007" t="str">
        <f>"0013854015101285F"</f>
        <v>0013854015101285F</v>
      </c>
    </row>
    <row r="3008" spans="1:8" x14ac:dyDescent="0.25">
      <c r="E3008" t="str">
        <f>"C87202104142603"</f>
        <v>C87202104142603</v>
      </c>
      <c r="F3008" t="str">
        <f>"0012963634L130019CVB"</f>
        <v>0012963634L130019CVB</v>
      </c>
      <c r="G3008" s="1">
        <v>249.23</v>
      </c>
      <c r="H3008" t="str">
        <f>"0012963634L130019CVB"</f>
        <v>0012963634L130019CVB</v>
      </c>
    </row>
    <row r="3009" spans="1:8" x14ac:dyDescent="0.25">
      <c r="E3009" t="str">
        <f>"C89202104142603"</f>
        <v>C89202104142603</v>
      </c>
      <c r="F3009" t="str">
        <f>"00127760434232477"</f>
        <v>00127760434232477</v>
      </c>
      <c r="G3009" s="1">
        <v>129.69</v>
      </c>
      <c r="H3009" t="str">
        <f>"00127760434232477"</f>
        <v>00127760434232477</v>
      </c>
    </row>
    <row r="3010" spans="1:8" x14ac:dyDescent="0.25">
      <c r="E3010" t="str">
        <f>"C90202104142603"</f>
        <v>C90202104142603</v>
      </c>
      <c r="F3010" t="str">
        <f>"00116477472008EM5013"</f>
        <v>00116477472008EM5013</v>
      </c>
      <c r="G3010" s="1">
        <v>134.77000000000001</v>
      </c>
      <c r="H3010" t="str">
        <f>"00116477472008EM5013"</f>
        <v>00116477472008EM5013</v>
      </c>
    </row>
    <row r="3011" spans="1:8" x14ac:dyDescent="0.25">
      <c r="E3011" t="str">
        <f>"C91202104142603"</f>
        <v>C91202104142603</v>
      </c>
      <c r="F3011" t="str">
        <f>"001149031107486F425"</f>
        <v>001149031107486F425</v>
      </c>
      <c r="G3011" s="1">
        <v>238.62</v>
      </c>
      <c r="H3011" t="str">
        <f>"001149031107486F425"</f>
        <v>001149031107486F425</v>
      </c>
    </row>
    <row r="3012" spans="1:8" x14ac:dyDescent="0.25">
      <c r="A3012" t="s">
        <v>387</v>
      </c>
      <c r="B3012">
        <v>1044</v>
      </c>
      <c r="C3012" s="1">
        <v>4393.4799999999996</v>
      </c>
      <c r="D3012" s="6">
        <v>44316</v>
      </c>
      <c r="E3012" t="str">
        <f>"C2 202104272850"</f>
        <v>C2 202104272850</v>
      </c>
      <c r="F3012" t="str">
        <f>"0012982132CCL7445"</f>
        <v>0012982132CCL7445</v>
      </c>
      <c r="G3012" s="1">
        <v>692.31</v>
      </c>
      <c r="H3012" t="str">
        <f>"0012982132CCL7445"</f>
        <v>0012982132CCL7445</v>
      </c>
    </row>
    <row r="3013" spans="1:8" x14ac:dyDescent="0.25">
      <c r="E3013" t="str">
        <f>"C20202104272849"</f>
        <v>C20202104272849</v>
      </c>
      <c r="F3013" t="str">
        <f>"001003981107-12252"</f>
        <v>001003981107-12252</v>
      </c>
      <c r="G3013" s="1">
        <v>115.39</v>
      </c>
      <c r="H3013" t="str">
        <f>"001003981107-12252"</f>
        <v>001003981107-12252</v>
      </c>
    </row>
    <row r="3014" spans="1:8" x14ac:dyDescent="0.25">
      <c r="E3014" t="str">
        <f>"C42202104272849"</f>
        <v>C42202104272849</v>
      </c>
      <c r="F3014" t="str">
        <f>"001236769211-14410"</f>
        <v>001236769211-14410</v>
      </c>
      <c r="G3014" s="1">
        <v>230.31</v>
      </c>
      <c r="H3014" t="str">
        <f>"001236769211-14410"</f>
        <v>001236769211-14410</v>
      </c>
    </row>
    <row r="3015" spans="1:8" x14ac:dyDescent="0.25">
      <c r="E3015" t="str">
        <f>"C46202104272849"</f>
        <v>C46202104272849</v>
      </c>
      <c r="F3015" t="str">
        <f>"CAUSE# 11-14911"</f>
        <v>CAUSE# 11-14911</v>
      </c>
      <c r="G3015" s="1">
        <v>238.62</v>
      </c>
      <c r="H3015" t="str">
        <f>"CAUSE# 11-14911"</f>
        <v>CAUSE# 11-14911</v>
      </c>
    </row>
    <row r="3016" spans="1:8" x14ac:dyDescent="0.25">
      <c r="E3016" t="str">
        <f>"C60202104272849"</f>
        <v>C60202104272849</v>
      </c>
      <c r="F3016" t="str">
        <f>"00130730762012V300"</f>
        <v>00130730762012V300</v>
      </c>
      <c r="G3016" s="1">
        <v>399.32</v>
      </c>
      <c r="H3016" t="str">
        <f>"00130730762012V300"</f>
        <v>00130730762012V300</v>
      </c>
    </row>
    <row r="3017" spans="1:8" x14ac:dyDescent="0.25">
      <c r="E3017" t="str">
        <f>"C62202104272849"</f>
        <v>C62202104272849</v>
      </c>
      <c r="F3017" t="str">
        <f>"# 0012128865"</f>
        <v># 0012128865</v>
      </c>
      <c r="G3017" s="1">
        <v>243.23</v>
      </c>
      <c r="H3017" t="str">
        <f>"# 0012128865"</f>
        <v># 0012128865</v>
      </c>
    </row>
    <row r="3018" spans="1:8" x14ac:dyDescent="0.25">
      <c r="E3018" t="str">
        <f>"C66202104272849"</f>
        <v>C66202104272849</v>
      </c>
      <c r="F3018" t="str">
        <f>"# 0012871801"</f>
        <v># 0012871801</v>
      </c>
      <c r="G3018" s="1">
        <v>90</v>
      </c>
      <c r="H3018" t="str">
        <f>"# 0012871801"</f>
        <v># 0012871801</v>
      </c>
    </row>
    <row r="3019" spans="1:8" x14ac:dyDescent="0.25">
      <c r="E3019" t="str">
        <f>"C67202104272849"</f>
        <v>C67202104272849</v>
      </c>
      <c r="F3019" t="str">
        <f>"13154657"</f>
        <v>13154657</v>
      </c>
      <c r="G3019" s="1">
        <v>101.99</v>
      </c>
      <c r="H3019" t="str">
        <f>"13154657"</f>
        <v>13154657</v>
      </c>
    </row>
    <row r="3020" spans="1:8" x14ac:dyDescent="0.25">
      <c r="E3020" t="str">
        <f>"C69202104272849"</f>
        <v>C69202104272849</v>
      </c>
      <c r="F3020" t="str">
        <f>"0012046911423672"</f>
        <v>0012046911423672</v>
      </c>
      <c r="G3020" s="1">
        <v>187.38</v>
      </c>
      <c r="H3020" t="str">
        <f>"0012046911423672"</f>
        <v>0012046911423672</v>
      </c>
    </row>
    <row r="3021" spans="1:8" x14ac:dyDescent="0.25">
      <c r="E3021" t="str">
        <f>"C71202104272849"</f>
        <v>C71202104272849</v>
      </c>
      <c r="F3021" t="str">
        <f>"00137390532018V215"</f>
        <v>00137390532018V215</v>
      </c>
      <c r="G3021" s="1">
        <v>264</v>
      </c>
      <c r="H3021" t="str">
        <f>"00137390532018V215"</f>
        <v>00137390532018V215</v>
      </c>
    </row>
    <row r="3022" spans="1:8" x14ac:dyDescent="0.25">
      <c r="E3022" t="str">
        <f>"C72202104272849"</f>
        <v>C72202104272849</v>
      </c>
      <c r="F3022" t="str">
        <f>"0012797601C20130529B"</f>
        <v>0012797601C20130529B</v>
      </c>
      <c r="G3022" s="1">
        <v>241.85</v>
      </c>
      <c r="H3022" t="str">
        <f>"0012797601C20130529B"</f>
        <v>0012797601C20130529B</v>
      </c>
    </row>
    <row r="3023" spans="1:8" x14ac:dyDescent="0.25">
      <c r="E3023" t="str">
        <f>"C78202104272849"</f>
        <v>C78202104272849</v>
      </c>
      <c r="F3023" t="str">
        <f>"00105115972005106221"</f>
        <v>00105115972005106221</v>
      </c>
      <c r="G3023" s="1">
        <v>245.08</v>
      </c>
      <c r="H3023" t="str">
        <f>"00105115972005106221"</f>
        <v>00105115972005106221</v>
      </c>
    </row>
    <row r="3024" spans="1:8" x14ac:dyDescent="0.25">
      <c r="E3024" t="str">
        <f>"C83202104272849"</f>
        <v>C83202104272849</v>
      </c>
      <c r="F3024" t="str">
        <f>"0013096953150533"</f>
        <v>0013096953150533</v>
      </c>
      <c r="G3024" s="1">
        <v>346.15</v>
      </c>
      <c r="H3024" t="str">
        <f>"0013096953150533"</f>
        <v>0013096953150533</v>
      </c>
    </row>
    <row r="3025" spans="1:8" x14ac:dyDescent="0.25">
      <c r="E3025" t="str">
        <f>"C85202104272849"</f>
        <v>C85202104272849</v>
      </c>
      <c r="F3025" t="str">
        <f>"0012469425201770874"</f>
        <v>0012469425201770874</v>
      </c>
      <c r="G3025" s="1">
        <v>138.46</v>
      </c>
      <c r="H3025" t="str">
        <f>"0012469425201770874"</f>
        <v>0012469425201770874</v>
      </c>
    </row>
    <row r="3026" spans="1:8" x14ac:dyDescent="0.25">
      <c r="E3026" t="str">
        <f>"C86202104272849"</f>
        <v>C86202104272849</v>
      </c>
      <c r="F3026" t="str">
        <f>"0013854015101285F"</f>
        <v>0013854015101285F</v>
      </c>
      <c r="G3026" s="1">
        <v>241.85</v>
      </c>
      <c r="H3026" t="str">
        <f>"0013854015101285F"</f>
        <v>0013854015101285F</v>
      </c>
    </row>
    <row r="3027" spans="1:8" x14ac:dyDescent="0.25">
      <c r="E3027" t="str">
        <f>"C87202104272849"</f>
        <v>C87202104272849</v>
      </c>
      <c r="F3027" t="str">
        <f>"0012963634L130019CVB"</f>
        <v>0012963634L130019CVB</v>
      </c>
      <c r="G3027" s="1">
        <v>249.23</v>
      </c>
      <c r="H3027" t="str">
        <f>"0012963634L130019CVB"</f>
        <v>0012963634L130019CVB</v>
      </c>
    </row>
    <row r="3028" spans="1:8" x14ac:dyDescent="0.25">
      <c r="E3028" t="str">
        <f>"C89202104272849"</f>
        <v>C89202104272849</v>
      </c>
      <c r="F3028" t="str">
        <f>"00127760434232477"</f>
        <v>00127760434232477</v>
      </c>
      <c r="G3028" s="1">
        <v>129.69</v>
      </c>
      <c r="H3028" t="str">
        <f>"00127760434232477"</f>
        <v>00127760434232477</v>
      </c>
    </row>
    <row r="3029" spans="1:8" x14ac:dyDescent="0.25">
      <c r="E3029" t="str">
        <f>"C91202104272849"</f>
        <v>C91202104272849</v>
      </c>
      <c r="F3029" t="str">
        <f>"001149031107486F425"</f>
        <v>001149031107486F425</v>
      </c>
      <c r="G3029" s="1">
        <v>238.62</v>
      </c>
      <c r="H3029" t="str">
        <f>"001149031107486F425"</f>
        <v>001149031107486F425</v>
      </c>
    </row>
    <row r="3030" spans="1:8" x14ac:dyDescent="0.25">
      <c r="A3030" t="s">
        <v>388</v>
      </c>
      <c r="B3030">
        <v>1045</v>
      </c>
      <c r="C3030" s="1">
        <v>562991.80000000005</v>
      </c>
      <c r="D3030" s="6">
        <v>44316</v>
      </c>
      <c r="E3030" t="str">
        <f>"RET202103302364"</f>
        <v>RET202103302364</v>
      </c>
      <c r="F3030" t="str">
        <f>"TEXAS COUNTY &amp; DISTRICT RET"</f>
        <v>TEXAS COUNTY &amp; DISTRICT RET</v>
      </c>
      <c r="G3030" s="1">
        <v>177783.11</v>
      </c>
      <c r="H3030" t="str">
        <f t="shared" ref="H3030:H3061" si="74">"TEXAS COUNTY &amp; DISTRICT RET"</f>
        <v>TEXAS COUNTY &amp; DISTRICT RET</v>
      </c>
    </row>
    <row r="3031" spans="1:8" x14ac:dyDescent="0.25">
      <c r="E3031" t="str">
        <f>""</f>
        <v/>
      </c>
      <c r="F3031" t="str">
        <f>""</f>
        <v/>
      </c>
      <c r="H3031" t="str">
        <f t="shared" si="74"/>
        <v>TEXAS COUNTY &amp; DISTRICT RET</v>
      </c>
    </row>
    <row r="3032" spans="1:8" x14ac:dyDescent="0.25">
      <c r="E3032" t="str">
        <f>""</f>
        <v/>
      </c>
      <c r="F3032" t="str">
        <f>""</f>
        <v/>
      </c>
      <c r="H3032" t="str">
        <f t="shared" si="74"/>
        <v>TEXAS COUNTY &amp; DISTRICT RET</v>
      </c>
    </row>
    <row r="3033" spans="1:8" x14ac:dyDescent="0.25">
      <c r="E3033" t="str">
        <f>""</f>
        <v/>
      </c>
      <c r="F3033" t="str">
        <f>""</f>
        <v/>
      </c>
      <c r="H3033" t="str">
        <f t="shared" si="74"/>
        <v>TEXAS COUNTY &amp; DISTRICT RET</v>
      </c>
    </row>
    <row r="3034" spans="1:8" x14ac:dyDescent="0.25">
      <c r="E3034" t="str">
        <f>""</f>
        <v/>
      </c>
      <c r="F3034" t="str">
        <f>""</f>
        <v/>
      </c>
      <c r="H3034" t="str">
        <f t="shared" si="74"/>
        <v>TEXAS COUNTY &amp; DISTRICT RET</v>
      </c>
    </row>
    <row r="3035" spans="1:8" x14ac:dyDescent="0.25">
      <c r="E3035" t="str">
        <f>""</f>
        <v/>
      </c>
      <c r="F3035" t="str">
        <f>""</f>
        <v/>
      </c>
      <c r="H3035" t="str">
        <f t="shared" si="74"/>
        <v>TEXAS COUNTY &amp; DISTRICT RET</v>
      </c>
    </row>
    <row r="3036" spans="1:8" x14ac:dyDescent="0.25">
      <c r="E3036" t="str">
        <f>""</f>
        <v/>
      </c>
      <c r="F3036" t="str">
        <f>""</f>
        <v/>
      </c>
      <c r="H3036" t="str">
        <f t="shared" si="74"/>
        <v>TEXAS COUNTY &amp; DISTRICT RET</v>
      </c>
    </row>
    <row r="3037" spans="1:8" x14ac:dyDescent="0.25">
      <c r="E3037" t="str">
        <f>""</f>
        <v/>
      </c>
      <c r="F3037" t="str">
        <f>""</f>
        <v/>
      </c>
      <c r="H3037" t="str">
        <f t="shared" si="74"/>
        <v>TEXAS COUNTY &amp; DISTRICT RET</v>
      </c>
    </row>
    <row r="3038" spans="1:8" x14ac:dyDescent="0.25">
      <c r="E3038" t="str">
        <f>""</f>
        <v/>
      </c>
      <c r="F3038" t="str">
        <f>""</f>
        <v/>
      </c>
      <c r="H3038" t="str">
        <f t="shared" si="74"/>
        <v>TEXAS COUNTY &amp; DISTRICT RET</v>
      </c>
    </row>
    <row r="3039" spans="1:8" x14ac:dyDescent="0.25">
      <c r="E3039" t="str">
        <f>""</f>
        <v/>
      </c>
      <c r="F3039" t="str">
        <f>""</f>
        <v/>
      </c>
      <c r="H3039" t="str">
        <f t="shared" si="74"/>
        <v>TEXAS COUNTY &amp; DISTRICT RET</v>
      </c>
    </row>
    <row r="3040" spans="1:8" x14ac:dyDescent="0.25">
      <c r="E3040" t="str">
        <f>""</f>
        <v/>
      </c>
      <c r="F3040" t="str">
        <f>""</f>
        <v/>
      </c>
      <c r="H3040" t="str">
        <f t="shared" si="74"/>
        <v>TEXAS COUNTY &amp; DISTRICT RET</v>
      </c>
    </row>
    <row r="3041" spans="5:8" x14ac:dyDescent="0.25">
      <c r="E3041" t="str">
        <f>""</f>
        <v/>
      </c>
      <c r="F3041" t="str">
        <f>""</f>
        <v/>
      </c>
      <c r="H3041" t="str">
        <f t="shared" si="74"/>
        <v>TEXAS COUNTY &amp; DISTRICT RET</v>
      </c>
    </row>
    <row r="3042" spans="5:8" x14ac:dyDescent="0.25">
      <c r="E3042" t="str">
        <f>""</f>
        <v/>
      </c>
      <c r="F3042" t="str">
        <f>""</f>
        <v/>
      </c>
      <c r="H3042" t="str">
        <f t="shared" si="74"/>
        <v>TEXAS COUNTY &amp; DISTRICT RET</v>
      </c>
    </row>
    <row r="3043" spans="5:8" x14ac:dyDescent="0.25">
      <c r="E3043" t="str">
        <f>""</f>
        <v/>
      </c>
      <c r="F3043" t="str">
        <f>""</f>
        <v/>
      </c>
      <c r="H3043" t="str">
        <f t="shared" si="74"/>
        <v>TEXAS COUNTY &amp; DISTRICT RET</v>
      </c>
    </row>
    <row r="3044" spans="5:8" x14ac:dyDescent="0.25">
      <c r="E3044" t="str">
        <f>""</f>
        <v/>
      </c>
      <c r="F3044" t="str">
        <f>""</f>
        <v/>
      </c>
      <c r="H3044" t="str">
        <f t="shared" si="74"/>
        <v>TEXAS COUNTY &amp; DISTRICT RET</v>
      </c>
    </row>
    <row r="3045" spans="5:8" x14ac:dyDescent="0.25">
      <c r="E3045" t="str">
        <f>""</f>
        <v/>
      </c>
      <c r="F3045" t="str">
        <f>""</f>
        <v/>
      </c>
      <c r="H3045" t="str">
        <f t="shared" si="74"/>
        <v>TEXAS COUNTY &amp; DISTRICT RET</v>
      </c>
    </row>
    <row r="3046" spans="5:8" x14ac:dyDescent="0.25">
      <c r="E3046" t="str">
        <f>""</f>
        <v/>
      </c>
      <c r="F3046" t="str">
        <f>""</f>
        <v/>
      </c>
      <c r="H3046" t="str">
        <f t="shared" si="74"/>
        <v>TEXAS COUNTY &amp; DISTRICT RET</v>
      </c>
    </row>
    <row r="3047" spans="5:8" x14ac:dyDescent="0.25">
      <c r="E3047" t="str">
        <f>""</f>
        <v/>
      </c>
      <c r="F3047" t="str">
        <f>""</f>
        <v/>
      </c>
      <c r="H3047" t="str">
        <f t="shared" si="74"/>
        <v>TEXAS COUNTY &amp; DISTRICT RET</v>
      </c>
    </row>
    <row r="3048" spans="5:8" x14ac:dyDescent="0.25">
      <c r="E3048" t="str">
        <f>""</f>
        <v/>
      </c>
      <c r="F3048" t="str">
        <f>""</f>
        <v/>
      </c>
      <c r="H3048" t="str">
        <f t="shared" si="74"/>
        <v>TEXAS COUNTY &amp; DISTRICT RET</v>
      </c>
    </row>
    <row r="3049" spans="5:8" x14ac:dyDescent="0.25">
      <c r="E3049" t="str">
        <f>""</f>
        <v/>
      </c>
      <c r="F3049" t="str">
        <f>""</f>
        <v/>
      </c>
      <c r="H3049" t="str">
        <f t="shared" si="74"/>
        <v>TEXAS COUNTY &amp; DISTRICT RET</v>
      </c>
    </row>
    <row r="3050" spans="5:8" x14ac:dyDescent="0.25">
      <c r="E3050" t="str">
        <f>""</f>
        <v/>
      </c>
      <c r="F3050" t="str">
        <f>""</f>
        <v/>
      </c>
      <c r="H3050" t="str">
        <f t="shared" si="74"/>
        <v>TEXAS COUNTY &amp; DISTRICT RET</v>
      </c>
    </row>
    <row r="3051" spans="5:8" x14ac:dyDescent="0.25">
      <c r="E3051" t="str">
        <f>""</f>
        <v/>
      </c>
      <c r="F3051" t="str">
        <f>""</f>
        <v/>
      </c>
      <c r="H3051" t="str">
        <f t="shared" si="74"/>
        <v>TEXAS COUNTY &amp; DISTRICT RET</v>
      </c>
    </row>
    <row r="3052" spans="5:8" x14ac:dyDescent="0.25">
      <c r="E3052" t="str">
        <f>""</f>
        <v/>
      </c>
      <c r="F3052" t="str">
        <f>""</f>
        <v/>
      </c>
      <c r="H3052" t="str">
        <f t="shared" si="74"/>
        <v>TEXAS COUNTY &amp; DISTRICT RET</v>
      </c>
    </row>
    <row r="3053" spans="5:8" x14ac:dyDescent="0.25">
      <c r="E3053" t="str">
        <f>""</f>
        <v/>
      </c>
      <c r="F3053" t="str">
        <f>""</f>
        <v/>
      </c>
      <c r="H3053" t="str">
        <f t="shared" si="74"/>
        <v>TEXAS COUNTY &amp; DISTRICT RET</v>
      </c>
    </row>
    <row r="3054" spans="5:8" x14ac:dyDescent="0.25">
      <c r="E3054" t="str">
        <f>""</f>
        <v/>
      </c>
      <c r="F3054" t="str">
        <f>""</f>
        <v/>
      </c>
      <c r="H3054" t="str">
        <f t="shared" si="74"/>
        <v>TEXAS COUNTY &amp; DISTRICT RET</v>
      </c>
    </row>
    <row r="3055" spans="5:8" x14ac:dyDescent="0.25">
      <c r="E3055" t="str">
        <f>""</f>
        <v/>
      </c>
      <c r="F3055" t="str">
        <f>""</f>
        <v/>
      </c>
      <c r="H3055" t="str">
        <f t="shared" si="74"/>
        <v>TEXAS COUNTY &amp; DISTRICT RET</v>
      </c>
    </row>
    <row r="3056" spans="5:8" x14ac:dyDescent="0.25">
      <c r="E3056" t="str">
        <f>""</f>
        <v/>
      </c>
      <c r="F3056" t="str">
        <f>""</f>
        <v/>
      </c>
      <c r="H3056" t="str">
        <f t="shared" si="74"/>
        <v>TEXAS COUNTY &amp; DISTRICT RET</v>
      </c>
    </row>
    <row r="3057" spans="5:8" x14ac:dyDescent="0.25">
      <c r="E3057" t="str">
        <f>""</f>
        <v/>
      </c>
      <c r="F3057" t="str">
        <f>""</f>
        <v/>
      </c>
      <c r="H3057" t="str">
        <f t="shared" si="74"/>
        <v>TEXAS COUNTY &amp; DISTRICT RET</v>
      </c>
    </row>
    <row r="3058" spans="5:8" x14ac:dyDescent="0.25">
      <c r="E3058" t="str">
        <f>""</f>
        <v/>
      </c>
      <c r="F3058" t="str">
        <f>""</f>
        <v/>
      </c>
      <c r="H3058" t="str">
        <f t="shared" si="74"/>
        <v>TEXAS COUNTY &amp; DISTRICT RET</v>
      </c>
    </row>
    <row r="3059" spans="5:8" x14ac:dyDescent="0.25">
      <c r="E3059" t="str">
        <f>""</f>
        <v/>
      </c>
      <c r="F3059" t="str">
        <f>""</f>
        <v/>
      </c>
      <c r="H3059" t="str">
        <f t="shared" si="74"/>
        <v>TEXAS COUNTY &amp; DISTRICT RET</v>
      </c>
    </row>
    <row r="3060" spans="5:8" x14ac:dyDescent="0.25">
      <c r="E3060" t="str">
        <f>""</f>
        <v/>
      </c>
      <c r="F3060" t="str">
        <f>""</f>
        <v/>
      </c>
      <c r="H3060" t="str">
        <f t="shared" si="74"/>
        <v>TEXAS COUNTY &amp; DISTRICT RET</v>
      </c>
    </row>
    <row r="3061" spans="5:8" x14ac:dyDescent="0.25">
      <c r="E3061" t="str">
        <f>""</f>
        <v/>
      </c>
      <c r="F3061" t="str">
        <f>""</f>
        <v/>
      </c>
      <c r="H3061" t="str">
        <f t="shared" si="74"/>
        <v>TEXAS COUNTY &amp; DISTRICT RET</v>
      </c>
    </row>
    <row r="3062" spans="5:8" x14ac:dyDescent="0.25">
      <c r="E3062" t="str">
        <f>""</f>
        <v/>
      </c>
      <c r="F3062" t="str">
        <f>""</f>
        <v/>
      </c>
      <c r="H3062" t="str">
        <f t="shared" ref="H3062:H3081" si="75">"TEXAS COUNTY &amp; DISTRICT RET"</f>
        <v>TEXAS COUNTY &amp; DISTRICT RET</v>
      </c>
    </row>
    <row r="3063" spans="5:8" x14ac:dyDescent="0.25">
      <c r="E3063" t="str">
        <f>""</f>
        <v/>
      </c>
      <c r="F3063" t="str">
        <f>""</f>
        <v/>
      </c>
      <c r="H3063" t="str">
        <f t="shared" si="75"/>
        <v>TEXAS COUNTY &amp; DISTRICT RET</v>
      </c>
    </row>
    <row r="3064" spans="5:8" x14ac:dyDescent="0.25">
      <c r="E3064" t="str">
        <f>""</f>
        <v/>
      </c>
      <c r="F3064" t="str">
        <f>""</f>
        <v/>
      </c>
      <c r="H3064" t="str">
        <f t="shared" si="75"/>
        <v>TEXAS COUNTY &amp; DISTRICT RET</v>
      </c>
    </row>
    <row r="3065" spans="5:8" x14ac:dyDescent="0.25">
      <c r="E3065" t="str">
        <f>""</f>
        <v/>
      </c>
      <c r="F3065" t="str">
        <f>""</f>
        <v/>
      </c>
      <c r="H3065" t="str">
        <f t="shared" si="75"/>
        <v>TEXAS COUNTY &amp; DISTRICT RET</v>
      </c>
    </row>
    <row r="3066" spans="5:8" x14ac:dyDescent="0.25">
      <c r="E3066" t="str">
        <f>""</f>
        <v/>
      </c>
      <c r="F3066" t="str">
        <f>""</f>
        <v/>
      </c>
      <c r="H3066" t="str">
        <f t="shared" si="75"/>
        <v>TEXAS COUNTY &amp; DISTRICT RET</v>
      </c>
    </row>
    <row r="3067" spans="5:8" x14ac:dyDescent="0.25">
      <c r="E3067" t="str">
        <f>""</f>
        <v/>
      </c>
      <c r="F3067" t="str">
        <f>""</f>
        <v/>
      </c>
      <c r="H3067" t="str">
        <f t="shared" si="75"/>
        <v>TEXAS COUNTY &amp; DISTRICT RET</v>
      </c>
    </row>
    <row r="3068" spans="5:8" x14ac:dyDescent="0.25">
      <c r="E3068" t="str">
        <f>""</f>
        <v/>
      </c>
      <c r="F3068" t="str">
        <f>""</f>
        <v/>
      </c>
      <c r="H3068" t="str">
        <f t="shared" si="75"/>
        <v>TEXAS COUNTY &amp; DISTRICT RET</v>
      </c>
    </row>
    <row r="3069" spans="5:8" x14ac:dyDescent="0.25">
      <c r="E3069" t="str">
        <f>""</f>
        <v/>
      </c>
      <c r="F3069" t="str">
        <f>""</f>
        <v/>
      </c>
      <c r="H3069" t="str">
        <f t="shared" si="75"/>
        <v>TEXAS COUNTY &amp; DISTRICT RET</v>
      </c>
    </row>
    <row r="3070" spans="5:8" x14ac:dyDescent="0.25">
      <c r="E3070" t="str">
        <f>""</f>
        <v/>
      </c>
      <c r="F3070" t="str">
        <f>""</f>
        <v/>
      </c>
      <c r="H3070" t="str">
        <f t="shared" si="75"/>
        <v>TEXAS COUNTY &amp; DISTRICT RET</v>
      </c>
    </row>
    <row r="3071" spans="5:8" x14ac:dyDescent="0.25">
      <c r="E3071" t="str">
        <f>""</f>
        <v/>
      </c>
      <c r="F3071" t="str">
        <f>""</f>
        <v/>
      </c>
      <c r="H3071" t="str">
        <f t="shared" si="75"/>
        <v>TEXAS COUNTY &amp; DISTRICT RET</v>
      </c>
    </row>
    <row r="3072" spans="5:8" x14ac:dyDescent="0.25">
      <c r="E3072" t="str">
        <f>""</f>
        <v/>
      </c>
      <c r="F3072" t="str">
        <f>""</f>
        <v/>
      </c>
      <c r="H3072" t="str">
        <f t="shared" si="75"/>
        <v>TEXAS COUNTY &amp; DISTRICT RET</v>
      </c>
    </row>
    <row r="3073" spans="5:8" x14ac:dyDescent="0.25">
      <c r="E3073" t="str">
        <f>""</f>
        <v/>
      </c>
      <c r="F3073" t="str">
        <f>""</f>
        <v/>
      </c>
      <c r="H3073" t="str">
        <f t="shared" si="75"/>
        <v>TEXAS COUNTY &amp; DISTRICT RET</v>
      </c>
    </row>
    <row r="3074" spans="5:8" x14ac:dyDescent="0.25">
      <c r="E3074" t="str">
        <f>""</f>
        <v/>
      </c>
      <c r="F3074" t="str">
        <f>""</f>
        <v/>
      </c>
      <c r="H3074" t="str">
        <f t="shared" si="75"/>
        <v>TEXAS COUNTY &amp; DISTRICT RET</v>
      </c>
    </row>
    <row r="3075" spans="5:8" x14ac:dyDescent="0.25">
      <c r="E3075" t="str">
        <f>""</f>
        <v/>
      </c>
      <c r="F3075" t="str">
        <f>""</f>
        <v/>
      </c>
      <c r="H3075" t="str">
        <f t="shared" si="75"/>
        <v>TEXAS COUNTY &amp; DISTRICT RET</v>
      </c>
    </row>
    <row r="3076" spans="5:8" x14ac:dyDescent="0.25">
      <c r="E3076" t="str">
        <f>""</f>
        <v/>
      </c>
      <c r="F3076" t="str">
        <f>""</f>
        <v/>
      </c>
      <c r="H3076" t="str">
        <f t="shared" si="75"/>
        <v>TEXAS COUNTY &amp; DISTRICT RET</v>
      </c>
    </row>
    <row r="3077" spans="5:8" x14ac:dyDescent="0.25">
      <c r="E3077" t="str">
        <f>""</f>
        <v/>
      </c>
      <c r="F3077" t="str">
        <f>""</f>
        <v/>
      </c>
      <c r="H3077" t="str">
        <f t="shared" si="75"/>
        <v>TEXAS COUNTY &amp; DISTRICT RET</v>
      </c>
    </row>
    <row r="3078" spans="5:8" x14ac:dyDescent="0.25">
      <c r="E3078" t="str">
        <f>""</f>
        <v/>
      </c>
      <c r="F3078" t="str">
        <f>""</f>
        <v/>
      </c>
      <c r="H3078" t="str">
        <f t="shared" si="75"/>
        <v>TEXAS COUNTY &amp; DISTRICT RET</v>
      </c>
    </row>
    <row r="3079" spans="5:8" x14ac:dyDescent="0.25">
      <c r="E3079" t="str">
        <f>""</f>
        <v/>
      </c>
      <c r="F3079" t="str">
        <f>""</f>
        <v/>
      </c>
      <c r="H3079" t="str">
        <f t="shared" si="75"/>
        <v>TEXAS COUNTY &amp; DISTRICT RET</v>
      </c>
    </row>
    <row r="3080" spans="5:8" x14ac:dyDescent="0.25">
      <c r="E3080" t="str">
        <f>""</f>
        <v/>
      </c>
      <c r="F3080" t="str">
        <f>""</f>
        <v/>
      </c>
      <c r="H3080" t="str">
        <f t="shared" si="75"/>
        <v>TEXAS COUNTY &amp; DISTRICT RET</v>
      </c>
    </row>
    <row r="3081" spans="5:8" x14ac:dyDescent="0.25">
      <c r="E3081" t="str">
        <f>""</f>
        <v/>
      </c>
      <c r="F3081" t="str">
        <f>""</f>
        <v/>
      </c>
      <c r="H3081" t="str">
        <f t="shared" si="75"/>
        <v>TEXAS COUNTY &amp; DISTRICT RET</v>
      </c>
    </row>
    <row r="3082" spans="5:8" x14ac:dyDescent="0.25">
      <c r="E3082" t="str">
        <f>"RET202103302365"</f>
        <v>RET202103302365</v>
      </c>
      <c r="F3082" t="str">
        <f>"TEXAS COUNTY  DISTRICT RET"</f>
        <v>TEXAS COUNTY  DISTRICT RET</v>
      </c>
      <c r="G3082" s="1">
        <v>6215.91</v>
      </c>
      <c r="H3082" t="str">
        <f>"TEXAS COUNTY  DISTRICT RET"</f>
        <v>TEXAS COUNTY  DISTRICT RET</v>
      </c>
    </row>
    <row r="3083" spans="5:8" x14ac:dyDescent="0.25">
      <c r="E3083" t="str">
        <f>""</f>
        <v/>
      </c>
      <c r="F3083" t="str">
        <f>""</f>
        <v/>
      </c>
      <c r="H3083" t="str">
        <f>"TEXAS COUNTY  DISTRICT RET"</f>
        <v>TEXAS COUNTY  DISTRICT RET</v>
      </c>
    </row>
    <row r="3084" spans="5:8" x14ac:dyDescent="0.25">
      <c r="E3084" t="str">
        <f>"RET202103302366"</f>
        <v>RET202103302366</v>
      </c>
      <c r="F3084" t="str">
        <f>"TEXAS COUNTY &amp; DISTRICT RET"</f>
        <v>TEXAS COUNTY &amp; DISTRICT RET</v>
      </c>
      <c r="G3084" s="1">
        <v>7214.6</v>
      </c>
      <c r="H3084" t="str">
        <f t="shared" ref="H3084:H3115" si="76">"TEXAS COUNTY &amp; DISTRICT RET"</f>
        <v>TEXAS COUNTY &amp; DISTRICT RET</v>
      </c>
    </row>
    <row r="3085" spans="5:8" x14ac:dyDescent="0.25">
      <c r="E3085" t="str">
        <f>""</f>
        <v/>
      </c>
      <c r="F3085" t="str">
        <f>""</f>
        <v/>
      </c>
      <c r="H3085" t="str">
        <f t="shared" si="76"/>
        <v>TEXAS COUNTY &amp; DISTRICT RET</v>
      </c>
    </row>
    <row r="3086" spans="5:8" x14ac:dyDescent="0.25">
      <c r="E3086" t="str">
        <f>"RET202104142603"</f>
        <v>RET202104142603</v>
      </c>
      <c r="F3086" t="str">
        <f>"TEXAS COUNTY &amp; DISTRICT RET"</f>
        <v>TEXAS COUNTY &amp; DISTRICT RET</v>
      </c>
      <c r="G3086" s="1">
        <v>173993.92</v>
      </c>
      <c r="H3086" t="str">
        <f t="shared" si="76"/>
        <v>TEXAS COUNTY &amp; DISTRICT RET</v>
      </c>
    </row>
    <row r="3087" spans="5:8" x14ac:dyDescent="0.25">
      <c r="E3087" t="str">
        <f>""</f>
        <v/>
      </c>
      <c r="F3087" t="str">
        <f>""</f>
        <v/>
      </c>
      <c r="H3087" t="str">
        <f t="shared" si="76"/>
        <v>TEXAS COUNTY &amp; DISTRICT RET</v>
      </c>
    </row>
    <row r="3088" spans="5:8" x14ac:dyDescent="0.25">
      <c r="E3088" t="str">
        <f>""</f>
        <v/>
      </c>
      <c r="F3088" t="str">
        <f>""</f>
        <v/>
      </c>
      <c r="H3088" t="str">
        <f t="shared" si="76"/>
        <v>TEXAS COUNTY &amp; DISTRICT RET</v>
      </c>
    </row>
    <row r="3089" spans="5:8" x14ac:dyDescent="0.25">
      <c r="E3089" t="str">
        <f>""</f>
        <v/>
      </c>
      <c r="F3089" t="str">
        <f>""</f>
        <v/>
      </c>
      <c r="H3089" t="str">
        <f t="shared" si="76"/>
        <v>TEXAS COUNTY &amp; DISTRICT RET</v>
      </c>
    </row>
    <row r="3090" spans="5:8" x14ac:dyDescent="0.25">
      <c r="E3090" t="str">
        <f>""</f>
        <v/>
      </c>
      <c r="F3090" t="str">
        <f>""</f>
        <v/>
      </c>
      <c r="H3090" t="str">
        <f t="shared" si="76"/>
        <v>TEXAS COUNTY &amp; DISTRICT RET</v>
      </c>
    </row>
    <row r="3091" spans="5:8" x14ac:dyDescent="0.25">
      <c r="E3091" t="str">
        <f>""</f>
        <v/>
      </c>
      <c r="F3091" t="str">
        <f>""</f>
        <v/>
      </c>
      <c r="H3091" t="str">
        <f t="shared" si="76"/>
        <v>TEXAS COUNTY &amp; DISTRICT RET</v>
      </c>
    </row>
    <row r="3092" spans="5:8" x14ac:dyDescent="0.25">
      <c r="E3092" t="str">
        <f>""</f>
        <v/>
      </c>
      <c r="F3092" t="str">
        <f>""</f>
        <v/>
      </c>
      <c r="H3092" t="str">
        <f t="shared" si="76"/>
        <v>TEXAS COUNTY &amp; DISTRICT RET</v>
      </c>
    </row>
    <row r="3093" spans="5:8" x14ac:dyDescent="0.25">
      <c r="E3093" t="str">
        <f>""</f>
        <v/>
      </c>
      <c r="F3093" t="str">
        <f>""</f>
        <v/>
      </c>
      <c r="H3093" t="str">
        <f t="shared" si="76"/>
        <v>TEXAS COUNTY &amp; DISTRICT RET</v>
      </c>
    </row>
    <row r="3094" spans="5:8" x14ac:dyDescent="0.25">
      <c r="E3094" t="str">
        <f>""</f>
        <v/>
      </c>
      <c r="F3094" t="str">
        <f>""</f>
        <v/>
      </c>
      <c r="H3094" t="str">
        <f t="shared" si="76"/>
        <v>TEXAS COUNTY &amp; DISTRICT RET</v>
      </c>
    </row>
    <row r="3095" spans="5:8" x14ac:dyDescent="0.25">
      <c r="E3095" t="str">
        <f>""</f>
        <v/>
      </c>
      <c r="F3095" t="str">
        <f>""</f>
        <v/>
      </c>
      <c r="H3095" t="str">
        <f t="shared" si="76"/>
        <v>TEXAS COUNTY &amp; DISTRICT RET</v>
      </c>
    </row>
    <row r="3096" spans="5:8" x14ac:dyDescent="0.25">
      <c r="E3096" t="str">
        <f>""</f>
        <v/>
      </c>
      <c r="F3096" t="str">
        <f>""</f>
        <v/>
      </c>
      <c r="H3096" t="str">
        <f t="shared" si="76"/>
        <v>TEXAS COUNTY &amp; DISTRICT RET</v>
      </c>
    </row>
    <row r="3097" spans="5:8" x14ac:dyDescent="0.25">
      <c r="E3097" t="str">
        <f>""</f>
        <v/>
      </c>
      <c r="F3097" t="str">
        <f>""</f>
        <v/>
      </c>
      <c r="H3097" t="str">
        <f t="shared" si="76"/>
        <v>TEXAS COUNTY &amp; DISTRICT RET</v>
      </c>
    </row>
    <row r="3098" spans="5:8" x14ac:dyDescent="0.25">
      <c r="E3098" t="str">
        <f>""</f>
        <v/>
      </c>
      <c r="F3098" t="str">
        <f>""</f>
        <v/>
      </c>
      <c r="H3098" t="str">
        <f t="shared" si="76"/>
        <v>TEXAS COUNTY &amp; DISTRICT RET</v>
      </c>
    </row>
    <row r="3099" spans="5:8" x14ac:dyDescent="0.25">
      <c r="E3099" t="str">
        <f>""</f>
        <v/>
      </c>
      <c r="F3099" t="str">
        <f>""</f>
        <v/>
      </c>
      <c r="H3099" t="str">
        <f t="shared" si="76"/>
        <v>TEXAS COUNTY &amp; DISTRICT RET</v>
      </c>
    </row>
    <row r="3100" spans="5:8" x14ac:dyDescent="0.25">
      <c r="E3100" t="str">
        <f>""</f>
        <v/>
      </c>
      <c r="F3100" t="str">
        <f>""</f>
        <v/>
      </c>
      <c r="H3100" t="str">
        <f t="shared" si="76"/>
        <v>TEXAS COUNTY &amp; DISTRICT RET</v>
      </c>
    </row>
    <row r="3101" spans="5:8" x14ac:dyDescent="0.25">
      <c r="E3101" t="str">
        <f>""</f>
        <v/>
      </c>
      <c r="F3101" t="str">
        <f>""</f>
        <v/>
      </c>
      <c r="H3101" t="str">
        <f t="shared" si="76"/>
        <v>TEXAS COUNTY &amp; DISTRICT RET</v>
      </c>
    </row>
    <row r="3102" spans="5:8" x14ac:dyDescent="0.25">
      <c r="E3102" t="str">
        <f>""</f>
        <v/>
      </c>
      <c r="F3102" t="str">
        <f>""</f>
        <v/>
      </c>
      <c r="H3102" t="str">
        <f t="shared" si="76"/>
        <v>TEXAS COUNTY &amp; DISTRICT RET</v>
      </c>
    </row>
    <row r="3103" spans="5:8" x14ac:dyDescent="0.25">
      <c r="E3103" t="str">
        <f>""</f>
        <v/>
      </c>
      <c r="F3103" t="str">
        <f>""</f>
        <v/>
      </c>
      <c r="H3103" t="str">
        <f t="shared" si="76"/>
        <v>TEXAS COUNTY &amp; DISTRICT RET</v>
      </c>
    </row>
    <row r="3104" spans="5:8" x14ac:dyDescent="0.25">
      <c r="E3104" t="str">
        <f>""</f>
        <v/>
      </c>
      <c r="F3104" t="str">
        <f>""</f>
        <v/>
      </c>
      <c r="H3104" t="str">
        <f t="shared" si="76"/>
        <v>TEXAS COUNTY &amp; DISTRICT RET</v>
      </c>
    </row>
    <row r="3105" spans="5:8" x14ac:dyDescent="0.25">
      <c r="E3105" t="str">
        <f>""</f>
        <v/>
      </c>
      <c r="F3105" t="str">
        <f>""</f>
        <v/>
      </c>
      <c r="H3105" t="str">
        <f t="shared" si="76"/>
        <v>TEXAS COUNTY &amp; DISTRICT RET</v>
      </c>
    </row>
    <row r="3106" spans="5:8" x14ac:dyDescent="0.25">
      <c r="E3106" t="str">
        <f>""</f>
        <v/>
      </c>
      <c r="F3106" t="str">
        <f>""</f>
        <v/>
      </c>
      <c r="H3106" t="str">
        <f t="shared" si="76"/>
        <v>TEXAS COUNTY &amp; DISTRICT RET</v>
      </c>
    </row>
    <row r="3107" spans="5:8" x14ac:dyDescent="0.25">
      <c r="E3107" t="str">
        <f>""</f>
        <v/>
      </c>
      <c r="F3107" t="str">
        <f>""</f>
        <v/>
      </c>
      <c r="H3107" t="str">
        <f t="shared" si="76"/>
        <v>TEXAS COUNTY &amp; DISTRICT RET</v>
      </c>
    </row>
    <row r="3108" spans="5:8" x14ac:dyDescent="0.25">
      <c r="E3108" t="str">
        <f>""</f>
        <v/>
      </c>
      <c r="F3108" t="str">
        <f>""</f>
        <v/>
      </c>
      <c r="H3108" t="str">
        <f t="shared" si="76"/>
        <v>TEXAS COUNTY &amp; DISTRICT RET</v>
      </c>
    </row>
    <row r="3109" spans="5:8" x14ac:dyDescent="0.25">
      <c r="E3109" t="str">
        <f>""</f>
        <v/>
      </c>
      <c r="F3109" t="str">
        <f>""</f>
        <v/>
      </c>
      <c r="H3109" t="str">
        <f t="shared" si="76"/>
        <v>TEXAS COUNTY &amp; DISTRICT RET</v>
      </c>
    </row>
    <row r="3110" spans="5:8" x14ac:dyDescent="0.25">
      <c r="E3110" t="str">
        <f>""</f>
        <v/>
      </c>
      <c r="F3110" t="str">
        <f>""</f>
        <v/>
      </c>
      <c r="H3110" t="str">
        <f t="shared" si="76"/>
        <v>TEXAS COUNTY &amp; DISTRICT RET</v>
      </c>
    </row>
    <row r="3111" spans="5:8" x14ac:dyDescent="0.25">
      <c r="E3111" t="str">
        <f>""</f>
        <v/>
      </c>
      <c r="F3111" t="str">
        <f>""</f>
        <v/>
      </c>
      <c r="H3111" t="str">
        <f t="shared" si="76"/>
        <v>TEXAS COUNTY &amp; DISTRICT RET</v>
      </c>
    </row>
    <row r="3112" spans="5:8" x14ac:dyDescent="0.25">
      <c r="E3112" t="str">
        <f>""</f>
        <v/>
      </c>
      <c r="F3112" t="str">
        <f>""</f>
        <v/>
      </c>
      <c r="H3112" t="str">
        <f t="shared" si="76"/>
        <v>TEXAS COUNTY &amp; DISTRICT RET</v>
      </c>
    </row>
    <row r="3113" spans="5:8" x14ac:dyDescent="0.25">
      <c r="E3113" t="str">
        <f>""</f>
        <v/>
      </c>
      <c r="F3113" t="str">
        <f>""</f>
        <v/>
      </c>
      <c r="H3113" t="str">
        <f t="shared" si="76"/>
        <v>TEXAS COUNTY &amp; DISTRICT RET</v>
      </c>
    </row>
    <row r="3114" spans="5:8" x14ac:dyDescent="0.25">
      <c r="E3114" t="str">
        <f>""</f>
        <v/>
      </c>
      <c r="F3114" t="str">
        <f>""</f>
        <v/>
      </c>
      <c r="H3114" t="str">
        <f t="shared" si="76"/>
        <v>TEXAS COUNTY &amp; DISTRICT RET</v>
      </c>
    </row>
    <row r="3115" spans="5:8" x14ac:dyDescent="0.25">
      <c r="E3115" t="str">
        <f>""</f>
        <v/>
      </c>
      <c r="F3115" t="str">
        <f>""</f>
        <v/>
      </c>
      <c r="H3115" t="str">
        <f t="shared" si="76"/>
        <v>TEXAS COUNTY &amp; DISTRICT RET</v>
      </c>
    </row>
    <row r="3116" spans="5:8" x14ac:dyDescent="0.25">
      <c r="E3116" t="str">
        <f>""</f>
        <v/>
      </c>
      <c r="F3116" t="str">
        <f>""</f>
        <v/>
      </c>
      <c r="H3116" t="str">
        <f t="shared" ref="H3116:H3137" si="77">"TEXAS COUNTY &amp; DISTRICT RET"</f>
        <v>TEXAS COUNTY &amp; DISTRICT RET</v>
      </c>
    </row>
    <row r="3117" spans="5:8" x14ac:dyDescent="0.25">
      <c r="E3117" t="str">
        <f>""</f>
        <v/>
      </c>
      <c r="F3117" t="str">
        <f>""</f>
        <v/>
      </c>
      <c r="H3117" t="str">
        <f t="shared" si="77"/>
        <v>TEXAS COUNTY &amp; DISTRICT RET</v>
      </c>
    </row>
    <row r="3118" spans="5:8" x14ac:dyDescent="0.25">
      <c r="E3118" t="str">
        <f>""</f>
        <v/>
      </c>
      <c r="F3118" t="str">
        <f>""</f>
        <v/>
      </c>
      <c r="H3118" t="str">
        <f t="shared" si="77"/>
        <v>TEXAS COUNTY &amp; DISTRICT RET</v>
      </c>
    </row>
    <row r="3119" spans="5:8" x14ac:dyDescent="0.25">
      <c r="E3119" t="str">
        <f>""</f>
        <v/>
      </c>
      <c r="F3119" t="str">
        <f>""</f>
        <v/>
      </c>
      <c r="H3119" t="str">
        <f t="shared" si="77"/>
        <v>TEXAS COUNTY &amp; DISTRICT RET</v>
      </c>
    </row>
    <row r="3120" spans="5:8" x14ac:dyDescent="0.25">
      <c r="E3120" t="str">
        <f>""</f>
        <v/>
      </c>
      <c r="F3120" t="str">
        <f>""</f>
        <v/>
      </c>
      <c r="H3120" t="str">
        <f t="shared" si="77"/>
        <v>TEXAS COUNTY &amp; DISTRICT RET</v>
      </c>
    </row>
    <row r="3121" spans="5:8" x14ac:dyDescent="0.25">
      <c r="E3121" t="str">
        <f>""</f>
        <v/>
      </c>
      <c r="F3121" t="str">
        <f>""</f>
        <v/>
      </c>
      <c r="H3121" t="str">
        <f t="shared" si="77"/>
        <v>TEXAS COUNTY &amp; DISTRICT RET</v>
      </c>
    </row>
    <row r="3122" spans="5:8" x14ac:dyDescent="0.25">
      <c r="E3122" t="str">
        <f>""</f>
        <v/>
      </c>
      <c r="F3122" t="str">
        <f>""</f>
        <v/>
      </c>
      <c r="H3122" t="str">
        <f t="shared" si="77"/>
        <v>TEXAS COUNTY &amp; DISTRICT RET</v>
      </c>
    </row>
    <row r="3123" spans="5:8" x14ac:dyDescent="0.25">
      <c r="E3123" t="str">
        <f>""</f>
        <v/>
      </c>
      <c r="F3123" t="str">
        <f>""</f>
        <v/>
      </c>
      <c r="H3123" t="str">
        <f t="shared" si="77"/>
        <v>TEXAS COUNTY &amp; DISTRICT RET</v>
      </c>
    </row>
    <row r="3124" spans="5:8" x14ac:dyDescent="0.25">
      <c r="E3124" t="str">
        <f>""</f>
        <v/>
      </c>
      <c r="F3124" t="str">
        <f>""</f>
        <v/>
      </c>
      <c r="H3124" t="str">
        <f t="shared" si="77"/>
        <v>TEXAS COUNTY &amp; DISTRICT RET</v>
      </c>
    </row>
    <row r="3125" spans="5:8" x14ac:dyDescent="0.25">
      <c r="E3125" t="str">
        <f>""</f>
        <v/>
      </c>
      <c r="F3125" t="str">
        <f>""</f>
        <v/>
      </c>
      <c r="H3125" t="str">
        <f t="shared" si="77"/>
        <v>TEXAS COUNTY &amp; DISTRICT RET</v>
      </c>
    </row>
    <row r="3126" spans="5:8" x14ac:dyDescent="0.25">
      <c r="E3126" t="str">
        <f>""</f>
        <v/>
      </c>
      <c r="F3126" t="str">
        <f>""</f>
        <v/>
      </c>
      <c r="H3126" t="str">
        <f t="shared" si="77"/>
        <v>TEXAS COUNTY &amp; DISTRICT RET</v>
      </c>
    </row>
    <row r="3127" spans="5:8" x14ac:dyDescent="0.25">
      <c r="E3127" t="str">
        <f>""</f>
        <v/>
      </c>
      <c r="F3127" t="str">
        <f>""</f>
        <v/>
      </c>
      <c r="H3127" t="str">
        <f t="shared" si="77"/>
        <v>TEXAS COUNTY &amp; DISTRICT RET</v>
      </c>
    </row>
    <row r="3128" spans="5:8" x14ac:dyDescent="0.25">
      <c r="E3128" t="str">
        <f>""</f>
        <v/>
      </c>
      <c r="F3128" t="str">
        <f>""</f>
        <v/>
      </c>
      <c r="H3128" t="str">
        <f t="shared" si="77"/>
        <v>TEXAS COUNTY &amp; DISTRICT RET</v>
      </c>
    </row>
    <row r="3129" spans="5:8" x14ac:dyDescent="0.25">
      <c r="E3129" t="str">
        <f>""</f>
        <v/>
      </c>
      <c r="F3129" t="str">
        <f>""</f>
        <v/>
      </c>
      <c r="H3129" t="str">
        <f t="shared" si="77"/>
        <v>TEXAS COUNTY &amp; DISTRICT RET</v>
      </c>
    </row>
    <row r="3130" spans="5:8" x14ac:dyDescent="0.25">
      <c r="E3130" t="str">
        <f>""</f>
        <v/>
      </c>
      <c r="F3130" t="str">
        <f>""</f>
        <v/>
      </c>
      <c r="H3130" t="str">
        <f t="shared" si="77"/>
        <v>TEXAS COUNTY &amp; DISTRICT RET</v>
      </c>
    </row>
    <row r="3131" spans="5:8" x14ac:dyDescent="0.25">
      <c r="E3131" t="str">
        <f>""</f>
        <v/>
      </c>
      <c r="F3131" t="str">
        <f>""</f>
        <v/>
      </c>
      <c r="H3131" t="str">
        <f t="shared" si="77"/>
        <v>TEXAS COUNTY &amp; DISTRICT RET</v>
      </c>
    </row>
    <row r="3132" spans="5:8" x14ac:dyDescent="0.25">
      <c r="E3132" t="str">
        <f>""</f>
        <v/>
      </c>
      <c r="F3132" t="str">
        <f>""</f>
        <v/>
      </c>
      <c r="H3132" t="str">
        <f t="shared" si="77"/>
        <v>TEXAS COUNTY &amp; DISTRICT RET</v>
      </c>
    </row>
    <row r="3133" spans="5:8" x14ac:dyDescent="0.25">
      <c r="E3133" t="str">
        <f>""</f>
        <v/>
      </c>
      <c r="F3133" t="str">
        <f>""</f>
        <v/>
      </c>
      <c r="H3133" t="str">
        <f t="shared" si="77"/>
        <v>TEXAS COUNTY &amp; DISTRICT RET</v>
      </c>
    </row>
    <row r="3134" spans="5:8" x14ac:dyDescent="0.25">
      <c r="E3134" t="str">
        <f>""</f>
        <v/>
      </c>
      <c r="F3134" t="str">
        <f>""</f>
        <v/>
      </c>
      <c r="H3134" t="str">
        <f t="shared" si="77"/>
        <v>TEXAS COUNTY &amp; DISTRICT RET</v>
      </c>
    </row>
    <row r="3135" spans="5:8" x14ac:dyDescent="0.25">
      <c r="E3135" t="str">
        <f>""</f>
        <v/>
      </c>
      <c r="F3135" t="str">
        <f>""</f>
        <v/>
      </c>
      <c r="H3135" t="str">
        <f t="shared" si="77"/>
        <v>TEXAS COUNTY &amp; DISTRICT RET</v>
      </c>
    </row>
    <row r="3136" spans="5:8" x14ac:dyDescent="0.25">
      <c r="E3136" t="str">
        <f>""</f>
        <v/>
      </c>
      <c r="F3136" t="str">
        <f>""</f>
        <v/>
      </c>
      <c r="H3136" t="str">
        <f t="shared" si="77"/>
        <v>TEXAS COUNTY &amp; DISTRICT RET</v>
      </c>
    </row>
    <row r="3137" spans="5:8" x14ac:dyDescent="0.25">
      <c r="E3137" t="str">
        <f>""</f>
        <v/>
      </c>
      <c r="F3137" t="str">
        <f>""</f>
        <v/>
      </c>
      <c r="H3137" t="str">
        <f t="shared" si="77"/>
        <v>TEXAS COUNTY &amp; DISTRICT RET</v>
      </c>
    </row>
    <row r="3138" spans="5:8" x14ac:dyDescent="0.25">
      <c r="E3138" t="str">
        <f>"RET202104142604"</f>
        <v>RET202104142604</v>
      </c>
      <c r="F3138" t="str">
        <f>"TEXAS COUNTY  DISTRICT RET"</f>
        <v>TEXAS COUNTY  DISTRICT RET</v>
      </c>
      <c r="G3138" s="1">
        <v>6207.6</v>
      </c>
      <c r="H3138" t="str">
        <f>"TEXAS COUNTY  DISTRICT RET"</f>
        <v>TEXAS COUNTY  DISTRICT RET</v>
      </c>
    </row>
    <row r="3139" spans="5:8" x14ac:dyDescent="0.25">
      <c r="E3139" t="str">
        <f>""</f>
        <v/>
      </c>
      <c r="F3139" t="str">
        <f>""</f>
        <v/>
      </c>
      <c r="H3139" t="str">
        <f>"TEXAS COUNTY  DISTRICT RET"</f>
        <v>TEXAS COUNTY  DISTRICT RET</v>
      </c>
    </row>
    <row r="3140" spans="5:8" x14ac:dyDescent="0.25">
      <c r="E3140" t="str">
        <f>"RET202104142605"</f>
        <v>RET202104142605</v>
      </c>
      <c r="F3140" t="str">
        <f>"TEXAS COUNTY &amp; DISTRICT RET"</f>
        <v>TEXAS COUNTY &amp; DISTRICT RET</v>
      </c>
      <c r="G3140" s="1">
        <v>7384.63</v>
      </c>
      <c r="H3140" t="str">
        <f t="shared" ref="H3140:H3171" si="78">"TEXAS COUNTY &amp; DISTRICT RET"</f>
        <v>TEXAS COUNTY &amp; DISTRICT RET</v>
      </c>
    </row>
    <row r="3141" spans="5:8" x14ac:dyDescent="0.25">
      <c r="E3141" t="str">
        <f>""</f>
        <v/>
      </c>
      <c r="F3141" t="str">
        <f>""</f>
        <v/>
      </c>
      <c r="H3141" t="str">
        <f t="shared" si="78"/>
        <v>TEXAS COUNTY &amp; DISTRICT RET</v>
      </c>
    </row>
    <row r="3142" spans="5:8" x14ac:dyDescent="0.25">
      <c r="E3142" t="str">
        <f>"RET202104272849"</f>
        <v>RET202104272849</v>
      </c>
      <c r="F3142" t="str">
        <f>"TEXAS COUNTY &amp; DISTRICT RET"</f>
        <v>TEXAS COUNTY &amp; DISTRICT RET</v>
      </c>
      <c r="G3142" s="1">
        <v>170792.55</v>
      </c>
      <c r="H3142" t="str">
        <f t="shared" si="78"/>
        <v>TEXAS COUNTY &amp; DISTRICT RET</v>
      </c>
    </row>
    <row r="3143" spans="5:8" x14ac:dyDescent="0.25">
      <c r="E3143" t="str">
        <f>""</f>
        <v/>
      </c>
      <c r="F3143" t="str">
        <f>""</f>
        <v/>
      </c>
      <c r="H3143" t="str">
        <f t="shared" si="78"/>
        <v>TEXAS COUNTY &amp; DISTRICT RET</v>
      </c>
    </row>
    <row r="3144" spans="5:8" x14ac:dyDescent="0.25">
      <c r="E3144" t="str">
        <f>""</f>
        <v/>
      </c>
      <c r="F3144" t="str">
        <f>""</f>
        <v/>
      </c>
      <c r="H3144" t="str">
        <f t="shared" si="78"/>
        <v>TEXAS COUNTY &amp; DISTRICT RET</v>
      </c>
    </row>
    <row r="3145" spans="5:8" x14ac:dyDescent="0.25">
      <c r="E3145" t="str">
        <f>""</f>
        <v/>
      </c>
      <c r="F3145" t="str">
        <f>""</f>
        <v/>
      </c>
      <c r="H3145" t="str">
        <f t="shared" si="78"/>
        <v>TEXAS COUNTY &amp; DISTRICT RET</v>
      </c>
    </row>
    <row r="3146" spans="5:8" x14ac:dyDescent="0.25">
      <c r="E3146" t="str">
        <f>""</f>
        <v/>
      </c>
      <c r="F3146" t="str">
        <f>""</f>
        <v/>
      </c>
      <c r="H3146" t="str">
        <f t="shared" si="78"/>
        <v>TEXAS COUNTY &amp; DISTRICT RET</v>
      </c>
    </row>
    <row r="3147" spans="5:8" x14ac:dyDescent="0.25">
      <c r="E3147" t="str">
        <f>""</f>
        <v/>
      </c>
      <c r="F3147" t="str">
        <f>""</f>
        <v/>
      </c>
      <c r="H3147" t="str">
        <f t="shared" si="78"/>
        <v>TEXAS COUNTY &amp; DISTRICT RET</v>
      </c>
    </row>
    <row r="3148" spans="5:8" x14ac:dyDescent="0.25">
      <c r="E3148" t="str">
        <f>""</f>
        <v/>
      </c>
      <c r="F3148" t="str">
        <f>""</f>
        <v/>
      </c>
      <c r="H3148" t="str">
        <f t="shared" si="78"/>
        <v>TEXAS COUNTY &amp; DISTRICT RET</v>
      </c>
    </row>
    <row r="3149" spans="5:8" x14ac:dyDescent="0.25">
      <c r="E3149" t="str">
        <f>""</f>
        <v/>
      </c>
      <c r="F3149" t="str">
        <f>""</f>
        <v/>
      </c>
      <c r="H3149" t="str">
        <f t="shared" si="78"/>
        <v>TEXAS COUNTY &amp; DISTRICT RET</v>
      </c>
    </row>
    <row r="3150" spans="5:8" x14ac:dyDescent="0.25">
      <c r="E3150" t="str">
        <f>""</f>
        <v/>
      </c>
      <c r="F3150" t="str">
        <f>""</f>
        <v/>
      </c>
      <c r="H3150" t="str">
        <f t="shared" si="78"/>
        <v>TEXAS COUNTY &amp; DISTRICT RET</v>
      </c>
    </row>
    <row r="3151" spans="5:8" x14ac:dyDescent="0.25">
      <c r="E3151" t="str">
        <f>""</f>
        <v/>
      </c>
      <c r="F3151" t="str">
        <f>""</f>
        <v/>
      </c>
      <c r="H3151" t="str">
        <f t="shared" si="78"/>
        <v>TEXAS COUNTY &amp; DISTRICT RET</v>
      </c>
    </row>
    <row r="3152" spans="5:8" x14ac:dyDescent="0.25">
      <c r="E3152" t="str">
        <f>""</f>
        <v/>
      </c>
      <c r="F3152" t="str">
        <f>""</f>
        <v/>
      </c>
      <c r="H3152" t="str">
        <f t="shared" si="78"/>
        <v>TEXAS COUNTY &amp; DISTRICT RET</v>
      </c>
    </row>
    <row r="3153" spans="5:8" x14ac:dyDescent="0.25">
      <c r="E3153" t="str">
        <f>""</f>
        <v/>
      </c>
      <c r="F3153" t="str">
        <f>""</f>
        <v/>
      </c>
      <c r="H3153" t="str">
        <f t="shared" si="78"/>
        <v>TEXAS COUNTY &amp; DISTRICT RET</v>
      </c>
    </row>
    <row r="3154" spans="5:8" x14ac:dyDescent="0.25">
      <c r="E3154" t="str">
        <f>""</f>
        <v/>
      </c>
      <c r="F3154" t="str">
        <f>""</f>
        <v/>
      </c>
      <c r="H3154" t="str">
        <f t="shared" si="78"/>
        <v>TEXAS COUNTY &amp; DISTRICT RET</v>
      </c>
    </row>
    <row r="3155" spans="5:8" x14ac:dyDescent="0.25">
      <c r="E3155" t="str">
        <f>""</f>
        <v/>
      </c>
      <c r="F3155" t="str">
        <f>""</f>
        <v/>
      </c>
      <c r="H3155" t="str">
        <f t="shared" si="78"/>
        <v>TEXAS COUNTY &amp; DISTRICT RET</v>
      </c>
    </row>
    <row r="3156" spans="5:8" x14ac:dyDescent="0.25">
      <c r="E3156" t="str">
        <f>""</f>
        <v/>
      </c>
      <c r="F3156" t="str">
        <f>""</f>
        <v/>
      </c>
      <c r="H3156" t="str">
        <f t="shared" si="78"/>
        <v>TEXAS COUNTY &amp; DISTRICT RET</v>
      </c>
    </row>
    <row r="3157" spans="5:8" x14ac:dyDescent="0.25">
      <c r="E3157" t="str">
        <f>""</f>
        <v/>
      </c>
      <c r="F3157" t="str">
        <f>""</f>
        <v/>
      </c>
      <c r="H3157" t="str">
        <f t="shared" si="78"/>
        <v>TEXAS COUNTY &amp; DISTRICT RET</v>
      </c>
    </row>
    <row r="3158" spans="5:8" x14ac:dyDescent="0.25">
      <c r="E3158" t="str">
        <f>""</f>
        <v/>
      </c>
      <c r="F3158" t="str">
        <f>""</f>
        <v/>
      </c>
      <c r="H3158" t="str">
        <f t="shared" si="78"/>
        <v>TEXAS COUNTY &amp; DISTRICT RET</v>
      </c>
    </row>
    <row r="3159" spans="5:8" x14ac:dyDescent="0.25">
      <c r="E3159" t="str">
        <f>""</f>
        <v/>
      </c>
      <c r="F3159" t="str">
        <f>""</f>
        <v/>
      </c>
      <c r="H3159" t="str">
        <f t="shared" si="78"/>
        <v>TEXAS COUNTY &amp; DISTRICT RET</v>
      </c>
    </row>
    <row r="3160" spans="5:8" x14ac:dyDescent="0.25">
      <c r="E3160" t="str">
        <f>""</f>
        <v/>
      </c>
      <c r="F3160" t="str">
        <f>""</f>
        <v/>
      </c>
      <c r="H3160" t="str">
        <f t="shared" si="78"/>
        <v>TEXAS COUNTY &amp; DISTRICT RET</v>
      </c>
    </row>
    <row r="3161" spans="5:8" x14ac:dyDescent="0.25">
      <c r="E3161" t="str">
        <f>""</f>
        <v/>
      </c>
      <c r="F3161" t="str">
        <f>""</f>
        <v/>
      </c>
      <c r="H3161" t="str">
        <f t="shared" si="78"/>
        <v>TEXAS COUNTY &amp; DISTRICT RET</v>
      </c>
    </row>
    <row r="3162" spans="5:8" x14ac:dyDescent="0.25">
      <c r="E3162" t="str">
        <f>""</f>
        <v/>
      </c>
      <c r="F3162" t="str">
        <f>""</f>
        <v/>
      </c>
      <c r="H3162" t="str">
        <f t="shared" si="78"/>
        <v>TEXAS COUNTY &amp; DISTRICT RET</v>
      </c>
    </row>
    <row r="3163" spans="5:8" x14ac:dyDescent="0.25">
      <c r="E3163" t="str">
        <f>""</f>
        <v/>
      </c>
      <c r="F3163" t="str">
        <f>""</f>
        <v/>
      </c>
      <c r="H3163" t="str">
        <f t="shared" si="78"/>
        <v>TEXAS COUNTY &amp; DISTRICT RET</v>
      </c>
    </row>
    <row r="3164" spans="5:8" x14ac:dyDescent="0.25">
      <c r="E3164" t="str">
        <f>""</f>
        <v/>
      </c>
      <c r="F3164" t="str">
        <f>""</f>
        <v/>
      </c>
      <c r="H3164" t="str">
        <f t="shared" si="78"/>
        <v>TEXAS COUNTY &amp; DISTRICT RET</v>
      </c>
    </row>
    <row r="3165" spans="5:8" x14ac:dyDescent="0.25">
      <c r="E3165" t="str">
        <f>""</f>
        <v/>
      </c>
      <c r="F3165" t="str">
        <f>""</f>
        <v/>
      </c>
      <c r="H3165" t="str">
        <f t="shared" si="78"/>
        <v>TEXAS COUNTY &amp; DISTRICT RET</v>
      </c>
    </row>
    <row r="3166" spans="5:8" x14ac:dyDescent="0.25">
      <c r="E3166" t="str">
        <f>""</f>
        <v/>
      </c>
      <c r="F3166" t="str">
        <f>""</f>
        <v/>
      </c>
      <c r="H3166" t="str">
        <f t="shared" si="78"/>
        <v>TEXAS COUNTY &amp; DISTRICT RET</v>
      </c>
    </row>
    <row r="3167" spans="5:8" x14ac:dyDescent="0.25">
      <c r="E3167" t="str">
        <f>""</f>
        <v/>
      </c>
      <c r="F3167" t="str">
        <f>""</f>
        <v/>
      </c>
      <c r="H3167" t="str">
        <f t="shared" si="78"/>
        <v>TEXAS COUNTY &amp; DISTRICT RET</v>
      </c>
    </row>
    <row r="3168" spans="5:8" x14ac:dyDescent="0.25">
      <c r="E3168" t="str">
        <f>""</f>
        <v/>
      </c>
      <c r="F3168" t="str">
        <f>""</f>
        <v/>
      </c>
      <c r="H3168" t="str">
        <f t="shared" si="78"/>
        <v>TEXAS COUNTY &amp; DISTRICT RET</v>
      </c>
    </row>
    <row r="3169" spans="5:8" x14ac:dyDescent="0.25">
      <c r="E3169" t="str">
        <f>""</f>
        <v/>
      </c>
      <c r="F3169" t="str">
        <f>""</f>
        <v/>
      </c>
      <c r="H3169" t="str">
        <f t="shared" si="78"/>
        <v>TEXAS COUNTY &amp; DISTRICT RET</v>
      </c>
    </row>
    <row r="3170" spans="5:8" x14ac:dyDescent="0.25">
      <c r="E3170" t="str">
        <f>""</f>
        <v/>
      </c>
      <c r="F3170" t="str">
        <f>""</f>
        <v/>
      </c>
      <c r="H3170" t="str">
        <f t="shared" si="78"/>
        <v>TEXAS COUNTY &amp; DISTRICT RET</v>
      </c>
    </row>
    <row r="3171" spans="5:8" x14ac:dyDescent="0.25">
      <c r="E3171" t="str">
        <f>""</f>
        <v/>
      </c>
      <c r="F3171" t="str">
        <f>""</f>
        <v/>
      </c>
      <c r="H3171" t="str">
        <f t="shared" si="78"/>
        <v>TEXAS COUNTY &amp; DISTRICT RET</v>
      </c>
    </row>
    <row r="3172" spans="5:8" x14ac:dyDescent="0.25">
      <c r="E3172" t="str">
        <f>""</f>
        <v/>
      </c>
      <c r="F3172" t="str">
        <f>""</f>
        <v/>
      </c>
      <c r="H3172" t="str">
        <f t="shared" ref="H3172:H3193" si="79">"TEXAS COUNTY &amp; DISTRICT RET"</f>
        <v>TEXAS COUNTY &amp; DISTRICT RET</v>
      </c>
    </row>
    <row r="3173" spans="5:8" x14ac:dyDescent="0.25">
      <c r="E3173" t="str">
        <f>""</f>
        <v/>
      </c>
      <c r="F3173" t="str">
        <f>""</f>
        <v/>
      </c>
      <c r="H3173" t="str">
        <f t="shared" si="79"/>
        <v>TEXAS COUNTY &amp; DISTRICT RET</v>
      </c>
    </row>
    <row r="3174" spans="5:8" x14ac:dyDescent="0.25">
      <c r="E3174" t="str">
        <f>""</f>
        <v/>
      </c>
      <c r="F3174" t="str">
        <f>""</f>
        <v/>
      </c>
      <c r="H3174" t="str">
        <f t="shared" si="79"/>
        <v>TEXAS COUNTY &amp; DISTRICT RET</v>
      </c>
    </row>
    <row r="3175" spans="5:8" x14ac:dyDescent="0.25">
      <c r="E3175" t="str">
        <f>""</f>
        <v/>
      </c>
      <c r="F3175" t="str">
        <f>""</f>
        <v/>
      </c>
      <c r="H3175" t="str">
        <f t="shared" si="79"/>
        <v>TEXAS COUNTY &amp; DISTRICT RET</v>
      </c>
    </row>
    <row r="3176" spans="5:8" x14ac:dyDescent="0.25">
      <c r="E3176" t="str">
        <f>""</f>
        <v/>
      </c>
      <c r="F3176" t="str">
        <f>""</f>
        <v/>
      </c>
      <c r="H3176" t="str">
        <f t="shared" si="79"/>
        <v>TEXAS COUNTY &amp; DISTRICT RET</v>
      </c>
    </row>
    <row r="3177" spans="5:8" x14ac:dyDescent="0.25">
      <c r="E3177" t="str">
        <f>""</f>
        <v/>
      </c>
      <c r="F3177" t="str">
        <f>""</f>
        <v/>
      </c>
      <c r="H3177" t="str">
        <f t="shared" si="79"/>
        <v>TEXAS COUNTY &amp; DISTRICT RET</v>
      </c>
    </row>
    <row r="3178" spans="5:8" x14ac:dyDescent="0.25">
      <c r="E3178" t="str">
        <f>""</f>
        <v/>
      </c>
      <c r="F3178" t="str">
        <f>""</f>
        <v/>
      </c>
      <c r="H3178" t="str">
        <f t="shared" si="79"/>
        <v>TEXAS COUNTY &amp; DISTRICT RET</v>
      </c>
    </row>
    <row r="3179" spans="5:8" x14ac:dyDescent="0.25">
      <c r="E3179" t="str">
        <f>""</f>
        <v/>
      </c>
      <c r="F3179" t="str">
        <f>""</f>
        <v/>
      </c>
      <c r="H3179" t="str">
        <f t="shared" si="79"/>
        <v>TEXAS COUNTY &amp; DISTRICT RET</v>
      </c>
    </row>
    <row r="3180" spans="5:8" x14ac:dyDescent="0.25">
      <c r="E3180" t="str">
        <f>""</f>
        <v/>
      </c>
      <c r="F3180" t="str">
        <f>""</f>
        <v/>
      </c>
      <c r="H3180" t="str">
        <f t="shared" si="79"/>
        <v>TEXAS COUNTY &amp; DISTRICT RET</v>
      </c>
    </row>
    <row r="3181" spans="5:8" x14ac:dyDescent="0.25">
      <c r="E3181" t="str">
        <f>""</f>
        <v/>
      </c>
      <c r="F3181" t="str">
        <f>""</f>
        <v/>
      </c>
      <c r="H3181" t="str">
        <f t="shared" si="79"/>
        <v>TEXAS COUNTY &amp; DISTRICT RET</v>
      </c>
    </row>
    <row r="3182" spans="5:8" x14ac:dyDescent="0.25">
      <c r="E3182" t="str">
        <f>""</f>
        <v/>
      </c>
      <c r="F3182" t="str">
        <f>""</f>
        <v/>
      </c>
      <c r="H3182" t="str">
        <f t="shared" si="79"/>
        <v>TEXAS COUNTY &amp; DISTRICT RET</v>
      </c>
    </row>
    <row r="3183" spans="5:8" x14ac:dyDescent="0.25">
      <c r="E3183" t="str">
        <f>""</f>
        <v/>
      </c>
      <c r="F3183" t="str">
        <f>""</f>
        <v/>
      </c>
      <c r="H3183" t="str">
        <f t="shared" si="79"/>
        <v>TEXAS COUNTY &amp; DISTRICT RET</v>
      </c>
    </row>
    <row r="3184" spans="5:8" x14ac:dyDescent="0.25">
      <c r="E3184" t="str">
        <f>""</f>
        <v/>
      </c>
      <c r="F3184" t="str">
        <f>""</f>
        <v/>
      </c>
      <c r="H3184" t="str">
        <f t="shared" si="79"/>
        <v>TEXAS COUNTY &amp; DISTRICT RET</v>
      </c>
    </row>
    <row r="3185" spans="1:8" x14ac:dyDescent="0.25">
      <c r="E3185" t="str">
        <f>""</f>
        <v/>
      </c>
      <c r="F3185" t="str">
        <f>""</f>
        <v/>
      </c>
      <c r="H3185" t="str">
        <f t="shared" si="79"/>
        <v>TEXAS COUNTY &amp; DISTRICT RET</v>
      </c>
    </row>
    <row r="3186" spans="1:8" x14ac:dyDescent="0.25">
      <c r="E3186" t="str">
        <f>""</f>
        <v/>
      </c>
      <c r="F3186" t="str">
        <f>""</f>
        <v/>
      </c>
      <c r="H3186" t="str">
        <f t="shared" si="79"/>
        <v>TEXAS COUNTY &amp; DISTRICT RET</v>
      </c>
    </row>
    <row r="3187" spans="1:8" x14ac:dyDescent="0.25">
      <c r="E3187" t="str">
        <f>""</f>
        <v/>
      </c>
      <c r="F3187" t="str">
        <f>""</f>
        <v/>
      </c>
      <c r="H3187" t="str">
        <f t="shared" si="79"/>
        <v>TEXAS COUNTY &amp; DISTRICT RET</v>
      </c>
    </row>
    <row r="3188" spans="1:8" x14ac:dyDescent="0.25">
      <c r="E3188" t="str">
        <f>""</f>
        <v/>
      </c>
      <c r="F3188" t="str">
        <f>""</f>
        <v/>
      </c>
      <c r="H3188" t="str">
        <f t="shared" si="79"/>
        <v>TEXAS COUNTY &amp; DISTRICT RET</v>
      </c>
    </row>
    <row r="3189" spans="1:8" x14ac:dyDescent="0.25">
      <c r="E3189" t="str">
        <f>""</f>
        <v/>
      </c>
      <c r="F3189" t="str">
        <f>""</f>
        <v/>
      </c>
      <c r="H3189" t="str">
        <f t="shared" si="79"/>
        <v>TEXAS COUNTY &amp; DISTRICT RET</v>
      </c>
    </row>
    <row r="3190" spans="1:8" x14ac:dyDescent="0.25">
      <c r="E3190" t="str">
        <f>""</f>
        <v/>
      </c>
      <c r="F3190" t="str">
        <f>""</f>
        <v/>
      </c>
      <c r="H3190" t="str">
        <f t="shared" si="79"/>
        <v>TEXAS COUNTY &amp; DISTRICT RET</v>
      </c>
    </row>
    <row r="3191" spans="1:8" x14ac:dyDescent="0.25">
      <c r="E3191" t="str">
        <f>""</f>
        <v/>
      </c>
      <c r="F3191" t="str">
        <f>""</f>
        <v/>
      </c>
      <c r="H3191" t="str">
        <f t="shared" si="79"/>
        <v>TEXAS COUNTY &amp; DISTRICT RET</v>
      </c>
    </row>
    <row r="3192" spans="1:8" x14ac:dyDescent="0.25">
      <c r="E3192" t="str">
        <f>""</f>
        <v/>
      </c>
      <c r="F3192" t="str">
        <f>""</f>
        <v/>
      </c>
      <c r="H3192" t="str">
        <f t="shared" si="79"/>
        <v>TEXAS COUNTY &amp; DISTRICT RET</v>
      </c>
    </row>
    <row r="3193" spans="1:8" x14ac:dyDescent="0.25">
      <c r="E3193" t="str">
        <f>""</f>
        <v/>
      </c>
      <c r="F3193" t="str">
        <f>""</f>
        <v/>
      </c>
      <c r="H3193" t="str">
        <f t="shared" si="79"/>
        <v>TEXAS COUNTY &amp; DISTRICT RET</v>
      </c>
    </row>
    <row r="3194" spans="1:8" x14ac:dyDescent="0.25">
      <c r="E3194" t="str">
        <f>"RET202104272850"</f>
        <v>RET202104272850</v>
      </c>
      <c r="F3194" t="str">
        <f>"TEXAS COUNTY  DISTRICT RET"</f>
        <v>TEXAS COUNTY  DISTRICT RET</v>
      </c>
      <c r="G3194" s="1">
        <v>6204.43</v>
      </c>
      <c r="H3194" t="str">
        <f>"TEXAS COUNTY  DISTRICT RET"</f>
        <v>TEXAS COUNTY  DISTRICT RET</v>
      </c>
    </row>
    <row r="3195" spans="1:8" x14ac:dyDescent="0.25">
      <c r="E3195" t="str">
        <f>""</f>
        <v/>
      </c>
      <c r="F3195" t="str">
        <f>""</f>
        <v/>
      </c>
      <c r="H3195" t="str">
        <f>"TEXAS COUNTY  DISTRICT RET"</f>
        <v>TEXAS COUNTY  DISTRICT RET</v>
      </c>
    </row>
    <row r="3196" spans="1:8" x14ac:dyDescent="0.25">
      <c r="E3196" t="str">
        <f>"RET202104272851"</f>
        <v>RET202104272851</v>
      </c>
      <c r="F3196" t="str">
        <f>"TEXAS COUNTY &amp; DISTRICT RET"</f>
        <v>TEXAS COUNTY &amp; DISTRICT RET</v>
      </c>
      <c r="G3196" s="1">
        <v>7195.05</v>
      </c>
      <c r="H3196" t="str">
        <f>"TEXAS COUNTY &amp; DISTRICT RET"</f>
        <v>TEXAS COUNTY &amp; DISTRICT RET</v>
      </c>
    </row>
    <row r="3197" spans="1:8" x14ac:dyDescent="0.25">
      <c r="E3197" t="str">
        <f>""</f>
        <v/>
      </c>
      <c r="F3197" t="str">
        <f>""</f>
        <v/>
      </c>
      <c r="H3197" t="str">
        <f>"TEXAS COUNTY &amp; DISTRICT RET"</f>
        <v>TEXAS COUNTY &amp; DISTRICT RET</v>
      </c>
    </row>
    <row r="3198" spans="1:8" x14ac:dyDescent="0.25">
      <c r="A3198" t="s">
        <v>389</v>
      </c>
      <c r="B3198">
        <v>48344</v>
      </c>
      <c r="C3198" s="1">
        <v>1696</v>
      </c>
      <c r="D3198" s="6">
        <v>44312</v>
      </c>
      <c r="E3198" t="str">
        <f>"LEG202103302364"</f>
        <v>LEG202103302364</v>
      </c>
      <c r="F3198" t="str">
        <f t="shared" ref="F3198:F3203" si="80">"TEXAS LEGAL PROTECTION PLAN"</f>
        <v>TEXAS LEGAL PROTECTION PLAN</v>
      </c>
      <c r="G3198" s="1">
        <v>330</v>
      </c>
      <c r="H3198" t="str">
        <f t="shared" ref="H3198:H3203" si="81">"TEXAS LEGAL PROTECTION PLAN"</f>
        <v>TEXAS LEGAL PROTECTION PLAN</v>
      </c>
    </row>
    <row r="3199" spans="1:8" x14ac:dyDescent="0.25">
      <c r="E3199" t="str">
        <f>"LEG202103302365"</f>
        <v>LEG202103302365</v>
      </c>
      <c r="F3199" t="str">
        <f t="shared" si="80"/>
        <v>TEXAS LEGAL PROTECTION PLAN</v>
      </c>
      <c r="G3199" s="1">
        <v>6</v>
      </c>
      <c r="H3199" t="str">
        <f t="shared" si="81"/>
        <v>TEXAS LEGAL PROTECTION PLAN</v>
      </c>
    </row>
    <row r="3200" spans="1:8" x14ac:dyDescent="0.25">
      <c r="E3200" t="str">
        <f>"LEG202104142603"</f>
        <v>LEG202104142603</v>
      </c>
      <c r="F3200" t="str">
        <f t="shared" si="80"/>
        <v>TEXAS LEGAL PROTECTION PLAN</v>
      </c>
      <c r="G3200" s="1">
        <v>330</v>
      </c>
      <c r="H3200" t="str">
        <f t="shared" si="81"/>
        <v>TEXAS LEGAL PROTECTION PLAN</v>
      </c>
    </row>
    <row r="3201" spans="1:8" x14ac:dyDescent="0.25">
      <c r="E3201" t="str">
        <f>"LEG202104142604"</f>
        <v>LEG202104142604</v>
      </c>
      <c r="F3201" t="str">
        <f t="shared" si="80"/>
        <v>TEXAS LEGAL PROTECTION PLAN</v>
      </c>
      <c r="G3201" s="1">
        <v>6</v>
      </c>
      <c r="H3201" t="str">
        <f t="shared" si="81"/>
        <v>TEXAS LEGAL PROTECTION PLAN</v>
      </c>
    </row>
    <row r="3202" spans="1:8" x14ac:dyDescent="0.25">
      <c r="E3202" t="str">
        <f>"LGF202103302364"</f>
        <v>LGF202103302364</v>
      </c>
      <c r="F3202" t="str">
        <f t="shared" si="80"/>
        <v>TEXAS LEGAL PROTECTION PLAN</v>
      </c>
      <c r="G3202" s="1">
        <v>512</v>
      </c>
      <c r="H3202" t="str">
        <f t="shared" si="81"/>
        <v>TEXAS LEGAL PROTECTION PLAN</v>
      </c>
    </row>
    <row r="3203" spans="1:8" x14ac:dyDescent="0.25">
      <c r="E3203" t="str">
        <f>"LGF202104142603"</f>
        <v>LGF202104142603</v>
      </c>
      <c r="F3203" t="str">
        <f t="shared" si="80"/>
        <v>TEXAS LEGAL PROTECTION PLAN</v>
      </c>
      <c r="G3203" s="1">
        <v>512</v>
      </c>
      <c r="H3203" t="str">
        <f t="shared" si="81"/>
        <v>TEXAS LEGAL PROTECTION PLAN</v>
      </c>
    </row>
    <row r="3204" spans="1:8" x14ac:dyDescent="0.25">
      <c r="A3204" t="s">
        <v>390</v>
      </c>
      <c r="B3204">
        <v>1029</v>
      </c>
      <c r="C3204" s="1">
        <v>92.9</v>
      </c>
      <c r="D3204" s="6">
        <v>44305</v>
      </c>
      <c r="E3204" t="str">
        <f>"202104152632"</f>
        <v>202104152632</v>
      </c>
      <c r="F3204" t="str">
        <f t="shared" ref="F3204:F3210" si="82">"ACCT#72-5613 / 04032021"</f>
        <v>ACCT#72-5613 / 04032021</v>
      </c>
      <c r="G3204" s="1">
        <v>92.9</v>
      </c>
      <c r="H3204" t="str">
        <f t="shared" ref="H3204:H3240" si="83">"ACCT#72-5613 / 04032021"</f>
        <v>ACCT#72-5613 / 04032021</v>
      </c>
    </row>
    <row r="3205" spans="1:8" x14ac:dyDescent="0.25">
      <c r="A3205" t="s">
        <v>27</v>
      </c>
      <c r="B3205">
        <v>1020</v>
      </c>
      <c r="C3205" s="1">
        <v>146.83000000000001</v>
      </c>
      <c r="D3205" s="6">
        <v>44305</v>
      </c>
      <c r="E3205" t="str">
        <f>"202104152623"</f>
        <v>202104152623</v>
      </c>
      <c r="F3205" t="str">
        <f t="shared" si="82"/>
        <v>ACCT#72-5613 / 04032021</v>
      </c>
      <c r="G3205" s="1">
        <v>146.83000000000001</v>
      </c>
      <c r="H3205" t="str">
        <f t="shared" si="83"/>
        <v>ACCT#72-5613 / 04032021</v>
      </c>
    </row>
    <row r="3206" spans="1:8" x14ac:dyDescent="0.25">
      <c r="A3206" t="s">
        <v>391</v>
      </c>
      <c r="B3206">
        <v>1009</v>
      </c>
      <c r="C3206" s="1">
        <v>10.99</v>
      </c>
      <c r="D3206" s="6">
        <v>44305</v>
      </c>
      <c r="E3206" t="str">
        <f>"202104152613"</f>
        <v>202104152613</v>
      </c>
      <c r="F3206" t="str">
        <f t="shared" si="82"/>
        <v>ACCT#72-5613 / 04032021</v>
      </c>
      <c r="G3206" s="1">
        <v>10.99</v>
      </c>
      <c r="H3206" t="str">
        <f t="shared" si="83"/>
        <v>ACCT#72-5613 / 04032021</v>
      </c>
    </row>
    <row r="3207" spans="1:8" x14ac:dyDescent="0.25">
      <c r="A3207" t="s">
        <v>392</v>
      </c>
      <c r="B3207">
        <v>1005</v>
      </c>
      <c r="C3207" s="1">
        <v>168.75</v>
      </c>
      <c r="D3207" s="6">
        <v>44305</v>
      </c>
      <c r="E3207" t="str">
        <f>"202104152608"</f>
        <v>202104152608</v>
      </c>
      <c r="F3207" t="str">
        <f t="shared" si="82"/>
        <v>ACCT#72-5613 / 04032021</v>
      </c>
      <c r="G3207" s="1">
        <v>168.75</v>
      </c>
      <c r="H3207" t="str">
        <f t="shared" si="83"/>
        <v>ACCT#72-5613 / 04032021</v>
      </c>
    </row>
    <row r="3208" spans="1:8" x14ac:dyDescent="0.25">
      <c r="A3208" t="s">
        <v>38</v>
      </c>
      <c r="B3208">
        <v>1021</v>
      </c>
      <c r="C3208" s="1">
        <v>97</v>
      </c>
      <c r="D3208" s="6">
        <v>44305</v>
      </c>
      <c r="E3208" t="str">
        <f>"202104152624"</f>
        <v>202104152624</v>
      </c>
      <c r="F3208" t="str">
        <f t="shared" si="82"/>
        <v>ACCT#72-5613 / 04032021</v>
      </c>
      <c r="G3208" s="1">
        <v>97</v>
      </c>
      <c r="H3208" t="str">
        <f t="shared" si="83"/>
        <v>ACCT#72-5613 / 04032021</v>
      </c>
    </row>
    <row r="3209" spans="1:8" x14ac:dyDescent="0.25">
      <c r="A3209" t="s">
        <v>393</v>
      </c>
      <c r="B3209">
        <v>1014</v>
      </c>
      <c r="C3209" s="1">
        <v>129.99</v>
      </c>
      <c r="D3209" s="6">
        <v>44305</v>
      </c>
      <c r="E3209" t="str">
        <f>"202104152617"</f>
        <v>202104152617</v>
      </c>
      <c r="F3209" t="str">
        <f t="shared" si="82"/>
        <v>ACCT#72-5613 / 04032021</v>
      </c>
      <c r="G3209" s="1">
        <v>129.99</v>
      </c>
      <c r="H3209" t="str">
        <f t="shared" si="83"/>
        <v>ACCT#72-5613 / 04032021</v>
      </c>
    </row>
    <row r="3210" spans="1:8" x14ac:dyDescent="0.25">
      <c r="A3210" t="s">
        <v>394</v>
      </c>
      <c r="B3210">
        <v>1011</v>
      </c>
      <c r="C3210" s="1">
        <v>367.17</v>
      </c>
      <c r="D3210" s="6">
        <v>44305</v>
      </c>
      <c r="E3210" t="str">
        <f>"202104152615"</f>
        <v>202104152615</v>
      </c>
      <c r="F3210" t="str">
        <f t="shared" si="82"/>
        <v>ACCT#72-5613 / 04032021</v>
      </c>
      <c r="G3210" s="1">
        <v>367.17</v>
      </c>
      <c r="H3210" t="str">
        <f t="shared" si="83"/>
        <v>ACCT#72-5613 / 04032021</v>
      </c>
    </row>
    <row r="3211" spans="1:8" x14ac:dyDescent="0.25">
      <c r="E3211" t="str">
        <f>""</f>
        <v/>
      </c>
      <c r="F3211" t="str">
        <f>""</f>
        <v/>
      </c>
      <c r="H3211" t="str">
        <f t="shared" si="83"/>
        <v>ACCT#72-5613 / 04032021</v>
      </c>
    </row>
    <row r="3212" spans="1:8" x14ac:dyDescent="0.25">
      <c r="E3212" t="str">
        <f>""</f>
        <v/>
      </c>
      <c r="F3212" t="str">
        <f>""</f>
        <v/>
      </c>
      <c r="H3212" t="str">
        <f t="shared" si="83"/>
        <v>ACCT#72-5613 / 04032021</v>
      </c>
    </row>
    <row r="3213" spans="1:8" x14ac:dyDescent="0.25">
      <c r="A3213" t="s">
        <v>395</v>
      </c>
      <c r="B3213">
        <v>1022</v>
      </c>
      <c r="C3213" s="1">
        <v>14.42</v>
      </c>
      <c r="D3213" s="6">
        <v>44305</v>
      </c>
      <c r="E3213" t="str">
        <f>"202104152625"</f>
        <v>202104152625</v>
      </c>
      <c r="F3213" t="str">
        <f t="shared" ref="F3213:F3218" si="84">"ACCT#72-5613 / 04032021"</f>
        <v>ACCT#72-5613 / 04032021</v>
      </c>
      <c r="G3213" s="1">
        <v>14.42</v>
      </c>
      <c r="H3213" t="str">
        <f t="shared" si="83"/>
        <v>ACCT#72-5613 / 04032021</v>
      </c>
    </row>
    <row r="3214" spans="1:8" x14ac:dyDescent="0.25">
      <c r="A3214" t="s">
        <v>108</v>
      </c>
      <c r="B3214">
        <v>1026</v>
      </c>
      <c r="C3214" s="1">
        <v>67.5</v>
      </c>
      <c r="D3214" s="6">
        <v>44305</v>
      </c>
      <c r="E3214" t="str">
        <f>"202104152629"</f>
        <v>202104152629</v>
      </c>
      <c r="F3214" t="str">
        <f t="shared" si="84"/>
        <v>ACCT#72-5613 / 04032021</v>
      </c>
      <c r="G3214" s="1">
        <v>67.5</v>
      </c>
      <c r="H3214" t="str">
        <f t="shared" si="83"/>
        <v>ACCT#72-5613 / 04032021</v>
      </c>
    </row>
    <row r="3215" spans="1:8" x14ac:dyDescent="0.25">
      <c r="A3215" t="s">
        <v>128</v>
      </c>
      <c r="B3215">
        <v>1006</v>
      </c>
      <c r="C3215" s="1">
        <v>1464.98</v>
      </c>
      <c r="D3215" s="6">
        <v>44305</v>
      </c>
      <c r="E3215" t="str">
        <f>"202104152609"</f>
        <v>202104152609</v>
      </c>
      <c r="F3215" t="str">
        <f t="shared" si="84"/>
        <v>ACCT#72-5613 / 04032021</v>
      </c>
      <c r="G3215" s="1">
        <v>1464.98</v>
      </c>
      <c r="H3215" t="str">
        <f t="shared" si="83"/>
        <v>ACCT#72-5613 / 04032021</v>
      </c>
    </row>
    <row r="3216" spans="1:8" x14ac:dyDescent="0.25">
      <c r="A3216" t="s">
        <v>133</v>
      </c>
      <c r="B3216">
        <v>1030</v>
      </c>
      <c r="C3216" s="1">
        <v>103.47</v>
      </c>
      <c r="D3216" s="6">
        <v>44305</v>
      </c>
      <c r="E3216" t="str">
        <f>"202104152633"</f>
        <v>202104152633</v>
      </c>
      <c r="F3216" t="str">
        <f t="shared" si="84"/>
        <v>ACCT#72-5613 / 04032021</v>
      </c>
      <c r="G3216" s="1">
        <v>103.47</v>
      </c>
      <c r="H3216" t="str">
        <f t="shared" si="83"/>
        <v>ACCT#72-5613 / 04032021</v>
      </c>
    </row>
    <row r="3217" spans="1:8" x14ac:dyDescent="0.25">
      <c r="A3217" t="s">
        <v>396</v>
      </c>
      <c r="B3217">
        <v>1028</v>
      </c>
      <c r="C3217" s="1">
        <v>43.99</v>
      </c>
      <c r="D3217" s="6">
        <v>44305</v>
      </c>
      <c r="E3217" t="str">
        <f>"202104152631"</f>
        <v>202104152631</v>
      </c>
      <c r="F3217" t="str">
        <f t="shared" si="84"/>
        <v>ACCT#72-5613 / 04032021</v>
      </c>
      <c r="G3217" s="1">
        <v>43.99</v>
      </c>
      <c r="H3217" t="str">
        <f t="shared" si="83"/>
        <v>ACCT#72-5613 / 04032021</v>
      </c>
    </row>
    <row r="3218" spans="1:8" x14ac:dyDescent="0.25">
      <c r="A3218" t="s">
        <v>163</v>
      </c>
      <c r="B3218">
        <v>1007</v>
      </c>
      <c r="C3218" s="1">
        <v>1978.43</v>
      </c>
      <c r="D3218" s="6">
        <v>44305</v>
      </c>
      <c r="E3218" t="str">
        <f>"202104152610"</f>
        <v>202104152610</v>
      </c>
      <c r="F3218" t="str">
        <f t="shared" si="84"/>
        <v>ACCT#72-5613 / 04032021</v>
      </c>
      <c r="G3218" s="1">
        <v>1978.43</v>
      </c>
      <c r="H3218" t="str">
        <f t="shared" si="83"/>
        <v>ACCT#72-5613 / 04032021</v>
      </c>
    </row>
    <row r="3219" spans="1:8" x14ac:dyDescent="0.25">
      <c r="E3219" t="str">
        <f>""</f>
        <v/>
      </c>
      <c r="F3219" t="str">
        <f>""</f>
        <v/>
      </c>
      <c r="H3219" t="str">
        <f t="shared" si="83"/>
        <v>ACCT#72-5613 / 04032021</v>
      </c>
    </row>
    <row r="3220" spans="1:8" x14ac:dyDescent="0.25">
      <c r="E3220" t="str">
        <f>""</f>
        <v/>
      </c>
      <c r="F3220" t="str">
        <f>""</f>
        <v/>
      </c>
      <c r="H3220" t="str">
        <f t="shared" si="83"/>
        <v>ACCT#72-5613 / 04032021</v>
      </c>
    </row>
    <row r="3221" spans="1:8" x14ac:dyDescent="0.25">
      <c r="E3221" t="str">
        <f>""</f>
        <v/>
      </c>
      <c r="F3221" t="str">
        <f>""</f>
        <v/>
      </c>
      <c r="H3221" t="str">
        <f t="shared" si="83"/>
        <v>ACCT#72-5613 / 04032021</v>
      </c>
    </row>
    <row r="3222" spans="1:8" x14ac:dyDescent="0.25">
      <c r="A3222" t="s">
        <v>212</v>
      </c>
      <c r="B3222">
        <v>1004</v>
      </c>
      <c r="C3222" s="1">
        <v>33.54</v>
      </c>
      <c r="D3222" s="6">
        <v>44305</v>
      </c>
      <c r="E3222" t="str">
        <f>"202104152607"</f>
        <v>202104152607</v>
      </c>
      <c r="F3222" t="str">
        <f t="shared" ref="F3222:F3232" si="85">"ACCT#72-5613 / 04032021"</f>
        <v>ACCT#72-5613 / 04032021</v>
      </c>
      <c r="G3222" s="1">
        <v>33.54</v>
      </c>
      <c r="H3222" t="str">
        <f t="shared" si="83"/>
        <v>ACCT#72-5613 / 04032021</v>
      </c>
    </row>
    <row r="3223" spans="1:8" x14ac:dyDescent="0.25">
      <c r="A3223" t="s">
        <v>397</v>
      </c>
      <c r="B3223">
        <v>1010</v>
      </c>
      <c r="C3223" s="1">
        <v>761.1</v>
      </c>
      <c r="D3223" s="6">
        <v>44305</v>
      </c>
      <c r="E3223" t="str">
        <f>"202104152614"</f>
        <v>202104152614</v>
      </c>
      <c r="F3223" t="str">
        <f t="shared" si="85"/>
        <v>ACCT#72-5613 / 04032021</v>
      </c>
      <c r="G3223" s="1">
        <v>761.1</v>
      </c>
      <c r="H3223" t="str">
        <f t="shared" si="83"/>
        <v>ACCT#72-5613 / 04032021</v>
      </c>
    </row>
    <row r="3224" spans="1:8" x14ac:dyDescent="0.25">
      <c r="A3224" t="s">
        <v>398</v>
      </c>
      <c r="B3224">
        <v>1017</v>
      </c>
      <c r="C3224" s="1">
        <v>738.34</v>
      </c>
      <c r="D3224" s="6">
        <v>44305</v>
      </c>
      <c r="E3224" t="str">
        <f>"202104152620"</f>
        <v>202104152620</v>
      </c>
      <c r="F3224" t="str">
        <f t="shared" si="85"/>
        <v>ACCT#72-5613 / 04032021</v>
      </c>
      <c r="G3224" s="1">
        <v>738.34</v>
      </c>
      <c r="H3224" t="str">
        <f t="shared" si="83"/>
        <v>ACCT#72-5613 / 04032021</v>
      </c>
    </row>
    <row r="3225" spans="1:8" x14ac:dyDescent="0.25">
      <c r="A3225" t="s">
        <v>399</v>
      </c>
      <c r="B3225">
        <v>1016</v>
      </c>
      <c r="C3225" s="1">
        <v>96</v>
      </c>
      <c r="D3225" s="6">
        <v>44305</v>
      </c>
      <c r="E3225" t="str">
        <f>"202104152619"</f>
        <v>202104152619</v>
      </c>
      <c r="F3225" t="str">
        <f t="shared" si="85"/>
        <v>ACCT#72-5613 / 04032021</v>
      </c>
      <c r="G3225" s="1">
        <v>96</v>
      </c>
      <c r="H3225" t="str">
        <f t="shared" si="83"/>
        <v>ACCT#72-5613 / 04032021</v>
      </c>
    </row>
    <row r="3226" spans="1:8" x14ac:dyDescent="0.25">
      <c r="A3226" t="s">
        <v>400</v>
      </c>
      <c r="B3226">
        <v>1013</v>
      </c>
      <c r="C3226" s="1">
        <v>12</v>
      </c>
      <c r="D3226" s="6">
        <v>44305</v>
      </c>
      <c r="E3226" t="str">
        <f>"202104152616"</f>
        <v>202104152616</v>
      </c>
      <c r="F3226" t="str">
        <f t="shared" si="85"/>
        <v>ACCT#72-5613 / 04032021</v>
      </c>
      <c r="G3226" s="1">
        <v>12</v>
      </c>
      <c r="H3226" t="str">
        <f t="shared" si="83"/>
        <v>ACCT#72-5613 / 04032021</v>
      </c>
    </row>
    <row r="3227" spans="1:8" x14ac:dyDescent="0.25">
      <c r="A3227" t="s">
        <v>283</v>
      </c>
      <c r="B3227">
        <v>1023</v>
      </c>
      <c r="C3227" s="1">
        <v>32.979999999999997</v>
      </c>
      <c r="D3227" s="6">
        <v>44305</v>
      </c>
      <c r="E3227" t="str">
        <f>"202104152626"</f>
        <v>202104152626</v>
      </c>
      <c r="F3227" t="str">
        <f t="shared" si="85"/>
        <v>ACCT#72-5613 / 04032021</v>
      </c>
      <c r="G3227" s="1">
        <v>32.979999999999997</v>
      </c>
      <c r="H3227" t="str">
        <f t="shared" si="83"/>
        <v>ACCT#72-5613 / 04032021</v>
      </c>
    </row>
    <row r="3228" spans="1:8" x14ac:dyDescent="0.25">
      <c r="A3228" t="s">
        <v>401</v>
      </c>
      <c r="B3228">
        <v>1018</v>
      </c>
      <c r="C3228" s="1">
        <v>2159.19</v>
      </c>
      <c r="D3228" s="6">
        <v>44305</v>
      </c>
      <c r="E3228" t="str">
        <f>"202104152621"</f>
        <v>202104152621</v>
      </c>
      <c r="F3228" t="str">
        <f t="shared" si="85"/>
        <v>ACCT#72-5613 / 04032021</v>
      </c>
      <c r="G3228" s="1">
        <v>2159.19</v>
      </c>
      <c r="H3228" t="str">
        <f t="shared" si="83"/>
        <v>ACCT#72-5613 / 04032021</v>
      </c>
    </row>
    <row r="3229" spans="1:8" x14ac:dyDescent="0.25">
      <c r="A3229" t="s">
        <v>294</v>
      </c>
      <c r="B3229">
        <v>1008</v>
      </c>
      <c r="C3229" s="1">
        <v>109.74</v>
      </c>
      <c r="D3229" s="6">
        <v>44305</v>
      </c>
      <c r="E3229" t="str">
        <f>"202104152612"</f>
        <v>202104152612</v>
      </c>
      <c r="F3229" t="str">
        <f t="shared" si="85"/>
        <v>ACCT#72-5613 / 04032021</v>
      </c>
      <c r="G3229" s="1">
        <v>109.74</v>
      </c>
      <c r="H3229" t="str">
        <f t="shared" si="83"/>
        <v>ACCT#72-5613 / 04032021</v>
      </c>
    </row>
    <row r="3230" spans="1:8" x14ac:dyDescent="0.25">
      <c r="A3230" t="s">
        <v>299</v>
      </c>
      <c r="B3230">
        <v>1024</v>
      </c>
      <c r="C3230" s="1">
        <v>32.799999999999997</v>
      </c>
      <c r="D3230" s="6">
        <v>44305</v>
      </c>
      <c r="E3230" t="str">
        <f>"202104152627"</f>
        <v>202104152627</v>
      </c>
      <c r="F3230" t="str">
        <f t="shared" si="85"/>
        <v>ACCT#72-5613 / 04032021</v>
      </c>
      <c r="G3230" s="1">
        <v>32.799999999999997</v>
      </c>
      <c r="H3230" t="str">
        <f t="shared" si="83"/>
        <v>ACCT#72-5613 / 04032021</v>
      </c>
    </row>
    <row r="3231" spans="1:8" x14ac:dyDescent="0.25">
      <c r="A3231" t="s">
        <v>402</v>
      </c>
      <c r="B3231">
        <v>1015</v>
      </c>
      <c r="C3231" s="1">
        <v>219.9</v>
      </c>
      <c r="D3231" s="6">
        <v>44305</v>
      </c>
      <c r="E3231" t="str">
        <f>"202104152618"</f>
        <v>202104152618</v>
      </c>
      <c r="F3231" t="str">
        <f t="shared" si="85"/>
        <v>ACCT#72-5613 / 04032021</v>
      </c>
      <c r="G3231" s="1">
        <v>219.9</v>
      </c>
      <c r="H3231" t="str">
        <f t="shared" si="83"/>
        <v>ACCT#72-5613 / 04032021</v>
      </c>
    </row>
    <row r="3232" spans="1:8" x14ac:dyDescent="0.25">
      <c r="A3232" t="s">
        <v>403</v>
      </c>
      <c r="B3232">
        <v>1012</v>
      </c>
      <c r="C3232" s="1">
        <v>49.3</v>
      </c>
      <c r="D3232" s="6">
        <v>44305</v>
      </c>
      <c r="E3232" t="str">
        <f>"202104152611"</f>
        <v>202104152611</v>
      </c>
      <c r="F3232" t="str">
        <f t="shared" si="85"/>
        <v>ACCT#72-5613 / 04032021</v>
      </c>
      <c r="G3232" s="1">
        <v>49.3</v>
      </c>
      <c r="H3232" t="str">
        <f t="shared" si="83"/>
        <v>ACCT#72-5613 / 04032021</v>
      </c>
    </row>
    <row r="3233" spans="1:8" x14ac:dyDescent="0.25">
      <c r="E3233" t="str">
        <f>""</f>
        <v/>
      </c>
      <c r="F3233" t="str">
        <f>""</f>
        <v/>
      </c>
      <c r="H3233" t="str">
        <f t="shared" si="83"/>
        <v>ACCT#72-5613 / 04032021</v>
      </c>
    </row>
    <row r="3234" spans="1:8" x14ac:dyDescent="0.25">
      <c r="E3234" t="str">
        <f>""</f>
        <v/>
      </c>
      <c r="F3234" t="str">
        <f>""</f>
        <v/>
      </c>
      <c r="H3234" t="str">
        <f t="shared" si="83"/>
        <v>ACCT#72-5613 / 04032021</v>
      </c>
    </row>
    <row r="3235" spans="1:8" x14ac:dyDescent="0.25">
      <c r="A3235" t="s">
        <v>340</v>
      </c>
      <c r="B3235">
        <v>1031</v>
      </c>
      <c r="C3235" s="1">
        <v>99.98</v>
      </c>
      <c r="D3235" s="6">
        <v>44305</v>
      </c>
      <c r="E3235" t="str">
        <f>"202104152634"</f>
        <v>202104152634</v>
      </c>
      <c r="F3235" t="str">
        <f t="shared" ref="F3235:F3240" si="86">"ACCT#72-5613 / 04032021"</f>
        <v>ACCT#72-5613 / 04032021</v>
      </c>
      <c r="G3235" s="1">
        <v>99.98</v>
      </c>
      <c r="H3235" t="str">
        <f t="shared" si="83"/>
        <v>ACCT#72-5613 / 04032021</v>
      </c>
    </row>
    <row r="3236" spans="1:8" x14ac:dyDescent="0.25">
      <c r="A3236" t="s">
        <v>404</v>
      </c>
      <c r="B3236">
        <v>1025</v>
      </c>
      <c r="C3236" s="1">
        <v>2082.38</v>
      </c>
      <c r="D3236" s="6">
        <v>44305</v>
      </c>
      <c r="E3236" t="str">
        <f>"202104152628"</f>
        <v>202104152628</v>
      </c>
      <c r="F3236" t="str">
        <f t="shared" si="86"/>
        <v>ACCT#72-5613 / 04032021</v>
      </c>
      <c r="G3236" s="1">
        <v>2082.38</v>
      </c>
      <c r="H3236" t="str">
        <f t="shared" si="83"/>
        <v>ACCT#72-5613 / 04032021</v>
      </c>
    </row>
    <row r="3237" spans="1:8" x14ac:dyDescent="0.25">
      <c r="A3237" t="s">
        <v>405</v>
      </c>
      <c r="B3237">
        <v>1027</v>
      </c>
      <c r="C3237" s="1">
        <v>719.8</v>
      </c>
      <c r="D3237" s="6">
        <v>44305</v>
      </c>
      <c r="E3237" t="str">
        <f>"202104152630"</f>
        <v>202104152630</v>
      </c>
      <c r="F3237" t="str">
        <f t="shared" si="86"/>
        <v>ACCT#72-5613 / 04032021</v>
      </c>
      <c r="G3237" s="1">
        <v>719.8</v>
      </c>
      <c r="H3237" t="str">
        <f t="shared" si="83"/>
        <v>ACCT#72-5613 / 04032021</v>
      </c>
    </row>
    <row r="3238" spans="1:8" x14ac:dyDescent="0.25">
      <c r="A3238" t="s">
        <v>406</v>
      </c>
      <c r="B3238">
        <v>1019</v>
      </c>
      <c r="C3238" s="1">
        <v>2137.25</v>
      </c>
      <c r="D3238" s="6">
        <v>44305</v>
      </c>
      <c r="E3238" t="str">
        <f>"202104152622"</f>
        <v>202104152622</v>
      </c>
      <c r="F3238" t="str">
        <f t="shared" si="86"/>
        <v>ACCT#72-5613 / 04032021</v>
      </c>
      <c r="G3238" s="1">
        <v>2137.25</v>
      </c>
      <c r="H3238" t="str">
        <f t="shared" si="83"/>
        <v>ACCT#72-5613 / 04032021</v>
      </c>
    </row>
    <row r="3239" spans="1:8" x14ac:dyDescent="0.25">
      <c r="A3239" t="s">
        <v>392</v>
      </c>
      <c r="B3239">
        <v>1032</v>
      </c>
      <c r="C3239" s="1">
        <v>891</v>
      </c>
      <c r="D3239" s="6">
        <v>44305</v>
      </c>
      <c r="E3239" t="str">
        <f>"202104152635"</f>
        <v>202104152635</v>
      </c>
      <c r="F3239" t="str">
        <f t="shared" si="86"/>
        <v>ACCT#72-5613 / 04032021</v>
      </c>
      <c r="G3239" s="1">
        <v>891</v>
      </c>
      <c r="H3239" t="str">
        <f t="shared" si="83"/>
        <v>ACCT#72-5613 / 04032021</v>
      </c>
    </row>
    <row r="3240" spans="1:8" x14ac:dyDescent="0.25">
      <c r="A3240" t="s">
        <v>163</v>
      </c>
      <c r="B3240">
        <v>1033</v>
      </c>
      <c r="C3240" s="1">
        <v>357.34</v>
      </c>
      <c r="D3240" s="6">
        <v>44305</v>
      </c>
      <c r="E3240" t="str">
        <f>"202104152636"</f>
        <v>202104152636</v>
      </c>
      <c r="F3240" t="str">
        <f t="shared" si="86"/>
        <v>ACCT#72-5613 / 04032021</v>
      </c>
      <c r="G3240" s="1">
        <v>357.34</v>
      </c>
      <c r="H3240" t="str">
        <f t="shared" si="83"/>
        <v>ACCT#72-5613 / 04032021</v>
      </c>
    </row>
    <row r="3241" spans="1:8" ht="15.75" thickBot="1" x14ac:dyDescent="0.3">
      <c r="C3241" s="2">
        <f>SUM(C2:C3240)</f>
        <v>3717507.3699999996</v>
      </c>
      <c r="G3241" s="2">
        <f>SUM(G2:G3240)</f>
        <v>3717507.3700000006</v>
      </c>
    </row>
    <row r="3242" spans="1:8" ht="15.75" thickTop="1" x14ac:dyDescent="0.25"/>
  </sheetData>
  <autoFilter ref="A1:H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2021-05-11T14:03:17Z</dcterms:created>
  <dcterms:modified xsi:type="dcterms:W3CDTF">2021-05-11T14:07:09Z</dcterms:modified>
</cp:coreProperties>
</file>