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-CHK-RPT-20210325" sheetId="1" r:id="rId1"/>
  </sheets>
  <definedNames>
    <definedName name="_xlnm._FilterDatabase" localSheetId="0" hidden="1">'AP-CHK-RPT-20210325'!$A$1:$H$1</definedName>
  </definedNames>
  <calcPr calcId="0"/>
</workbook>
</file>

<file path=xl/calcChain.xml><?xml version="1.0" encoding="utf-8"?>
<calcChain xmlns="http://schemas.openxmlformats.org/spreadsheetml/2006/main">
  <c r="G2511" i="1" l="1"/>
  <c r="C2511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</calcChain>
</file>

<file path=xl/sharedStrings.xml><?xml version="1.0" encoding="utf-8"?>
<sst xmlns="http://schemas.openxmlformats.org/spreadsheetml/2006/main" count="465" uniqueCount="364">
  <si>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</si>
  <si>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</si>
  <si>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</si>
  <si>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</si>
  <si>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</si>
  <si>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</si>
  <si>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</si>
  <si>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</si>
  <si>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</si>
  <si>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973 MATERIALS  LLC</t>
  </si>
  <si>
    <t>ARNOLD OIL COMPANY OF AUSTIN LP</t>
  </si>
  <si>
    <t>HAVERDA ENTERPRISES INC</t>
  </si>
  <si>
    <t>ADAM DAKOTA ROWINS</t>
  </si>
  <si>
    <t>ADENA LEWIS</t>
  </si>
  <si>
    <t>AHERN RENTALS  INC.</t>
  </si>
  <si>
    <t>ALAMO  GROUP (TX)  INC</t>
  </si>
  <si>
    <t>ALBERT NEAL PFEIFFER</t>
  </si>
  <si>
    <t>ALEXANDER YOUNG</t>
  </si>
  <si>
    <t>TIMOTHY HALL</t>
  </si>
  <si>
    <t>AMAZON CAPITAL SERVICES INC</t>
  </si>
  <si>
    <t>AMERICAN ASSN OF NOTARIES</t>
  </si>
  <si>
    <t>AMERICAN FASTENERS  INC.</t>
  </si>
  <si>
    <t>AMERISOURCEBERGEN</t>
  </si>
  <si>
    <t>AMG PRINTING &amp; MAILING  LLC</t>
  </si>
  <si>
    <t>ANDERSON &amp; ANDERSON LAW FIRM PC</t>
  </si>
  <si>
    <t>ANDERSON MACHINERY AUSTIN INC</t>
  </si>
  <si>
    <t>ANIXTER INC</t>
  </si>
  <si>
    <t>C APPLEMAN ENT INC</t>
  </si>
  <si>
    <t>AQUA BEVERAGE COMPANY/OZARKA</t>
  </si>
  <si>
    <t>AQUA WATER SUPPLY CORPORATION</t>
  </si>
  <si>
    <t>ARA / ST.DAVID'S IMAGING  LP</t>
  </si>
  <si>
    <t>THE ASSOCIATION OF RURAL COMMUNITIES IN TEXAS</t>
  </si>
  <si>
    <t>ARSENAL ADVERTISING LLC</t>
  </si>
  <si>
    <t>ASCENSION SETON</t>
  </si>
  <si>
    <t>ASHLEY DOBOS</t>
  </si>
  <si>
    <t>AT&amp;T</t>
  </si>
  <si>
    <t>AT&amp;T MOBILITY</t>
  </si>
  <si>
    <t>NOTARY SOURCE  LLC</t>
  </si>
  <si>
    <t>ATLAS PHARMACEUTICALS  LLC</t>
  </si>
  <si>
    <t>THE AUBAINE SUPPLY COMPANY  INC</t>
  </si>
  <si>
    <t>GATEHOUSE MEDIA TEXAS HOLDINGS II  INC.</t>
  </si>
  <si>
    <t>AUSTIN CRITICAL CARE SPECIALISTS  PA</t>
  </si>
  <si>
    <t>AUSTIN PATHOLOGY ASSOCIATES</t>
  </si>
  <si>
    <t>AUSTIN PUMP &amp; SUPPLY CO</t>
  </si>
  <si>
    <t>AUTOMATED LOGIC CONTRACTING SERVICES  INC</t>
  </si>
  <si>
    <t>AUTUMN J SMITH</t>
  </si>
  <si>
    <t>JIM ATTRA INC</t>
  </si>
  <si>
    <t>MICHAEL OLDHAM TIRE INC</t>
  </si>
  <si>
    <t>EDUARDO BARRIENTOS</t>
  </si>
  <si>
    <t>BASTROP COUNTY SHERIFF'S DEPT</t>
  </si>
  <si>
    <t>DANIEL L HEPKER</t>
  </si>
  <si>
    <t>BASTROP COUNTY TAX ASSESSOR</t>
  </si>
  <si>
    <t>BASTROP COUNTY CARES</t>
  </si>
  <si>
    <t>BASTROP MEDICAL CLINIC</t>
  </si>
  <si>
    <t>BASTROP PROVIDENCE  LLC</t>
  </si>
  <si>
    <t>DAVID H OUTON</t>
  </si>
  <si>
    <t>BELL COUNTY</t>
  </si>
  <si>
    <t>BEN E KEITH CO.</t>
  </si>
  <si>
    <t>B C FOOD GROUP  LLC</t>
  </si>
  <si>
    <t>BIG WRENCH ROAD SERVICE INC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</si>
  <si>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</si>
  <si>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</si>
  <si>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</si>
  <si>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</si>
  <si>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</si>
  <si>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</si>
  <si>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BRAUNTEX MATERIALS INC</t>
  </si>
  <si>
    <t>LAW OFFICE OF BRYAN W. MCDANIEL  P.C.</t>
  </si>
  <si>
    <t>BUREAU OF VITAL STATISTICS</t>
  </si>
  <si>
    <t>BURLESON COUNTY SHERIFFS</t>
  </si>
  <si>
    <t>BUTTERY COMPANY</t>
  </si>
  <si>
    <t>CALDWELL AUTOMOTIVE PARTNERS LTD</t>
  </si>
  <si>
    <t>CALDWELL COUNTY SHERIFF</t>
  </si>
  <si>
    <t>CAPITAL AREA METROPOLITAN PLANNING ORGANIZATION</t>
  </si>
  <si>
    <t>CAPITOL BEARING SERVICE OF AUSTIN  INC.</t>
  </si>
  <si>
    <t>CARAHSOFT TECHNOLOGY CORPORATION</t>
  </si>
  <si>
    <t>TIB-THE INDEPENDENT BANKERS BANK</t>
  </si>
  <si>
    <t>CDW GOVERNMENT INC</t>
  </si>
  <si>
    <t>CENTRAL TEXAS AUTOPSY</t>
  </si>
  <si>
    <t>CHARLES W CARVER</t>
  </si>
  <si>
    <t>CHARM-TEX</t>
  </si>
  <si>
    <t>CHEROKEE COUNTY CLERK</t>
  </si>
  <si>
    <t>CHRIS MATT DILLON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</si>
  <si>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</si>
  <si>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</si>
  <si>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</si>
  <si>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</si>
  <si>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</si>
  <si>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</si>
  <si>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</si>
  <si>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COLLINS COUNTY SHERIFF'S OFFICE</t>
  </si>
  <si>
    <t>COLORADO COUNTY SHERIFF</t>
  </si>
  <si>
    <t>COLUMBUS EYE ASSOCIATES</t>
  </si>
  <si>
    <t>COMBINED COMMUNITY ACTION INC</t>
  </si>
  <si>
    <t>CONTECH ENGINEERED SOLUTIONS INC</t>
  </si>
  <si>
    <t>CONVERGENCE CABLING  INC.</t>
  </si>
  <si>
    <t>COUNTY OF BEXAR - SHERIFF</t>
  </si>
  <si>
    <t>COVERT CHEVROLET-OLDS</t>
  </si>
  <si>
    <t>BUTLER ANIMAL HEALTH HOLDING COMPANY  LLC</t>
  </si>
  <si>
    <t>CRADLEPOINT INC</t>
  </si>
  <si>
    <t>CRESSIDA EVELYN KWOLEK  Ph.D.</t>
  </si>
  <si>
    <t>NICHOLAS STEWART</t>
  </si>
  <si>
    <t>CURTIS OLTMANN</t>
  </si>
  <si>
    <t>CUSTOM PRODUCTS CORPORATION</t>
  </si>
  <si>
    <t>DALLAS COUNTY CONSTABLE PCT 1</t>
  </si>
  <si>
    <t>DAVID B BROOKS</t>
  </si>
  <si>
    <t>DAVID KUYKENDALL</t>
  </si>
  <si>
    <t>DAVID M COLLINS</t>
  </si>
  <si>
    <t>DEAN DAIRY CORPORATE  LLC</t>
  </si>
  <si>
    <t>DELL</t>
  </si>
  <si>
    <t>DENTRUST DENTAL TX PC</t>
  </si>
  <si>
    <t>DESMAR WALKES  MD  PA</t>
  </si>
  <si>
    <t>TEXAS DEPARTMENT OF INFORMATION RESOURCES</t>
  </si>
  <si>
    <t>DISCOUNT DOOR &amp; METAL  LLC</t>
  </si>
  <si>
    <t>THE REINALT - THOMAS CORPORATION</t>
  </si>
  <si>
    <t>DONNIE STARK</t>
  </si>
  <si>
    <t>DOUBLE D INTERNATIONAL FOOD CO.  INC.</t>
  </si>
  <si>
    <t>DUNNE &amp; JUAREZ L.L.C.</t>
  </si>
  <si>
    <t>DAVID MCMULLEN</t>
  </si>
  <si>
    <t>ECOLAB INC</t>
  </si>
  <si>
    <t>ELANCO US INC</t>
  </si>
  <si>
    <t>ELECTION SYSTEMS &amp; SOFTWARE INC</t>
  </si>
  <si>
    <t>BLACKLANDS PUBLICATIONS INC</t>
  </si>
  <si>
    <t>ELGIN FUNERAL HOME</t>
  </si>
  <si>
    <t>CITY OF ELGIN UTILITIES</t>
  </si>
  <si>
    <t>ELISEO SANCHEZ</t>
  </si>
  <si>
    <t>ELLIOTT ELECTRIC SUPPLY INC</t>
  </si>
  <si>
    <t>ENVIRONMENTAL SYSTEMS RESEARCH INSTITUTE  INC</t>
  </si>
  <si>
    <t>EWALD KUBOTA  INC.</t>
  </si>
  <si>
    <t>FAYETTE COUNTY SHERIFF</t>
  </si>
  <si>
    <t>FEDERAL EXPRESS</t>
  </si>
  <si>
    <t>FERGUSON ENTERPRISES  INC.</t>
  </si>
  <si>
    <t>FLEETPRIDE</t>
  </si>
  <si>
    <t>FORREST L. SANDERSON</t>
  </si>
  <si>
    <t>FRANCES HUNTER</t>
  </si>
  <si>
    <t>AUSTIN TRUCK AND EQUIPMENT  LTD</t>
  </si>
  <si>
    <t>EUGENE W BRIGGS JR</t>
  </si>
  <si>
    <t>GALLS PARENT HOLDINGS LLC</t>
  </si>
  <si>
    <t>GARLAND/DBS  INC.</t>
  </si>
  <si>
    <t>GIPSON PENDERGRASS PEOPLE'S MORTUARY LLC</t>
  </si>
  <si>
    <t>GLOBAL EQUIPMENT CO</t>
  </si>
  <si>
    <t>GONZALES COUNTY SHERIFF</t>
  </si>
  <si>
    <t>GABRIEL  ROEDER  SMITH &amp; COMPANY</t>
  </si>
  <si>
    <t>GT DISTRIBUTORS  INC.</t>
  </si>
  <si>
    <t>GTS TECHNOLOGY SOLUTIONS  INC.</t>
  </si>
  <si>
    <t>GULF COAST PAPER CO. INC.</t>
  </si>
  <si>
    <t>H&amp;H OIL  L.P.</t>
  </si>
  <si>
    <t>HALFF ASSOCIATES</t>
  </si>
  <si>
    <t>HARRIS COUNTY CONSTABLE PCT 1</t>
  </si>
  <si>
    <t>HAYLEY STITELER</t>
  </si>
  <si>
    <t>HAYS COUNTY CONSTABLE PCT 4</t>
  </si>
  <si>
    <t>HI-LINE</t>
  </si>
  <si>
    <t>BASCOM L HODGES JR</t>
  </si>
  <si>
    <t>HODGSON G ECKEL</t>
  </si>
  <si>
    <t>BD HOLT CO</t>
  </si>
  <si>
    <t>NORTHWEST CASCADE INC</t>
  </si>
  <si>
    <t>HOSPITAL INTERNISTS OF TEXAS</t>
  </si>
  <si>
    <t>HOSPITALIST MEDICINE PHYSICIANS OF TEXAS</t>
  </si>
  <si>
    <t>GREGORY LUCAS</t>
  </si>
  <si>
    <t>HEAT TRANSFER SOLUTIONS  INC.</t>
  </si>
  <si>
    <t>HYDRAULIC HOUSE INC</t>
  </si>
  <si>
    <t>I PLOW.COM LLC</t>
  </si>
  <si>
    <t>ICS</t>
  </si>
  <si>
    <t>INDIGENT HEALTHCARE SOLUTIONS</t>
  </si>
  <si>
    <t>IPC HEALTHCARE SERVICES OF TEXAS</t>
  </si>
  <si>
    <t>IRON MOUNTAIN RECORDS MGMT INC</t>
  </si>
  <si>
    <t>JAY'S TIRE &amp; AUTOMOTIVE REPAIR INC</t>
  </si>
  <si>
    <t>JENKINS &amp; JENKINS LLP</t>
  </si>
  <si>
    <t>JOHN CALL</t>
  </si>
  <si>
    <t>DEERE CREDIT SERVICES INC</t>
  </si>
  <si>
    <t>JORDAN BATTERSBY  MCDONALD</t>
  </si>
  <si>
    <t>JPPI INVESTIGATIONS LLC</t>
  </si>
  <si>
    <t>JULIE BURNS</t>
  </si>
  <si>
    <t>JULIE SKUGRUD</t>
  </si>
  <si>
    <t>JUSTIN LOSOYA</t>
  </si>
  <si>
    <t>JUSTIN MATTHEW FOHN</t>
  </si>
  <si>
    <t>KAYCI SCHULTZ WATSON</t>
  </si>
  <si>
    <t>KENT BROUSSARD TOWER RENTAL INC</t>
  </si>
  <si>
    <t>KEVIN UNGER</t>
  </si>
  <si>
    <t>KLEIBER FORD TRACTOR  INC.</t>
  </si>
  <si>
    <t>KNIGHT SECURITY SYSTEMS LLC</t>
  </si>
  <si>
    <t>LONGHORN INTERNATIONAL TRUCKS LTD</t>
  </si>
  <si>
    <t>THE LA GRANGE PARTS HOUSE INC</t>
  </si>
  <si>
    <t>LABATT INSTITUTIONAL SUPPLY CO</t>
  </si>
  <si>
    <t>LAURA ROBERTSON</t>
  </si>
  <si>
    <t>LAW ENFORCEMENT RISK MANAGEMENT GROUP  INC.</t>
  </si>
  <si>
    <t>LEE COUNTY SHERIFF</t>
  </si>
  <si>
    <t>LEE COUNTY WATER SUPPLY CORP</t>
  </si>
  <si>
    <t>LEXISNEXIS RISK DATA MGMT INC</t>
  </si>
  <si>
    <t>LIBERTY TIRE RECYCLING</t>
  </si>
  <si>
    <t>LONE STAR CIRCLE OF CARE</t>
  </si>
  <si>
    <t>UNITED KWB COLLABORATIONS LLC</t>
  </si>
  <si>
    <t>LONGHORN EMERGENCY MEDICAL ASSOC PA</t>
  </si>
  <si>
    <t>LONNIE LAWRENCE DAVIS JR</t>
  </si>
  <si>
    <t>LOWE'S</t>
  </si>
  <si>
    <t>LOWER COLORADO RIVER BASIN COALITION</t>
  </si>
  <si>
    <t>MARIA ANFOSSO</t>
  </si>
  <si>
    <t>MARK MEUTH</t>
  </si>
  <si>
    <t>MARK W. SIMS</t>
  </si>
  <si>
    <t>MARY BETH SCOTT</t>
  </si>
  <si>
    <t>MATHESON TRI-GAS INC</t>
  </si>
  <si>
    <t>McCOY'S BUILDING SUPPLY CENTER</t>
  </si>
  <si>
    <t>McCREARY  VESELKA  BRAGG &amp; ALLEN P</t>
  </si>
  <si>
    <t>MEDIMPACT HEALTHCARE SYSTEMS INC</t>
  </si>
  <si>
    <t>MEL HAMNER</t>
  </si>
  <si>
    <t>MICHELE FRITSCHE C.S.R.</t>
  </si>
  <si>
    <t>MIDTEX MATERIALS</t>
  </si>
  <si>
    <t>MOUNTAIN WEST DERM-AUSTIN PLLC</t>
  </si>
  <si>
    <t>MUSTANG MACHINERY COMPANY LTD</t>
  </si>
  <si>
    <t>NALCO COMPANY LLC</t>
  </si>
  <si>
    <t>NALLEY HVAC MECHANICAL LLC</t>
  </si>
  <si>
    <t>NATIONAL FOOD GROUP INC</t>
  </si>
  <si>
    <t>NOTARY PUBLIC UNDERWRITERS</t>
  </si>
  <si>
    <t>O'REILLY AUTOMOTIVE  INC.</t>
  </si>
  <si>
    <t>OFFICE DEPOT</t>
  </si>
  <si>
    <t>OMNIBASE SERVICES OF TEXAS LP</t>
  </si>
  <si>
    <t>ON SITE SERVICES</t>
  </si>
  <si>
    <t>ROGER C. OSBORN</t>
  </si>
  <si>
    <t>OSBURN ASSOCIATES INC.</t>
  </si>
  <si>
    <t>PAPER RETRIEVER OF TEXAS</t>
  </si>
  <si>
    <t>SL PARKER PARTNERSHIP LLC</t>
  </si>
  <si>
    <t>PATRICK ELECTRIC SERVICE</t>
  </si>
  <si>
    <t>PATTERSON  VETERINARY SUPPLY INC</t>
  </si>
  <si>
    <t>PATTILLO  BROWN &amp; HILL   LLP</t>
  </si>
  <si>
    <t>PAUL GRANADO</t>
  </si>
  <si>
    <t>PERDUE  BRANDON  FIELDER  COLLINS &amp; MOTT LLP</t>
  </si>
  <si>
    <t>PHILIP R DUCLOUX</t>
  </si>
  <si>
    <t>CLYDE HAYWOOD SR</t>
  </si>
  <si>
    <t>POST OAK HARDWARE  INC.</t>
  </si>
  <si>
    <t>POSTMASTER</t>
  </si>
  <si>
    <t>JOHN DEERE FINANCIAL f.s.b.</t>
  </si>
  <si>
    <t>THE PUBLIC GROUP LLC</t>
  </si>
  <si>
    <t>PYE-BARKER FIRE &amp; SAFETY LLC</t>
  </si>
  <si>
    <t>QUEST DIAGNOSTICS CLINICAL LABORATORIES</t>
  </si>
  <si>
    <t>R.R. BRINK LOCKING SYSTEMS INC</t>
  </si>
  <si>
    <t>RACHEL FROST</t>
  </si>
  <si>
    <t>RANDY MC MILLAN</t>
  </si>
  <si>
    <t>MADTEX  INC.</t>
  </si>
  <si>
    <t>NESTLE WATERS N AMERICA INC</t>
  </si>
  <si>
    <t>REBECCA STRNAD</t>
  </si>
  <si>
    <t>RED ROCK GROCERY</t>
  </si>
  <si>
    <t>RED WING BUSINESS ADVANTAGE ACCOUNT</t>
  </si>
  <si>
    <t>NRG ENERGY INC</t>
  </si>
  <si>
    <t>REPUBLIC TRUCK SALES   PARTS  &amp; REPAIRS LLC</t>
  </si>
  <si>
    <t>RICHARD A REDUS &amp; ALLISIA M SABRSULA</t>
  </si>
  <si>
    <t>RICOH USA INC</t>
  </si>
  <si>
    <t>CIT TECHNOLOGY FINANCE</t>
  </si>
  <si>
    <t>ROADRUNNER RADIOLOGY EQUIP LLC</t>
  </si>
  <si>
    <t>ROBERT MADDEN INDUSTRIES LTD</t>
  </si>
  <si>
    <t>ROSA WARREN</t>
  </si>
  <si>
    <t>ROSE PIETSCH COUNTY CLERK</t>
  </si>
  <si>
    <t>SAM HOUSTON STATE UNIVERSITY</t>
  </si>
  <si>
    <t>SAMES BASTROP FORD INC</t>
  </si>
  <si>
    <t>SAMMY LERMA III MD</t>
  </si>
  <si>
    <t>SCOTT &amp; WHITE CLINIC</t>
  </si>
  <si>
    <t>SCOTT &amp; WHITE COMMUNITY HOSPITAL CORP</t>
  </si>
  <si>
    <t>SCOTT MERRIMAN INC</t>
  </si>
  <si>
    <t>SETON HEALTHCARE SPONSORED PROJECTS</t>
  </si>
  <si>
    <t>SHI GOVERNMENT SOLUTIONS INC.</t>
  </si>
  <si>
    <t>SHOPPA'S FARM SUPPLY</t>
  </si>
  <si>
    <t>SHRED-IT US HOLDCO  INC</t>
  </si>
  <si>
    <t>SINGLETON ASSOCIATES  PA</t>
  </si>
  <si>
    <t>SMITHVILLE AUTO PARTS  INC</t>
  </si>
  <si>
    <t>SOLARWINDS</t>
  </si>
  <si>
    <t>CAPITAL AREA SURGEONS  PLLC</t>
  </si>
  <si>
    <t>SOUTH CENTRAL PLANNING AND DEVELOPMENT COMMISSION</t>
  </si>
  <si>
    <t>SOUTHERN TIRE MART LLC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</si>
  <si>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</si>
  <si>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</si>
  <si>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</si>
  <si>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</si>
  <si>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</si>
  <si>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STEGER &amp; BIZZELL ENGINEERING  INC</t>
  </si>
  <si>
    <t>STERICYCLE  INC.</t>
  </si>
  <si>
    <t>STEVE GRANADO</t>
  </si>
  <si>
    <t>STEVEN A LONG</t>
  </si>
  <si>
    <t>MATTHEW LEE SULLINS</t>
  </si>
  <si>
    <t>SUN COAST RESOURCES</t>
  </si>
  <si>
    <t>SUNSHIELD WINDOW TINTING</t>
  </si>
  <si>
    <t>T-MOBILE USA</t>
  </si>
  <si>
    <t>TACTIX CONSULTING GROUP  INC</t>
  </si>
  <si>
    <t>TAVCO SERVICES INC</t>
  </si>
  <si>
    <t>TEXAS DISTRICT &amp; COUNTY ATTORNEYS ASSOCIATION</t>
  </si>
  <si>
    <t>TEJAS ELEVATOR COMPANY</t>
  </si>
  <si>
    <t>TEX-CON OIL CO</t>
  </si>
  <si>
    <t>TEXAS AGGREGATES  LLC</t>
  </si>
  <si>
    <t>TEXAS ASSOCIATES INSURORS AGENCY</t>
  </si>
  <si>
    <t>TEXAS ASSOCIATION OF COUNTIES</t>
  </si>
  <si>
    <t>TEXAS COLLEGE OF PROBATE JUDGES</t>
  </si>
  <si>
    <t>TEXAS CRUSHED STONE CO.</t>
  </si>
  <si>
    <t>TEXAS DECON LLC</t>
  </si>
  <si>
    <t>TEXAS DEPARTMENT OF MOTOR VEHICLES</t>
  </si>
  <si>
    <t>TEXAS DISPOSAL SYSTEMS  INC.</t>
  </si>
  <si>
    <t>TEXAS JUSTICE COURT TRAINING CENTER</t>
  </si>
  <si>
    <t>TEXAS JUSTICE COURT JUDGES ASSOCIATION</t>
  </si>
  <si>
    <t>TEXAS PARKS &amp; WILDLIFE DEPARTMENT</t>
  </si>
  <si>
    <t>TEXAS VISION CLINIC  PLLC</t>
  </si>
  <si>
    <t>BUG MASTER EXTERMINATING SERVICES  LTD</t>
  </si>
  <si>
    <t>JAMES ANDREW CASEY</t>
  </si>
  <si>
    <t>SANDRA FAYE ROBINSON</t>
  </si>
  <si>
    <t>RICHARD NELSON MOORE</t>
  </si>
  <si>
    <t>THE NITSCHE GROUP</t>
  </si>
  <si>
    <t>WEST PUBLISHING CORPORATION</t>
  </si>
  <si>
    <t>TWE-ADVANCE/NEWHOUSE PARTNERSHIP</t>
  </si>
  <si>
    <t>TELVA D KESLER</t>
  </si>
  <si>
    <t>TRAVIS COUNTY CONSTABLE PCT 5</t>
  </si>
  <si>
    <t>TRAVIS COUNTY MEDICAL EXAMINER</t>
  </si>
  <si>
    <t>TULL FARLEY</t>
  </si>
  <si>
    <t>AMY PERRENOT</t>
  </si>
  <si>
    <t>TYLER TECHNOLOGIES INC</t>
  </si>
  <si>
    <t>ULINE  INC.</t>
  </si>
  <si>
    <t>COUFAL-PRATER EQUIPMENT  LLC</t>
  </si>
  <si>
    <t>SETON FAMILY OF HOSPITALS</t>
  </si>
  <si>
    <t>VARIPHY  INC</t>
  </si>
  <si>
    <t>VICTORY SUPPLY LLC</t>
  </si>
  <si>
    <t>TEXAS DEPARTMENT OF STATE HEALTH SERVICES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</si>
  <si>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</si>
  <si>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</si>
  <si>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</si>
  <si>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</si>
  <si>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</si>
  <si>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</si>
  <si>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</si>
  <si>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WATCH GUARD VIDEO</t>
  </si>
  <si>
    <t>WAYNE WOOD</t>
  </si>
  <si>
    <t>MAO PHARMACY INC</t>
  </si>
  <si>
    <t>WILSON CULVERTS  INC.</t>
  </si>
  <si>
    <t>WINZER CORPORATION</t>
  </si>
  <si>
    <t>ZOETIS US LLC</t>
  </si>
  <si>
    <t>DAVID CONTI</t>
  </si>
  <si>
    <t>DESMAR WALKES</t>
  </si>
  <si>
    <t>JOHNSON TECHNICAL SERVICES  INC</t>
  </si>
  <si>
    <t>LANGFORD COMMUNITY MGMT INC</t>
  </si>
  <si>
    <t>RPS INFRASTRUCTURE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</si>
  <si>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</si>
  <si>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</si>
  <si>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</si>
  <si>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</si>
  <si>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</si>
  <si>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CURTIS DAVIS</t>
  </si>
  <si>
    <t>GUARDIAN</t>
  </si>
  <si>
    <t>IRS-PAYROLL TAXES</t>
  </si>
  <si>
    <t>JERRY HARRIS</t>
  </si>
  <si>
    <t>JOSEPH HINES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</si>
  <si>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</si>
  <si>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</si>
  <si>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</si>
  <si>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</si>
  <si>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</si>
  <si>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</si>
  <si>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NEW ACADEMY HOLDING COMPANY  LLC</t>
  </si>
  <si>
    <t>ASSOCIATION OF PUBLIC SAFETY COMM OFFICIALS</t>
  </si>
  <si>
    <t>AUTOZONE PARTS  INC.</t>
  </si>
  <si>
    <t>B&amp;H FOTO &amp; ELECTRONICS CORP</t>
  </si>
  <si>
    <t>BINSWANGER GLASS CO.</t>
  </si>
  <si>
    <t>MUNICIPAL SERVICES BUREAU/GILA GROUP</t>
  </si>
  <si>
    <t>DICKENS LOCKSMITH INC</t>
  </si>
  <si>
    <t>GARMENTS TO GO  INC</t>
  </si>
  <si>
    <t>HARBOR FREIGHT TOOLS USA  INC</t>
  </si>
  <si>
    <t>HEB GROCERY COMPANY LP</t>
  </si>
  <si>
    <t>CITIBANK (SOUTH DAKOTA)N.A./THE HOME DEPOT</t>
  </si>
  <si>
    <t>KELLY-MOORE PAINT COMPANY  INC</t>
  </si>
  <si>
    <t>TEXAS A&amp;M ENGINEERING EXTENSION SERVICE</t>
  </si>
  <si>
    <t>TRACTOR SUPPLY CREDIT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</si>
</sst>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1" applyFont="1" applyBorder="1"/>
    <xf numFmtId="165" fontId="18" fillId="0" borderId="0" xfId="0" applyNumberFormat="1" applyFont="1"/>
    <xf numFmtId="165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2"/>
  <sheetViews>
    <sheetView tabSelected="1" workbookViewId="0"/>
  </sheetViews>
  <sheetFormatPr defaultRowHeight="15" x14ac:dyDescent="0.25"/>
  <cols>
    <col min="1" max="1" width="57.140625" bestFit="1" customWidth="1"/>
    <col min="2" max="2" width="10" bestFit="1" customWidth="1"/>
    <col min="3" max="3" width="17.7109375" style="3" bestFit="1" customWidth="1"/>
    <col min="4" max="4" width="13.140625" style="6" bestFit="1" customWidth="1"/>
    <col min="5" max="5" width="18" bestFit="1" customWidth="1"/>
    <col min="6" max="6" width="34.28515625" bestFit="1" customWidth="1"/>
    <col min="7" max="7" width="19.7109375" style="3" bestFit="1" customWidth="1"/>
    <col min="8" max="8" width="34.2851562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5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x14ac:dyDescent="0.25">
      <c r="A2" t="s">
        <v>8</v>
      </c>
      <c r="B2">
        <v>134658</v>
      </c>
      <c r="C2" s="3">
        <v>60</v>
      </c>
      <c r="D2" s="6">
        <v>44253</v>
      </c>
      <c r="E2" t="str">
        <f>"202102231770"</f>
        <v>202102231770</v>
      </c>
      <c r="F2" t="str">
        <f>"REIMBURSE COUPON 25580/25898"</f>
        <v>REIMBURSE COUPON 25580/25898</v>
      </c>
      <c r="G2" s="3">
        <v>60</v>
      </c>
      <c r="H2" t="str">
        <f>"REIMBURSE COUPON 25580/25898"</f>
        <v>REIMBURSE COUPON 25580/25898</v>
      </c>
    </row>
    <row r="3" spans="1:8" x14ac:dyDescent="0.25">
      <c r="A3" t="s">
        <v>9</v>
      </c>
      <c r="B3">
        <v>3895</v>
      </c>
      <c r="C3" s="3">
        <v>36013.9</v>
      </c>
      <c r="D3" s="6">
        <v>44236</v>
      </c>
      <c r="E3" t="str">
        <f>"9725-001-0120166"</f>
        <v>9725-001-0120166</v>
      </c>
      <c r="F3" t="str">
        <f t="shared" ref="F3:F14" si="0">"ACCT#9725-001/PCT#2"</f>
        <v>ACCT#9725-001/PCT#2</v>
      </c>
      <c r="G3" s="3">
        <v>4722.78</v>
      </c>
      <c r="H3" t="str">
        <f t="shared" ref="H3:H14" si="1">"ACCT#9725-001/PCT#2"</f>
        <v>ACCT#9725-001/PCT#2</v>
      </c>
    </row>
    <row r="4" spans="1:8" x14ac:dyDescent="0.25">
      <c r="E4" t="str">
        <f>"9725-001-120072"</f>
        <v>9725-001-120072</v>
      </c>
      <c r="F4" t="str">
        <f t="shared" si="0"/>
        <v>ACCT#9725-001/PCT#2</v>
      </c>
      <c r="G4" s="3">
        <v>401.89</v>
      </c>
      <c r="H4" t="str">
        <f t="shared" si="1"/>
        <v>ACCT#9725-001/PCT#2</v>
      </c>
    </row>
    <row r="5" spans="1:8" x14ac:dyDescent="0.25">
      <c r="E5" t="str">
        <f>"9725-001-120098"</f>
        <v>9725-001-120098</v>
      </c>
      <c r="F5" t="str">
        <f t="shared" si="0"/>
        <v>ACCT#9725-001/PCT#2</v>
      </c>
      <c r="G5" s="3">
        <v>404.6</v>
      </c>
      <c r="H5" t="str">
        <f t="shared" si="1"/>
        <v>ACCT#9725-001/PCT#2</v>
      </c>
    </row>
    <row r="6" spans="1:8" x14ac:dyDescent="0.25">
      <c r="E6" t="str">
        <f>"9725-001-120120"</f>
        <v>9725-001-120120</v>
      </c>
      <c r="F6" t="str">
        <f t="shared" si="0"/>
        <v>ACCT#9725-001/PCT#2</v>
      </c>
      <c r="G6" s="3">
        <v>391.83</v>
      </c>
      <c r="H6" t="str">
        <f t="shared" si="1"/>
        <v>ACCT#9725-001/PCT#2</v>
      </c>
    </row>
    <row r="7" spans="1:8" x14ac:dyDescent="0.25">
      <c r="E7" t="str">
        <f>"9725-001-120143"</f>
        <v>9725-001-120143</v>
      </c>
      <c r="F7" t="str">
        <f t="shared" si="0"/>
        <v>ACCT#9725-001/PCT#2</v>
      </c>
      <c r="G7" s="3">
        <v>3857.75</v>
      </c>
      <c r="H7" t="str">
        <f t="shared" si="1"/>
        <v>ACCT#9725-001/PCT#2</v>
      </c>
    </row>
    <row r="8" spans="1:8" x14ac:dyDescent="0.25">
      <c r="E8" t="str">
        <f>"9725-001-120184"</f>
        <v>9725-001-120184</v>
      </c>
      <c r="F8" t="str">
        <f t="shared" si="0"/>
        <v>ACCT#9725-001/PCT#2</v>
      </c>
      <c r="G8" s="3">
        <v>5391.37</v>
      </c>
      <c r="H8" t="str">
        <f t="shared" si="1"/>
        <v>ACCT#9725-001/PCT#2</v>
      </c>
    </row>
    <row r="9" spans="1:8" x14ac:dyDescent="0.25">
      <c r="E9" t="str">
        <f>"9725-001-120209"</f>
        <v>9725-001-120209</v>
      </c>
      <c r="F9" t="str">
        <f t="shared" si="0"/>
        <v>ACCT#9725-001/PCT#2</v>
      </c>
      <c r="G9" s="3">
        <v>614.61</v>
      </c>
      <c r="H9" t="str">
        <f t="shared" si="1"/>
        <v>ACCT#9725-001/PCT#2</v>
      </c>
    </row>
    <row r="10" spans="1:8" x14ac:dyDescent="0.25">
      <c r="E10" t="str">
        <f>"9725-001-120235"</f>
        <v>9725-001-120235</v>
      </c>
      <c r="F10" t="str">
        <f t="shared" si="0"/>
        <v>ACCT#9725-001/PCT#2</v>
      </c>
      <c r="G10" s="3">
        <v>5049.3900000000003</v>
      </c>
      <c r="H10" t="str">
        <f t="shared" si="1"/>
        <v>ACCT#9725-001/PCT#2</v>
      </c>
    </row>
    <row r="11" spans="1:8" x14ac:dyDescent="0.25">
      <c r="E11" t="str">
        <f>"9725-001-120257"</f>
        <v>9725-001-120257</v>
      </c>
      <c r="F11" t="str">
        <f t="shared" si="0"/>
        <v>ACCT#9725-001/PCT#2</v>
      </c>
      <c r="G11" s="3">
        <v>630.79</v>
      </c>
      <c r="H11" t="str">
        <f t="shared" si="1"/>
        <v>ACCT#9725-001/PCT#2</v>
      </c>
    </row>
    <row r="12" spans="1:8" x14ac:dyDescent="0.25">
      <c r="E12" t="str">
        <f>"9725-001-120279"</f>
        <v>9725-001-120279</v>
      </c>
      <c r="F12" t="str">
        <f t="shared" si="0"/>
        <v>ACCT#9725-001/PCT#2</v>
      </c>
      <c r="G12" s="3">
        <v>619.59</v>
      </c>
      <c r="H12" t="str">
        <f t="shared" si="1"/>
        <v>ACCT#9725-001/PCT#2</v>
      </c>
    </row>
    <row r="13" spans="1:8" x14ac:dyDescent="0.25">
      <c r="E13" t="str">
        <f>"9725-001-120296"</f>
        <v>9725-001-120296</v>
      </c>
      <c r="F13" t="str">
        <f t="shared" si="0"/>
        <v>ACCT#9725-001/PCT#2</v>
      </c>
      <c r="G13" s="3">
        <v>4499.3900000000003</v>
      </c>
      <c r="H13" t="str">
        <f t="shared" si="1"/>
        <v>ACCT#9725-001/PCT#2</v>
      </c>
    </row>
    <row r="14" spans="1:8" x14ac:dyDescent="0.25">
      <c r="E14" t="str">
        <f>"9725-001-120316"</f>
        <v>9725-001-120316</v>
      </c>
      <c r="F14" t="str">
        <f t="shared" si="0"/>
        <v>ACCT#9725-001/PCT#2</v>
      </c>
      <c r="G14" s="3">
        <v>432.95</v>
      </c>
      <c r="H14" t="str">
        <f t="shared" si="1"/>
        <v>ACCT#9725-001/PCT#2</v>
      </c>
    </row>
    <row r="15" spans="1:8" x14ac:dyDescent="0.25">
      <c r="E15" t="str">
        <f>"9725-007-120128"</f>
        <v>9725-007-120128</v>
      </c>
      <c r="F15" t="str">
        <f>"ACCT#9725-007/PCT#4"</f>
        <v>ACCT#9725-007/PCT#4</v>
      </c>
      <c r="G15" s="3">
        <v>817.6</v>
      </c>
      <c r="H15" t="str">
        <f>"ACCT#9725-007/PCT#4"</f>
        <v>ACCT#9725-007/PCT#4</v>
      </c>
    </row>
    <row r="16" spans="1:8" x14ac:dyDescent="0.25">
      <c r="E16" t="str">
        <f>"9725-007-120150"</f>
        <v>9725-007-120150</v>
      </c>
      <c r="F16" t="str">
        <f>"ACCT#9725-007/PCT#4"</f>
        <v>ACCT#9725-007/PCT#4</v>
      </c>
      <c r="G16" s="3">
        <v>1025.68</v>
      </c>
      <c r="H16" t="str">
        <f>"ACCT#9725-007/PCT#4"</f>
        <v>ACCT#9725-007/PCT#4</v>
      </c>
    </row>
    <row r="17" spans="1:8" x14ac:dyDescent="0.25">
      <c r="E17" t="str">
        <f>"9725-007-120172"</f>
        <v>9725-007-120172</v>
      </c>
      <c r="F17" t="str">
        <f>"ACCT#9725-007/PCT#4"</f>
        <v>ACCT#9725-007/PCT#4</v>
      </c>
      <c r="G17" s="3">
        <v>3051.48</v>
      </c>
      <c r="H17" t="str">
        <f>"ACCT#9725-007/PCT#4"</f>
        <v>ACCT#9725-007/PCT#4</v>
      </c>
    </row>
    <row r="18" spans="1:8" x14ac:dyDescent="0.25">
      <c r="E18" t="str">
        <f>"9725-007-120193"</f>
        <v>9725-007-120193</v>
      </c>
      <c r="F18" t="str">
        <f>"ACCT#9725-007/PCT#4"</f>
        <v>ACCT#9725-007/PCT#4</v>
      </c>
      <c r="G18" s="3">
        <v>2462.36</v>
      </c>
      <c r="H18" t="str">
        <f>"ACCT#9725-007/PCT#4"</f>
        <v>ACCT#9725-007/PCT#4</v>
      </c>
    </row>
    <row r="19" spans="1:8" x14ac:dyDescent="0.25">
      <c r="E19" t="str">
        <f>"9725-007-120219"</f>
        <v>9725-007-120219</v>
      </c>
      <c r="F19" t="str">
        <f>"ACCT#9725-007/PCT#4"</f>
        <v>ACCT#9725-007/PCT#4</v>
      </c>
      <c r="G19" s="3">
        <v>1639.84</v>
      </c>
      <c r="H19" t="str">
        <f>"ACCT#9725-007/PCT#4"</f>
        <v>ACCT#9725-007/PCT#4</v>
      </c>
    </row>
    <row r="20" spans="1:8" x14ac:dyDescent="0.25">
      <c r="A20" t="s">
        <v>9</v>
      </c>
      <c r="B20">
        <v>3967</v>
      </c>
      <c r="C20" s="3">
        <v>27776.59</v>
      </c>
      <c r="D20" s="6">
        <v>44254</v>
      </c>
      <c r="E20" t="str">
        <f>"9725-001-120338"</f>
        <v>9725-001-120338</v>
      </c>
      <c r="F20" t="str">
        <f t="shared" ref="F20:F28" si="2">"ACCT#9725-001/PCT#2"</f>
        <v>ACCT#9725-001/PCT#2</v>
      </c>
      <c r="G20" s="3">
        <v>4011.58</v>
      </c>
      <c r="H20" t="str">
        <f t="shared" ref="H20:H28" si="3">"ACCT#9725-001/PCT#2"</f>
        <v>ACCT#9725-001/PCT#2</v>
      </c>
    </row>
    <row r="21" spans="1:8" x14ac:dyDescent="0.25">
      <c r="E21" t="str">
        <f>"9725-001-120354"</f>
        <v>9725-001-120354</v>
      </c>
      <c r="F21" t="str">
        <f t="shared" si="2"/>
        <v>ACCT#9725-001/PCT#2</v>
      </c>
      <c r="G21" s="3">
        <v>889.1</v>
      </c>
      <c r="H21" t="str">
        <f t="shared" si="3"/>
        <v>ACCT#9725-001/PCT#2</v>
      </c>
    </row>
    <row r="22" spans="1:8" x14ac:dyDescent="0.25">
      <c r="E22" t="str">
        <f>"9725-001-120380"</f>
        <v>9725-001-120380</v>
      </c>
      <c r="F22" t="str">
        <f t="shared" si="2"/>
        <v>ACCT#9725-001/PCT#2</v>
      </c>
      <c r="G22" s="3">
        <v>420.88</v>
      </c>
      <c r="H22" t="str">
        <f t="shared" si="3"/>
        <v>ACCT#9725-001/PCT#2</v>
      </c>
    </row>
    <row r="23" spans="1:8" x14ac:dyDescent="0.25">
      <c r="E23" t="str">
        <f>"9725-001-120397"</f>
        <v>9725-001-120397</v>
      </c>
      <c r="F23" t="str">
        <f t="shared" si="2"/>
        <v>ACCT#9725-001/PCT#2</v>
      </c>
      <c r="G23" s="3">
        <v>427.44</v>
      </c>
      <c r="H23" t="str">
        <f t="shared" si="3"/>
        <v>ACCT#9725-001/PCT#2</v>
      </c>
    </row>
    <row r="24" spans="1:8" x14ac:dyDescent="0.25">
      <c r="E24" t="str">
        <f>"9725-001-120410"</f>
        <v>9725-001-120410</v>
      </c>
      <c r="F24" t="str">
        <f t="shared" si="2"/>
        <v>ACCT#9725-001/PCT#2</v>
      </c>
      <c r="G24" s="3">
        <v>215.78</v>
      </c>
      <c r="H24" t="str">
        <f t="shared" si="3"/>
        <v>ACCT#9725-001/PCT#2</v>
      </c>
    </row>
    <row r="25" spans="1:8" x14ac:dyDescent="0.25">
      <c r="E25" t="str">
        <f>"9725-001-120425"</f>
        <v>9725-001-120425</v>
      </c>
      <c r="F25" t="str">
        <f t="shared" si="2"/>
        <v>ACCT#9725-001/PCT#2</v>
      </c>
      <c r="G25" s="3">
        <v>210.26</v>
      </c>
      <c r="H25" t="str">
        <f t="shared" si="3"/>
        <v>ACCT#9725-001/PCT#2</v>
      </c>
    </row>
    <row r="26" spans="1:8" x14ac:dyDescent="0.25">
      <c r="E26" t="str">
        <f>"9725-001-120442"</f>
        <v>9725-001-120442</v>
      </c>
      <c r="F26" t="str">
        <f t="shared" si="2"/>
        <v>ACCT#9725-001/PCT#2</v>
      </c>
      <c r="G26" s="3">
        <v>5297.99</v>
      </c>
      <c r="H26" t="str">
        <f t="shared" si="3"/>
        <v>ACCT#9725-001/PCT#2</v>
      </c>
    </row>
    <row r="27" spans="1:8" x14ac:dyDescent="0.25">
      <c r="E27" t="str">
        <f>"9725-001-120467"</f>
        <v>9725-001-120467</v>
      </c>
      <c r="F27" t="str">
        <f t="shared" si="2"/>
        <v>ACCT#9725-001/PCT#2</v>
      </c>
      <c r="G27" s="3">
        <v>4738.51</v>
      </c>
      <c r="H27" t="str">
        <f t="shared" si="3"/>
        <v>ACCT#9725-001/PCT#2</v>
      </c>
    </row>
    <row r="28" spans="1:8" x14ac:dyDescent="0.25">
      <c r="E28" t="str">
        <f>"9725-001-120494"</f>
        <v>9725-001-120494</v>
      </c>
      <c r="F28" t="str">
        <f t="shared" si="2"/>
        <v>ACCT#9725-001/PCT#2</v>
      </c>
      <c r="G28" s="3">
        <v>1701.01</v>
      </c>
      <c r="H28" t="str">
        <f t="shared" si="3"/>
        <v>ACCT#9725-001/PCT#2</v>
      </c>
    </row>
    <row r="29" spans="1:8" x14ac:dyDescent="0.25">
      <c r="E29" t="str">
        <f>"9725-004-120388"</f>
        <v>9725-004-120388</v>
      </c>
      <c r="F29" t="str">
        <f>"ACCT#9725-004"</f>
        <v>ACCT#9725-004</v>
      </c>
      <c r="G29" s="3">
        <v>670.87</v>
      </c>
      <c r="H29" t="str">
        <f>"ACCT#9725-004"</f>
        <v>ACCT#9725-004</v>
      </c>
    </row>
    <row r="30" spans="1:8" x14ac:dyDescent="0.25">
      <c r="E30" t="str">
        <f>"9725-004-120406"</f>
        <v>9725-004-120406</v>
      </c>
      <c r="F30" t="str">
        <f>"ACCT#9725-004"</f>
        <v>ACCT#9725-004</v>
      </c>
      <c r="G30" s="3">
        <v>639.11</v>
      </c>
      <c r="H30" t="str">
        <f>"ACCT#9725-004"</f>
        <v>ACCT#9725-004</v>
      </c>
    </row>
    <row r="31" spans="1:8" x14ac:dyDescent="0.25">
      <c r="E31" t="str">
        <f>"9725-004-120433"</f>
        <v>9725-004-120433</v>
      </c>
      <c r="F31" t="str">
        <f>"ACCT#9725-004/PCT#1"</f>
        <v>ACCT#9725-004/PCT#1</v>
      </c>
      <c r="G31" s="3">
        <v>1711.16</v>
      </c>
      <c r="H31" t="str">
        <f>"ACCT#9725-004/PCT#1"</f>
        <v>ACCT#9725-004/PCT#1</v>
      </c>
    </row>
    <row r="32" spans="1:8" x14ac:dyDescent="0.25">
      <c r="E32" t="str">
        <f>"9725-007-120324"</f>
        <v>9725-007-120324</v>
      </c>
      <c r="F32" t="str">
        <f>"ACCT#9725-007"</f>
        <v>ACCT#9725-007</v>
      </c>
      <c r="G32" s="3">
        <v>404.87</v>
      </c>
      <c r="H32" t="str">
        <f>"ACCT#9725-007"</f>
        <v>ACCT#9725-007</v>
      </c>
    </row>
    <row r="33" spans="1:8" x14ac:dyDescent="0.25">
      <c r="E33" t="str">
        <f>"9725-007-120416"</f>
        <v>9725-007-120416</v>
      </c>
      <c r="F33" t="str">
        <f>"ACCT#9725-007/PCT#4"</f>
        <v>ACCT#9725-007/PCT#4</v>
      </c>
      <c r="G33" s="3">
        <v>1045.01</v>
      </c>
      <c r="H33" t="str">
        <f>"ACCT#9725-007/PCT#4"</f>
        <v>ACCT#9725-007/PCT#4</v>
      </c>
    </row>
    <row r="34" spans="1:8" x14ac:dyDescent="0.25">
      <c r="E34" t="str">
        <f>"9725-007-120434"</f>
        <v>9725-007-120434</v>
      </c>
      <c r="F34" t="str">
        <f>"ACCT#9725-007/PCT#4"</f>
        <v>ACCT#9725-007/PCT#4</v>
      </c>
      <c r="G34" s="3">
        <v>1218.97</v>
      </c>
      <c r="H34" t="str">
        <f>"ACCT#9725-007/PCT#4"</f>
        <v>ACCT#9725-007/PCT#4</v>
      </c>
    </row>
    <row r="35" spans="1:8" x14ac:dyDescent="0.25">
      <c r="E35" t="str">
        <f>"9725-018-120440"</f>
        <v>9725-018-120440</v>
      </c>
      <c r="F35" t="str">
        <f>"ACCT#9725-018/PCT#1"</f>
        <v>ACCT#9725-018/PCT#1</v>
      </c>
      <c r="G35" s="3">
        <v>1213.9000000000001</v>
      </c>
      <c r="H35" t="str">
        <f>"ACCT#9725-018/PCT#1"</f>
        <v>ACCT#9725-018/PCT#1</v>
      </c>
    </row>
    <row r="36" spans="1:8" x14ac:dyDescent="0.25">
      <c r="E36" t="str">
        <f>"97252-001-120481"</f>
        <v>97252-001-120481</v>
      </c>
      <c r="F36" t="str">
        <f>"ACCT#9725-001/PCT#2"</f>
        <v>ACCT#9725-001/PCT#2</v>
      </c>
      <c r="G36" s="3">
        <v>2960.15</v>
      </c>
      <c r="H36" t="str">
        <f>"ACCT#9725-001/PCT#2"</f>
        <v>ACCT#9725-001/PCT#2</v>
      </c>
    </row>
    <row r="37" spans="1:8" x14ac:dyDescent="0.25">
      <c r="A37" t="s">
        <v>10</v>
      </c>
      <c r="B37">
        <v>134533</v>
      </c>
      <c r="C37" s="3">
        <v>225.46</v>
      </c>
      <c r="D37" s="6">
        <v>44235</v>
      </c>
      <c r="E37" t="str">
        <f>"7791459"</f>
        <v>7791459</v>
      </c>
      <c r="F37" t="str">
        <f>"CUST#16500/PCT#4"</f>
        <v>CUST#16500/PCT#4</v>
      </c>
      <c r="G37" s="3">
        <v>225.46</v>
      </c>
      <c r="H37" t="str">
        <f>"CUST#16500/PCT#4"</f>
        <v>CUST#16500/PCT#4</v>
      </c>
    </row>
    <row r="38" spans="1:8" x14ac:dyDescent="0.25">
      <c r="A38" t="s">
        <v>11</v>
      </c>
      <c r="B38">
        <v>134659</v>
      </c>
      <c r="C38" s="3">
        <v>1007.5</v>
      </c>
      <c r="D38" s="6">
        <v>44253</v>
      </c>
      <c r="E38" t="str">
        <f>"123549"</f>
        <v>123549</v>
      </c>
      <c r="F38" t="str">
        <f>"ROLL 8X150/PCT#1"</f>
        <v>ROLL 8X150/PCT#1</v>
      </c>
      <c r="G38" s="3">
        <v>1007.5</v>
      </c>
      <c r="H38" t="str">
        <f>"ROLL 8X150/PCT#1"</f>
        <v>ROLL 8X150/PCT#1</v>
      </c>
    </row>
    <row r="39" spans="1:8" x14ac:dyDescent="0.25">
      <c r="A39" t="s">
        <v>12</v>
      </c>
      <c r="B39">
        <v>134660</v>
      </c>
      <c r="C39" s="3">
        <v>1115</v>
      </c>
      <c r="D39" s="6">
        <v>44253</v>
      </c>
      <c r="E39" t="str">
        <f>"202102091653"</f>
        <v>202102091653</v>
      </c>
      <c r="F39" t="str">
        <f>"21-20542"</f>
        <v>21-20542</v>
      </c>
      <c r="G39" s="3">
        <v>175</v>
      </c>
      <c r="H39" t="str">
        <f>"21-20542"</f>
        <v>21-20542</v>
      </c>
    </row>
    <row r="40" spans="1:8" x14ac:dyDescent="0.25">
      <c r="E40" t="str">
        <f>"202102091654"</f>
        <v>202102091654</v>
      </c>
      <c r="F40" t="str">
        <f>"21-20568"</f>
        <v>21-20568</v>
      </c>
      <c r="G40" s="3">
        <v>52.5</v>
      </c>
      <c r="H40" t="str">
        <f>"21-20568"</f>
        <v>21-20568</v>
      </c>
    </row>
    <row r="41" spans="1:8" x14ac:dyDescent="0.25">
      <c r="E41" t="str">
        <f>"202102091655"</f>
        <v>202102091655</v>
      </c>
      <c r="F41" t="str">
        <f>"19-19811"</f>
        <v>19-19811</v>
      </c>
      <c r="G41" s="3">
        <v>100</v>
      </c>
      <c r="H41" t="str">
        <f>"19-19811"</f>
        <v>19-19811</v>
      </c>
    </row>
    <row r="42" spans="1:8" x14ac:dyDescent="0.25">
      <c r="E42" t="str">
        <f>"202102091656"</f>
        <v>202102091656</v>
      </c>
      <c r="F42" t="str">
        <f>"20-20454"</f>
        <v>20-20454</v>
      </c>
      <c r="G42" s="3">
        <v>272.5</v>
      </c>
      <c r="H42" t="str">
        <f>"20-20454"</f>
        <v>20-20454</v>
      </c>
    </row>
    <row r="43" spans="1:8" x14ac:dyDescent="0.25">
      <c r="E43" t="str">
        <f>"202102091657"</f>
        <v>202102091657</v>
      </c>
      <c r="F43" t="str">
        <f>"20-20321"</f>
        <v>20-20321</v>
      </c>
      <c r="G43" s="3">
        <v>60</v>
      </c>
      <c r="H43" t="str">
        <f>"20-20321"</f>
        <v>20-20321</v>
      </c>
    </row>
    <row r="44" spans="1:8" x14ac:dyDescent="0.25">
      <c r="E44" t="str">
        <f>"202102091658"</f>
        <v>202102091658</v>
      </c>
      <c r="F44" t="str">
        <f>"19-19864"</f>
        <v>19-19864</v>
      </c>
      <c r="G44" s="3">
        <v>167.5</v>
      </c>
      <c r="H44" t="str">
        <f>"19-19864"</f>
        <v>19-19864</v>
      </c>
    </row>
    <row r="45" spans="1:8" x14ac:dyDescent="0.25">
      <c r="E45" t="str">
        <f>"202102091659"</f>
        <v>202102091659</v>
      </c>
      <c r="F45" t="str">
        <f>"19-19703"</f>
        <v>19-19703</v>
      </c>
      <c r="G45" s="3">
        <v>287.5</v>
      </c>
      <c r="H45" t="str">
        <f>"19-19703"</f>
        <v>19-19703</v>
      </c>
    </row>
    <row r="46" spans="1:8" x14ac:dyDescent="0.25">
      <c r="A46" t="s">
        <v>13</v>
      </c>
      <c r="B46">
        <v>3977</v>
      </c>
      <c r="C46" s="3">
        <v>93.8</v>
      </c>
      <c r="D46" s="6">
        <v>44254</v>
      </c>
      <c r="E46" t="str">
        <f>"202102221736"</f>
        <v>202102221736</v>
      </c>
      <c r="F46" t="str">
        <f>"MAIL CHIMP/ ADENA LEWIS"</f>
        <v>MAIL CHIMP/ ADENA LEWIS</v>
      </c>
      <c r="G46" s="3">
        <v>93.8</v>
      </c>
      <c r="H46" t="str">
        <f>"MAIL CHIMP/ ADENA LEWIS"</f>
        <v>MAIL CHIMP/ ADENA LEWIS</v>
      </c>
    </row>
    <row r="47" spans="1:8" x14ac:dyDescent="0.25">
      <c r="A47" t="s">
        <v>14</v>
      </c>
      <c r="B47">
        <v>134661</v>
      </c>
      <c r="C47" s="3">
        <v>3384.25</v>
      </c>
      <c r="D47" s="6">
        <v>44253</v>
      </c>
      <c r="E47" t="str">
        <f>"202102091642"</f>
        <v>202102091642</v>
      </c>
      <c r="F47" t="str">
        <f>"Ahern Rentals"</f>
        <v>Ahern Rentals</v>
      </c>
      <c r="G47" s="3">
        <v>3384.25</v>
      </c>
      <c r="H47" t="str">
        <f>"BOOM ATRICULATED 49'"</f>
        <v>BOOM ATRICULATED 49'</v>
      </c>
    </row>
    <row r="48" spans="1:8" x14ac:dyDescent="0.25">
      <c r="E48" t="str">
        <f>""</f>
        <v/>
      </c>
      <c r="F48" t="str">
        <f>""</f>
        <v/>
      </c>
      <c r="H48" t="str">
        <f>"EVIROMENTAL CHARGE"</f>
        <v>EVIROMENTAL CHARGE</v>
      </c>
    </row>
    <row r="49" spans="1:8" x14ac:dyDescent="0.25">
      <c r="E49" t="str">
        <f>""</f>
        <v/>
      </c>
      <c r="F49" t="str">
        <f>""</f>
        <v/>
      </c>
      <c r="H49" t="str">
        <f>"TDHET"</f>
        <v>TDHET</v>
      </c>
    </row>
    <row r="50" spans="1:8" x14ac:dyDescent="0.25">
      <c r="E50" t="str">
        <f>""</f>
        <v/>
      </c>
      <c r="F50" t="str">
        <f>""</f>
        <v/>
      </c>
      <c r="H50" t="str">
        <f>"RENTALPROTECTIONPLAN"</f>
        <v>RENTALPROTECTIONPLAN</v>
      </c>
    </row>
    <row r="51" spans="1:8" x14ac:dyDescent="0.25">
      <c r="A51" t="s">
        <v>15</v>
      </c>
      <c r="B51">
        <v>134534</v>
      </c>
      <c r="C51" s="3">
        <v>8129.09</v>
      </c>
      <c r="D51" s="6">
        <v>44235</v>
      </c>
      <c r="E51" t="str">
        <f>"7373341"</f>
        <v>7373341</v>
      </c>
      <c r="F51" t="str">
        <f>"Emergency repair road"</f>
        <v>Emergency repair road</v>
      </c>
      <c r="G51" s="3">
        <v>8129.09</v>
      </c>
      <c r="H51" t="str">
        <f>"02979881"</f>
        <v>02979881</v>
      </c>
    </row>
    <row r="52" spans="1:8" x14ac:dyDescent="0.25">
      <c r="E52" t="str">
        <f>""</f>
        <v/>
      </c>
      <c r="F52" t="str">
        <f>""</f>
        <v/>
      </c>
      <c r="H52" t="str">
        <f>"02761500"</f>
        <v>02761500</v>
      </c>
    </row>
    <row r="53" spans="1:8" x14ac:dyDescent="0.25">
      <c r="E53" t="str">
        <f>""</f>
        <v/>
      </c>
      <c r="F53" t="str">
        <f>""</f>
        <v/>
      </c>
      <c r="H53" t="str">
        <f>"02957089"</f>
        <v>02957089</v>
      </c>
    </row>
    <row r="54" spans="1:8" x14ac:dyDescent="0.25">
      <c r="E54" t="str">
        <f>""</f>
        <v/>
      </c>
      <c r="F54" t="str">
        <f>""</f>
        <v/>
      </c>
      <c r="H54" t="str">
        <f>"02957089"</f>
        <v>02957089</v>
      </c>
    </row>
    <row r="55" spans="1:8" x14ac:dyDescent="0.25">
      <c r="E55" t="str">
        <f>""</f>
        <v/>
      </c>
      <c r="F55" t="str">
        <f>""</f>
        <v/>
      </c>
      <c r="H55" t="str">
        <f>"FREIGHT AND HANDLING"</f>
        <v>FREIGHT AND HANDLING</v>
      </c>
    </row>
    <row r="56" spans="1:8" x14ac:dyDescent="0.25">
      <c r="A56" t="s">
        <v>16</v>
      </c>
      <c r="B56">
        <v>3941</v>
      </c>
      <c r="C56" s="3">
        <v>1200</v>
      </c>
      <c r="D56" s="6">
        <v>44236</v>
      </c>
      <c r="E56" t="str">
        <f>"202102021439"</f>
        <v>202102021439</v>
      </c>
      <c r="F56" t="str">
        <f>"17258"</f>
        <v>17258</v>
      </c>
      <c r="G56" s="3">
        <v>600</v>
      </c>
      <c r="H56" t="str">
        <f>"17258"</f>
        <v>17258</v>
      </c>
    </row>
    <row r="57" spans="1:8" x14ac:dyDescent="0.25">
      <c r="E57" t="str">
        <f>"202102021440"</f>
        <v>202102021440</v>
      </c>
      <c r="F57" t="str">
        <f>"17-280"</f>
        <v>17-280</v>
      </c>
      <c r="G57" s="3">
        <v>600</v>
      </c>
      <c r="H57" t="str">
        <f>"17-280"</f>
        <v>17-280</v>
      </c>
    </row>
    <row r="58" spans="1:8" x14ac:dyDescent="0.25">
      <c r="A58" t="s">
        <v>16</v>
      </c>
      <c r="B58">
        <v>4020</v>
      </c>
      <c r="C58" s="3">
        <v>700</v>
      </c>
      <c r="D58" s="6">
        <v>44254</v>
      </c>
      <c r="E58" t="str">
        <f>"202102091684"</f>
        <v>202102091684</v>
      </c>
      <c r="F58" t="str">
        <f>"1722-21"</f>
        <v>1722-21</v>
      </c>
      <c r="G58" s="3">
        <v>100</v>
      </c>
      <c r="H58" t="str">
        <f>"1722-21"</f>
        <v>1722-21</v>
      </c>
    </row>
    <row r="59" spans="1:8" x14ac:dyDescent="0.25">
      <c r="E59" t="str">
        <f>"202102091685"</f>
        <v>202102091685</v>
      </c>
      <c r="F59" t="str">
        <f>"16850"</f>
        <v>16850</v>
      </c>
      <c r="G59" s="3">
        <v>600</v>
      </c>
      <c r="H59" t="str">
        <f>"16850"</f>
        <v>16850</v>
      </c>
    </row>
    <row r="60" spans="1:8" x14ac:dyDescent="0.25">
      <c r="A60" t="s">
        <v>17</v>
      </c>
      <c r="B60">
        <v>134535</v>
      </c>
      <c r="C60" s="3">
        <v>270</v>
      </c>
      <c r="D60" s="6">
        <v>44235</v>
      </c>
      <c r="E60" t="str">
        <f>"202102031589"</f>
        <v>202102031589</v>
      </c>
      <c r="F60" t="str">
        <f>"PER DIEM"</f>
        <v>PER DIEM</v>
      </c>
      <c r="G60" s="3">
        <v>270</v>
      </c>
      <c r="H60" t="str">
        <f>"PER DIEM"</f>
        <v>PER DIEM</v>
      </c>
    </row>
    <row r="61" spans="1:8" x14ac:dyDescent="0.25">
      <c r="A61" t="s">
        <v>18</v>
      </c>
      <c r="B61">
        <v>3902</v>
      </c>
      <c r="C61" s="3">
        <v>6769.29</v>
      </c>
      <c r="D61" s="6">
        <v>44236</v>
      </c>
      <c r="E61" t="str">
        <f>"202102011437"</f>
        <v>202102011437</v>
      </c>
      <c r="F61" t="str">
        <f>"HAULING/PCT#4"</f>
        <v>HAULING/PCT#4</v>
      </c>
      <c r="G61" s="3">
        <v>6769.29</v>
      </c>
      <c r="H61" t="str">
        <f>"HAULING/PCT#4"</f>
        <v>HAULING/PCT#4</v>
      </c>
    </row>
    <row r="62" spans="1:8" x14ac:dyDescent="0.25">
      <c r="A62" t="s">
        <v>19</v>
      </c>
      <c r="B62">
        <v>3920</v>
      </c>
      <c r="C62" s="3">
        <v>1200.18</v>
      </c>
      <c r="D62" s="6">
        <v>44236</v>
      </c>
      <c r="E62" t="str">
        <f>"111-5366993"</f>
        <v>111-5366993</v>
      </c>
      <c r="F62" t="str">
        <f>"Amazon Order Masks"</f>
        <v>Amazon Order Masks</v>
      </c>
      <c r="G62" s="3">
        <v>479.76</v>
      </c>
      <c r="H62" t="str">
        <f>"Amazon Order Masks"</f>
        <v>Amazon Order Masks</v>
      </c>
    </row>
    <row r="63" spans="1:8" x14ac:dyDescent="0.25">
      <c r="E63" t="str">
        <f>"1KTT-DVTQ-61MW"</f>
        <v>1KTT-DVTQ-61MW</v>
      </c>
      <c r="F63" t="str">
        <f>"Amazon Arrow Shed"</f>
        <v>Amazon Arrow Shed</v>
      </c>
      <c r="G63" s="3">
        <v>239.99</v>
      </c>
      <c r="H63" t="str">
        <f>"Amazon Arrow Shed"</f>
        <v>Amazon Arrow Shed</v>
      </c>
    </row>
    <row r="64" spans="1:8" x14ac:dyDescent="0.25">
      <c r="E64" t="str">
        <f>"22391"</f>
        <v>22391</v>
      </c>
      <c r="F64" t="str">
        <f>"Amazon Order"</f>
        <v>Amazon Order</v>
      </c>
      <c r="G64" s="3">
        <v>50.91</v>
      </c>
      <c r="H64" t="str">
        <f>"Rolling File Cart"</f>
        <v>Rolling File Cart</v>
      </c>
    </row>
    <row r="65" spans="1:8" x14ac:dyDescent="0.25">
      <c r="E65" t="str">
        <f>"22406"</f>
        <v>22406</v>
      </c>
      <c r="F65" t="str">
        <f>"Amazon Plastic Sheeting"</f>
        <v>Amazon Plastic Sheeting</v>
      </c>
      <c r="G65" s="3">
        <v>29.99</v>
      </c>
      <c r="H65" t="str">
        <f>"Amazon Plastic Sheeting"</f>
        <v>Amazon Plastic Sheeting</v>
      </c>
    </row>
    <row r="66" spans="1:8" x14ac:dyDescent="0.25">
      <c r="E66" t="str">
        <f>"22438"</f>
        <v>22438</v>
      </c>
      <c r="F66" t="str">
        <f>"Amazon Paper Towel Rolls"</f>
        <v>Amazon Paper Towel Rolls</v>
      </c>
      <c r="G66" s="3">
        <v>114.9</v>
      </c>
      <c r="H66" t="str">
        <f>"Amazon Paper Towel Rolls"</f>
        <v>Amazon Paper Towel Rolls</v>
      </c>
    </row>
    <row r="67" spans="1:8" x14ac:dyDescent="0.25">
      <c r="E67" t="str">
        <f>"22539"</f>
        <v>22539</v>
      </c>
      <c r="F67" t="str">
        <f>"Amazon Anker 3.0 SD Card"</f>
        <v>Amazon Anker 3.0 SD Card</v>
      </c>
      <c r="G67" s="3">
        <v>26.98</v>
      </c>
      <c r="H67" t="str">
        <f>"Amazon Anker 3.0 SD Card"</f>
        <v>Amazon Anker 3.0 SD Card</v>
      </c>
    </row>
    <row r="68" spans="1:8" x14ac:dyDescent="0.25">
      <c r="E68" t="str">
        <f>"22546"</f>
        <v>22546</v>
      </c>
      <c r="F68" t="str">
        <f>"Amazon Shop TicketHolder"</f>
        <v>Amazon Shop TicketHolder</v>
      </c>
      <c r="G68" s="3">
        <v>82.45</v>
      </c>
      <c r="H68" t="str">
        <f>"Amazon Shop TicketHolder"</f>
        <v>Amazon Shop TicketHolder</v>
      </c>
    </row>
    <row r="69" spans="1:8" x14ac:dyDescent="0.25">
      <c r="E69" t="str">
        <f>"22564"</f>
        <v>22564</v>
      </c>
      <c r="F69" t="str">
        <f>"Rugged Warranty Renewal"</f>
        <v>Rugged Warranty Renewal</v>
      </c>
      <c r="G69" s="3">
        <v>175.2</v>
      </c>
      <c r="H69" t="str">
        <f>"Rugged Warranty Renewal"</f>
        <v>Rugged Warranty Renewal</v>
      </c>
    </row>
    <row r="70" spans="1:8" x14ac:dyDescent="0.25">
      <c r="A70" t="s">
        <v>19</v>
      </c>
      <c r="B70">
        <v>3995</v>
      </c>
      <c r="C70" s="3">
        <v>1633.92</v>
      </c>
      <c r="D70" s="6">
        <v>44254</v>
      </c>
      <c r="E70" t="str">
        <f>"202102091639"</f>
        <v>202102091639</v>
      </c>
      <c r="F70" t="str">
        <f>"Volleyball Net"</f>
        <v>Volleyball Net</v>
      </c>
      <c r="G70" s="3">
        <v>58.99</v>
      </c>
      <c r="H70" t="str">
        <f>"Volleyball Net"</f>
        <v>Volleyball Net</v>
      </c>
    </row>
    <row r="71" spans="1:8" x14ac:dyDescent="0.25">
      <c r="E71" t="str">
        <f>"202102091640"</f>
        <v>202102091640</v>
      </c>
      <c r="F71" t="str">
        <f>"AMAZON CAPITAL SERVICES INC"</f>
        <v>AMAZON CAPITAL SERVICES INC</v>
      </c>
      <c r="G71" s="3">
        <v>483.98</v>
      </c>
      <c r="H71" t="str">
        <f>"CarTrunkOrganizer"</f>
        <v>CarTrunkOrganizer</v>
      </c>
    </row>
    <row r="72" spans="1:8" x14ac:dyDescent="0.25">
      <c r="E72" t="str">
        <f>""</f>
        <v/>
      </c>
      <c r="F72" t="str">
        <f>""</f>
        <v/>
      </c>
      <c r="H72" t="str">
        <f>"Weather Meter"</f>
        <v>Weather Meter</v>
      </c>
    </row>
    <row r="73" spans="1:8" x14ac:dyDescent="0.25">
      <c r="E73" t="str">
        <f>""</f>
        <v/>
      </c>
      <c r="F73" t="str">
        <f>""</f>
        <v/>
      </c>
      <c r="H73" t="str">
        <f>"PortablePowerStation"</f>
        <v>PortablePowerStation</v>
      </c>
    </row>
    <row r="74" spans="1:8" x14ac:dyDescent="0.25">
      <c r="E74" t="str">
        <f>"202102091641"</f>
        <v>202102091641</v>
      </c>
      <c r="F74" t="str">
        <f>"Amazon Order"</f>
        <v>Amazon Order</v>
      </c>
      <c r="G74" s="3">
        <v>70.78</v>
      </c>
      <c r="H74" t="str">
        <f>"Pendaflex Standard"</f>
        <v>Pendaflex Standard</v>
      </c>
    </row>
    <row r="75" spans="1:8" x14ac:dyDescent="0.25">
      <c r="E75" t="str">
        <f>""</f>
        <v/>
      </c>
      <c r="F75" t="str">
        <f>""</f>
        <v/>
      </c>
      <c r="H75" t="str">
        <f>"Pendaflex 1"</f>
        <v>Pendaflex 1</v>
      </c>
    </row>
    <row r="76" spans="1:8" x14ac:dyDescent="0.25">
      <c r="E76" t="str">
        <f>"202102091647"</f>
        <v>202102091647</v>
      </c>
      <c r="F76" t="str">
        <f>"Amazon Order"</f>
        <v>Amazon Order</v>
      </c>
      <c r="G76" s="3">
        <v>628.89</v>
      </c>
      <c r="H76" t="str">
        <f>"Fuel Caddy"</f>
        <v>Fuel Caddy</v>
      </c>
    </row>
    <row r="77" spans="1:8" x14ac:dyDescent="0.25">
      <c r="E77" t="str">
        <f>""</f>
        <v/>
      </c>
      <c r="F77" t="str">
        <f>""</f>
        <v/>
      </c>
      <c r="H77" t="str">
        <f>"Rubber Bands"</f>
        <v>Rubber Bands</v>
      </c>
    </row>
    <row r="78" spans="1:8" x14ac:dyDescent="0.25">
      <c r="E78" t="str">
        <f>""</f>
        <v/>
      </c>
      <c r="F78" t="str">
        <f>""</f>
        <v/>
      </c>
      <c r="H78" t="str">
        <f>"E-Track Kit"</f>
        <v>E-Track Kit</v>
      </c>
    </row>
    <row r="79" spans="1:8" x14ac:dyDescent="0.25">
      <c r="E79" t="str">
        <f>"21130"</f>
        <v>21130</v>
      </c>
      <c r="F79" t="str">
        <f>"AMAZON CAPITAL SERVICES INC"</f>
        <v>AMAZON CAPITAL SERVICES INC</v>
      </c>
      <c r="G79" s="3">
        <v>168</v>
      </c>
      <c r="H79" t="str">
        <f>"Pet Carriers"</f>
        <v>Pet Carriers</v>
      </c>
    </row>
    <row r="80" spans="1:8" x14ac:dyDescent="0.25">
      <c r="E80" t="str">
        <f>"22592"</f>
        <v>22592</v>
      </c>
      <c r="F80" t="str">
        <f>"Amazon Order"</f>
        <v>Amazon Order</v>
      </c>
      <c r="G80" s="3">
        <v>162.34</v>
      </c>
      <c r="H80" t="str">
        <f>"22 MonitorAntiGlare"</f>
        <v>22 MonitorAntiGlare</v>
      </c>
    </row>
    <row r="81" spans="1:8" x14ac:dyDescent="0.25">
      <c r="E81" t="str">
        <f>""</f>
        <v/>
      </c>
      <c r="F81" t="str">
        <f>""</f>
        <v/>
      </c>
      <c r="H81" t="str">
        <f>"23 MonitorAntiGlare"</f>
        <v>23 MonitorAntiGlare</v>
      </c>
    </row>
    <row r="82" spans="1:8" x14ac:dyDescent="0.25">
      <c r="E82" t="str">
        <f>""</f>
        <v/>
      </c>
      <c r="F82" t="str">
        <f>""</f>
        <v/>
      </c>
      <c r="H82" t="str">
        <f>"Measuring Wheel 6"</f>
        <v>Measuring Wheel 6</v>
      </c>
    </row>
    <row r="83" spans="1:8" x14ac:dyDescent="0.25">
      <c r="E83" t="str">
        <f>""</f>
        <v/>
      </c>
      <c r="F83" t="str">
        <f>""</f>
        <v/>
      </c>
      <c r="H83" t="str">
        <f>"WestcottWoodYardStic"</f>
        <v>WestcottWoodYardStic</v>
      </c>
    </row>
    <row r="84" spans="1:8" x14ac:dyDescent="0.25">
      <c r="E84" t="str">
        <f>""</f>
        <v/>
      </c>
      <c r="F84" t="str">
        <f>""</f>
        <v/>
      </c>
      <c r="H84" t="str">
        <f>"MasscaHardwareBox"</f>
        <v>MasscaHardwareBox</v>
      </c>
    </row>
    <row r="85" spans="1:8" x14ac:dyDescent="0.25">
      <c r="E85" t="str">
        <f>"22695"</f>
        <v>22695</v>
      </c>
      <c r="F85" t="str">
        <f>"Amazon Order"</f>
        <v>Amazon Order</v>
      </c>
      <c r="G85" s="3">
        <v>60.94</v>
      </c>
      <c r="H85" t="str">
        <f>"AdapterMicrophoCable"</f>
        <v>AdapterMicrophoCable</v>
      </c>
    </row>
    <row r="86" spans="1:8" x14ac:dyDescent="0.25">
      <c r="E86" t="str">
        <f>""</f>
        <v/>
      </c>
      <c r="F86" t="str">
        <f>""</f>
        <v/>
      </c>
      <c r="H86" t="str">
        <f>"LEDvideolightcolor"</f>
        <v>LEDvideolightcolor</v>
      </c>
    </row>
    <row r="87" spans="1:8" x14ac:dyDescent="0.25">
      <c r="E87" t="str">
        <f>""</f>
        <v/>
      </c>
      <c r="F87" t="str">
        <f>""</f>
        <v/>
      </c>
      <c r="H87" t="str">
        <f>"UlanziPT-3MicroMount"</f>
        <v>UlanziPT-3MicroMount</v>
      </c>
    </row>
    <row r="88" spans="1:8" x14ac:dyDescent="0.25">
      <c r="A88" t="s">
        <v>20</v>
      </c>
      <c r="B88">
        <v>134662</v>
      </c>
      <c r="C88" s="3">
        <v>36.9</v>
      </c>
      <c r="D88" s="6">
        <v>44253</v>
      </c>
      <c r="E88" t="str">
        <f>"211361265"</f>
        <v>211361265</v>
      </c>
      <c r="F88" t="str">
        <f>"INV 01-211361265"</f>
        <v>INV 01-211361265</v>
      </c>
      <c r="G88" s="3">
        <v>36.9</v>
      </c>
      <c r="H88" t="str">
        <f>"INV 01-211361265"</f>
        <v>INV 01-211361265</v>
      </c>
    </row>
    <row r="89" spans="1:8" x14ac:dyDescent="0.25">
      <c r="A89" t="s">
        <v>21</v>
      </c>
      <c r="B89">
        <v>134536</v>
      </c>
      <c r="C89" s="3">
        <v>25.6</v>
      </c>
      <c r="D89" s="6">
        <v>44235</v>
      </c>
      <c r="E89" t="str">
        <f>"5404362"</f>
        <v>5404362</v>
      </c>
      <c r="F89" t="str">
        <f>"CUST#102290/PCT#3"</f>
        <v>CUST#102290/PCT#3</v>
      </c>
      <c r="G89" s="3">
        <v>25.6</v>
      </c>
      <c r="H89" t="str">
        <f>"CUST#102290/PCT#3"</f>
        <v>CUST#102290/PCT#3</v>
      </c>
    </row>
    <row r="90" spans="1:8" x14ac:dyDescent="0.25">
      <c r="A90" t="s">
        <v>22</v>
      </c>
      <c r="B90">
        <v>134537</v>
      </c>
      <c r="C90" s="3">
        <v>465.54</v>
      </c>
      <c r="D90" s="6">
        <v>44235</v>
      </c>
      <c r="E90" t="str">
        <f>"986174565"</f>
        <v>986174565</v>
      </c>
      <c r="F90" t="str">
        <f>"INV 986174565"</f>
        <v>INV 986174565</v>
      </c>
      <c r="G90" s="3">
        <v>465.54</v>
      </c>
      <c r="H90" t="str">
        <f>"INV 986174565"</f>
        <v>INV 986174565</v>
      </c>
    </row>
    <row r="91" spans="1:8" x14ac:dyDescent="0.25">
      <c r="E91" t="str">
        <f>""</f>
        <v/>
      </c>
      <c r="F91" t="str">
        <f>""</f>
        <v/>
      </c>
      <c r="H91" t="str">
        <f>"INV 986174566"</f>
        <v>INV 986174566</v>
      </c>
    </row>
    <row r="92" spans="1:8" x14ac:dyDescent="0.25">
      <c r="A92" t="s">
        <v>22</v>
      </c>
      <c r="B92">
        <v>134663</v>
      </c>
      <c r="C92" s="3">
        <v>202.94</v>
      </c>
      <c r="D92" s="6">
        <v>44253</v>
      </c>
      <c r="E92" t="str">
        <f>"987206520"</f>
        <v>987206520</v>
      </c>
      <c r="F92" t="str">
        <f>"INV 987206520"</f>
        <v>INV 987206520</v>
      </c>
      <c r="G92" s="3">
        <v>202.94</v>
      </c>
      <c r="H92" t="str">
        <f>"INV 987206520"</f>
        <v>INV 987206520</v>
      </c>
    </row>
    <row r="93" spans="1:8" x14ac:dyDescent="0.25">
      <c r="E93" t="str">
        <f>""</f>
        <v/>
      </c>
      <c r="F93" t="str">
        <f>""</f>
        <v/>
      </c>
      <c r="H93" t="str">
        <f>"INV 987206521"</f>
        <v>INV 987206521</v>
      </c>
    </row>
    <row r="94" spans="1:8" x14ac:dyDescent="0.25">
      <c r="A94" t="s">
        <v>23</v>
      </c>
      <c r="B94">
        <v>134538</v>
      </c>
      <c r="C94" s="3">
        <v>1170</v>
      </c>
      <c r="D94" s="6">
        <v>44235</v>
      </c>
      <c r="E94" t="str">
        <f>"113415"</f>
        <v>113415</v>
      </c>
      <c r="F94" t="str">
        <f>"BBM APPLICATIONS/ELECTIONS"</f>
        <v>BBM APPLICATIONS/ELECTIONS</v>
      </c>
      <c r="G94" s="3">
        <v>1170</v>
      </c>
      <c r="H94" t="str">
        <f>"BBM APPLICATIONS/ELECTIONS"</f>
        <v>BBM APPLICATIONS/ELECTIONS</v>
      </c>
    </row>
    <row r="95" spans="1:8" x14ac:dyDescent="0.25">
      <c r="A95" t="s">
        <v>24</v>
      </c>
      <c r="B95">
        <v>3950</v>
      </c>
      <c r="C95" s="3">
        <v>625</v>
      </c>
      <c r="D95" s="6">
        <v>44236</v>
      </c>
      <c r="E95" t="str">
        <f>"202102021528"</f>
        <v>202102021528</v>
      </c>
      <c r="F95" t="str">
        <f>"57-424"</f>
        <v>57-424</v>
      </c>
      <c r="G95" s="3">
        <v>375</v>
      </c>
      <c r="H95" t="str">
        <f>"57-424"</f>
        <v>57-424</v>
      </c>
    </row>
    <row r="96" spans="1:8" x14ac:dyDescent="0.25">
      <c r="E96" t="str">
        <f>"202102021529"</f>
        <v>202102021529</v>
      </c>
      <c r="F96" t="str">
        <f>"57-439"</f>
        <v>57-439</v>
      </c>
      <c r="G96" s="3">
        <v>250</v>
      </c>
      <c r="H96" t="str">
        <f>"57-439"</f>
        <v>57-439</v>
      </c>
    </row>
    <row r="97" spans="1:8" x14ac:dyDescent="0.25">
      <c r="A97" t="s">
        <v>24</v>
      </c>
      <c r="B97">
        <v>4035</v>
      </c>
      <c r="C97" s="3">
        <v>4720</v>
      </c>
      <c r="D97" s="6">
        <v>44254</v>
      </c>
      <c r="E97" t="str">
        <f>"202102091666"</f>
        <v>202102091666</v>
      </c>
      <c r="F97" t="str">
        <f>"57-538"</f>
        <v>57-538</v>
      </c>
      <c r="G97" s="3">
        <v>250</v>
      </c>
      <c r="H97" t="str">
        <f>"57-538"</f>
        <v>57-538</v>
      </c>
    </row>
    <row r="98" spans="1:8" x14ac:dyDescent="0.25">
      <c r="E98" t="str">
        <f>"202102221728"</f>
        <v>202102221728</v>
      </c>
      <c r="F98" t="str">
        <f>"20-20403"</f>
        <v>20-20403</v>
      </c>
      <c r="G98" s="3">
        <v>547.5</v>
      </c>
      <c r="H98" t="str">
        <f>"20-20403"</f>
        <v>20-20403</v>
      </c>
    </row>
    <row r="99" spans="1:8" x14ac:dyDescent="0.25">
      <c r="E99" t="str">
        <f>"202102221729"</f>
        <v>202102221729</v>
      </c>
      <c r="F99" t="str">
        <f>"21-20562"</f>
        <v>21-20562</v>
      </c>
      <c r="G99" s="3">
        <v>645</v>
      </c>
      <c r="H99" t="str">
        <f>"21-20562"</f>
        <v>21-20562</v>
      </c>
    </row>
    <row r="100" spans="1:8" x14ac:dyDescent="0.25">
      <c r="E100" t="str">
        <f>"202102221730"</f>
        <v>202102221730</v>
      </c>
      <c r="F100" t="str">
        <f>"15-17399"</f>
        <v>15-17399</v>
      </c>
      <c r="G100" s="3">
        <v>90</v>
      </c>
      <c r="H100" t="str">
        <f>"15-17399"</f>
        <v>15-17399</v>
      </c>
    </row>
    <row r="101" spans="1:8" x14ac:dyDescent="0.25">
      <c r="E101" t="str">
        <f>"202102221731"</f>
        <v>202102221731</v>
      </c>
      <c r="F101" t="str">
        <f>"20-20179"</f>
        <v>20-20179</v>
      </c>
      <c r="G101" s="3">
        <v>487.5</v>
      </c>
      <c r="H101" t="str">
        <f>"20-20179"</f>
        <v>20-20179</v>
      </c>
    </row>
    <row r="102" spans="1:8" x14ac:dyDescent="0.25">
      <c r="E102" t="str">
        <f>"202102231774"</f>
        <v>202102231774</v>
      </c>
      <c r="F102" t="str">
        <f>"40123213"</f>
        <v>40123213</v>
      </c>
      <c r="G102" s="3">
        <v>400</v>
      </c>
      <c r="H102" t="str">
        <f>"40123213"</f>
        <v>40123213</v>
      </c>
    </row>
    <row r="103" spans="1:8" x14ac:dyDescent="0.25">
      <c r="E103" t="str">
        <f>"202102231775"</f>
        <v>202102231775</v>
      </c>
      <c r="F103" t="str">
        <f>"423-7651"</f>
        <v>423-7651</v>
      </c>
      <c r="G103" s="3">
        <v>100</v>
      </c>
      <c r="H103" t="str">
        <f>"423-7651"</f>
        <v>423-7651</v>
      </c>
    </row>
    <row r="104" spans="1:8" x14ac:dyDescent="0.25">
      <c r="E104" t="str">
        <f>"202102231776"</f>
        <v>202102231776</v>
      </c>
      <c r="F104" t="str">
        <f>"17-176"</f>
        <v>17-176</v>
      </c>
      <c r="G104" s="3">
        <v>600</v>
      </c>
      <c r="H104" t="str">
        <f>"17-176"</f>
        <v>17-176</v>
      </c>
    </row>
    <row r="105" spans="1:8" x14ac:dyDescent="0.25">
      <c r="E105" t="str">
        <f>"202102231777"</f>
        <v>202102231777</v>
      </c>
      <c r="F105" t="str">
        <f>"1706-21"</f>
        <v>1706-21</v>
      </c>
      <c r="G105" s="3">
        <v>100</v>
      </c>
      <c r="H105" t="str">
        <f>"1706-21"</f>
        <v>1706-21</v>
      </c>
    </row>
    <row r="106" spans="1:8" x14ac:dyDescent="0.25">
      <c r="E106" t="str">
        <f>"202102231778"</f>
        <v>202102231778</v>
      </c>
      <c r="F106" t="str">
        <f>"1721-21"</f>
        <v>1721-21</v>
      </c>
      <c r="G106" s="3">
        <v>100</v>
      </c>
      <c r="H106" t="str">
        <f>"1721-21"</f>
        <v>1721-21</v>
      </c>
    </row>
    <row r="107" spans="1:8" x14ac:dyDescent="0.25">
      <c r="E107" t="str">
        <f>"202102231779"</f>
        <v>202102231779</v>
      </c>
      <c r="F107" t="str">
        <f>"426-7429"</f>
        <v>426-7429</v>
      </c>
      <c r="G107" s="3">
        <v>200</v>
      </c>
      <c r="H107" t="str">
        <f>"426-7429"</f>
        <v>426-7429</v>
      </c>
    </row>
    <row r="108" spans="1:8" x14ac:dyDescent="0.25">
      <c r="E108" t="str">
        <f>"202102231780"</f>
        <v>202102231780</v>
      </c>
      <c r="F108" t="str">
        <f>"1532-21/1537-335/423-7287"</f>
        <v>1532-21/1537-335/423-7287</v>
      </c>
      <c r="G108" s="3">
        <v>400</v>
      </c>
      <c r="H108" t="str">
        <f>"1532-21/1537-335/423-7287"</f>
        <v>1532-21/1537-335/423-7287</v>
      </c>
    </row>
    <row r="109" spans="1:8" x14ac:dyDescent="0.25">
      <c r="E109" t="str">
        <f>"202102231781"</f>
        <v>202102231781</v>
      </c>
      <c r="F109" t="str">
        <f>"JP111017A"</f>
        <v>JP111017A</v>
      </c>
      <c r="G109" s="3">
        <v>400</v>
      </c>
      <c r="H109" t="str">
        <f>"JP111017A"</f>
        <v>JP111017A</v>
      </c>
    </row>
    <row r="110" spans="1:8" x14ac:dyDescent="0.25">
      <c r="E110" t="str">
        <f>"202102231782"</f>
        <v>202102231782</v>
      </c>
      <c r="F110" t="str">
        <f>"17-061"</f>
        <v>17-061</v>
      </c>
      <c r="G110" s="3">
        <v>400</v>
      </c>
      <c r="H110" t="str">
        <f>"17-061"</f>
        <v>17-061</v>
      </c>
    </row>
    <row r="111" spans="1:8" x14ac:dyDescent="0.25">
      <c r="A111" t="s">
        <v>25</v>
      </c>
      <c r="B111">
        <v>134539</v>
      </c>
      <c r="C111" s="3">
        <v>1461.13</v>
      </c>
      <c r="D111" s="6">
        <v>44235</v>
      </c>
      <c r="E111" t="str">
        <f>"A49562"</f>
        <v>A49562</v>
      </c>
      <c r="F111" t="str">
        <f>"CUST#400290/PCT#3"</f>
        <v>CUST#400290/PCT#3</v>
      </c>
      <c r="G111" s="3">
        <v>1461.13</v>
      </c>
      <c r="H111" t="str">
        <f>"CUST#400290/PCT#3"</f>
        <v>CUST#400290/PCT#3</v>
      </c>
    </row>
    <row r="112" spans="1:8" x14ac:dyDescent="0.25">
      <c r="A112" t="s">
        <v>26</v>
      </c>
      <c r="B112">
        <v>134540</v>
      </c>
      <c r="C112" s="3">
        <v>389.97</v>
      </c>
      <c r="D112" s="6">
        <v>44235</v>
      </c>
      <c r="E112" t="str">
        <f>"43T078514"</f>
        <v>43T078514</v>
      </c>
      <c r="F112" t="str">
        <f>"INV 43T078514"</f>
        <v>INV 43T078514</v>
      </c>
      <c r="G112" s="3">
        <v>389.97</v>
      </c>
      <c r="H112" t="str">
        <f>"INV 43T078514"</f>
        <v>INV 43T078514</v>
      </c>
    </row>
    <row r="113" spans="1:8" x14ac:dyDescent="0.25">
      <c r="A113" t="s">
        <v>27</v>
      </c>
      <c r="B113">
        <v>134541</v>
      </c>
      <c r="C113" s="3">
        <v>18.489999999999998</v>
      </c>
      <c r="D113" s="6">
        <v>44235</v>
      </c>
      <c r="E113" t="str">
        <f>"175401"</f>
        <v>175401</v>
      </c>
      <c r="F113" t="str">
        <f>"ACCT#3-30533/PCT#2"</f>
        <v>ACCT#3-30533/PCT#2</v>
      </c>
      <c r="G113" s="3">
        <v>18.489999999999998</v>
      </c>
      <c r="H113" t="str">
        <f>"ACCT#3-30533/PCT#2"</f>
        <v>ACCT#3-30533/PCT#2</v>
      </c>
    </row>
    <row r="114" spans="1:8" x14ac:dyDescent="0.25">
      <c r="A114" t="s">
        <v>28</v>
      </c>
      <c r="B114">
        <v>134542</v>
      </c>
      <c r="C114" s="3">
        <v>474.68</v>
      </c>
      <c r="D114" s="6">
        <v>44235</v>
      </c>
      <c r="E114" t="str">
        <f>"202102021519"</f>
        <v>202102021519</v>
      </c>
      <c r="F114" t="str">
        <f>"ACCT#015199/ JP1"</f>
        <v>ACCT#015199/ JP1</v>
      </c>
      <c r="G114" s="3">
        <v>19.489999999999998</v>
      </c>
      <c r="H114" t="str">
        <f>"ACCT#015199/ JP1"</f>
        <v>ACCT#015199/ JP1</v>
      </c>
    </row>
    <row r="115" spans="1:8" x14ac:dyDescent="0.25">
      <c r="E115" t="str">
        <f>"202102021520"</f>
        <v>202102021520</v>
      </c>
      <c r="F115" t="str">
        <f>"ACCT#010311/COUNTY COURT"</f>
        <v>ACCT#010311/COUNTY COURT</v>
      </c>
      <c r="G115" s="3">
        <v>9</v>
      </c>
      <c r="H115" t="str">
        <f>"ACCT#010311/COUNTY COURT"</f>
        <v>ACCT#010311/COUNTY COURT</v>
      </c>
    </row>
    <row r="116" spans="1:8" x14ac:dyDescent="0.25">
      <c r="E116" t="str">
        <f>"202102031601"</f>
        <v>202102031601</v>
      </c>
      <c r="F116" t="str">
        <f>"ACCT#014877/INDIGENT HEALTH"</f>
        <v>ACCT#014877/INDIGENT HEALTH</v>
      </c>
      <c r="G116" s="3">
        <v>95.98</v>
      </c>
      <c r="H116" t="str">
        <f>"ACCT#014877/INDIGENT HEALTH"</f>
        <v>ACCT#014877/INDIGENT HEALTH</v>
      </c>
    </row>
    <row r="117" spans="1:8" x14ac:dyDescent="0.25">
      <c r="E117" t="str">
        <f>"202102031605"</f>
        <v>202102031605</v>
      </c>
      <c r="F117" t="str">
        <f>"ACCT#012803/BASTROP CO JUDGE"</f>
        <v>ACCT#012803/BASTROP CO JUDGE</v>
      </c>
      <c r="G117" s="3">
        <v>24</v>
      </c>
      <c r="H117" t="str">
        <f>"ACCT#012803/BASTROP CO JUDGE"</f>
        <v>ACCT#012803/BASTROP CO JUDGE</v>
      </c>
    </row>
    <row r="118" spans="1:8" x14ac:dyDescent="0.25">
      <c r="E118" t="str">
        <f>"206590"</f>
        <v>206590</v>
      </c>
      <c r="F118" t="str">
        <f>"ACCT#015476/PURCHASING"</f>
        <v>ACCT#015476/PURCHASING</v>
      </c>
      <c r="G118" s="3">
        <v>43.98</v>
      </c>
      <c r="H118" t="str">
        <f>"ACCT#015476/PURCHASING"</f>
        <v>ACCT#015476/PURCHASING</v>
      </c>
    </row>
    <row r="119" spans="1:8" x14ac:dyDescent="0.25">
      <c r="E119" t="str">
        <f>"206602"</f>
        <v>206602</v>
      </c>
      <c r="F119" t="str">
        <f>"ACCT#012259/DISTRICT CLERK"</f>
        <v>ACCT#012259/DISTRICT CLERK</v>
      </c>
      <c r="G119" s="3">
        <v>31.5</v>
      </c>
      <c r="H119" t="str">
        <f>"ACCT#012259/DISTRICT CLERK"</f>
        <v>ACCT#012259/DISTRICT CLERK</v>
      </c>
    </row>
    <row r="120" spans="1:8" x14ac:dyDescent="0.25">
      <c r="E120" t="str">
        <f>"257388"</f>
        <v>257388</v>
      </c>
      <c r="F120" t="str">
        <f>"ACCT#010238/GENERAL SERVICES"</f>
        <v>ACCT#010238/GENERAL SERVICES</v>
      </c>
      <c r="G120" s="3">
        <v>38.24</v>
      </c>
      <c r="H120" t="str">
        <f>"ACCT#010238/GENERAL SERVICES"</f>
        <v>ACCT#010238/GENERAL SERVICES</v>
      </c>
    </row>
    <row r="121" spans="1:8" x14ac:dyDescent="0.25">
      <c r="E121" t="str">
        <f>"259311"</f>
        <v>259311</v>
      </c>
      <c r="F121" t="str">
        <f>"ACCT#014737/ANIMAL SERVICE"</f>
        <v>ACCT#014737/ANIMAL SERVICE</v>
      </c>
      <c r="G121" s="3">
        <v>31.99</v>
      </c>
      <c r="H121" t="str">
        <f>"ACCT#014737/ANIMAL SERVICE"</f>
        <v>ACCT#014737/ANIMAL SERVICE</v>
      </c>
    </row>
    <row r="122" spans="1:8" x14ac:dyDescent="0.25">
      <c r="E122" t="str">
        <f>"260586"</f>
        <v>260586</v>
      </c>
      <c r="F122" t="str">
        <f>"ACCT#011280/COUNTY CLERK"</f>
        <v>ACCT#011280/COUNTY CLERK</v>
      </c>
      <c r="G122" s="3">
        <v>46.5</v>
      </c>
      <c r="H122" t="str">
        <f>"ACCT#011280/COUNTY CLERK"</f>
        <v>ACCT#011280/COUNTY CLERK</v>
      </c>
    </row>
    <row r="123" spans="1:8" x14ac:dyDescent="0.25">
      <c r="E123" t="str">
        <f>"260594"</f>
        <v>260594</v>
      </c>
      <c r="F123" t="str">
        <f>"ACCT#013393/HUMAN RES."</f>
        <v>ACCT#013393/HUMAN RES.</v>
      </c>
      <c r="G123" s="3">
        <v>27</v>
      </c>
      <c r="H123" t="str">
        <f>"ACCT#013393/HUMAN RES."</f>
        <v>ACCT#013393/HUMAN RES.</v>
      </c>
    </row>
    <row r="124" spans="1:8" x14ac:dyDescent="0.25">
      <c r="E124" t="str">
        <f>"260595"</f>
        <v>260595</v>
      </c>
      <c r="F124" t="str">
        <f>"ACCT#010602/COMMISSIONERS"</f>
        <v>ACCT#010602/COMMISSIONERS</v>
      </c>
      <c r="G124" s="3">
        <v>24</v>
      </c>
      <c r="H124" t="str">
        <f>"ACCT#010602/COMMISSIONERS"</f>
        <v>ACCT#010602/COMMISSIONERS</v>
      </c>
    </row>
    <row r="125" spans="1:8" x14ac:dyDescent="0.25">
      <c r="E125" t="str">
        <f>"260596"</f>
        <v>260596</v>
      </c>
      <c r="F125" t="str">
        <f>"ACCT#012571/TREASURER"</f>
        <v>ACCT#012571/TREASURER</v>
      </c>
      <c r="G125" s="3">
        <v>24</v>
      </c>
      <c r="H125" t="str">
        <f>"ACCT#012571/TREASURER"</f>
        <v>ACCT#012571/TREASURER</v>
      </c>
    </row>
    <row r="126" spans="1:8" x14ac:dyDescent="0.25">
      <c r="E126" t="str">
        <f>"260600"</f>
        <v>260600</v>
      </c>
      <c r="F126" t="str">
        <f>"ACCT#011474/ELECTIONS"</f>
        <v>ACCT#011474/ELECTIONS</v>
      </c>
      <c r="G126" s="3">
        <v>40</v>
      </c>
      <c r="H126" t="str">
        <f>"ACCT#011474/ELECTIONS"</f>
        <v>ACCT#011474/ELECTIONS</v>
      </c>
    </row>
    <row r="127" spans="1:8" x14ac:dyDescent="0.25">
      <c r="E127" t="str">
        <f>"261326"</f>
        <v>261326</v>
      </c>
      <c r="F127" t="str">
        <f>"ACCT#010057/AUDITOR"</f>
        <v>ACCT#010057/AUDITOR</v>
      </c>
      <c r="G127" s="3">
        <v>9</v>
      </c>
      <c r="H127" t="str">
        <f>"ACCT#010057/AUDITOR"</f>
        <v>ACCT#010057/AUDITOR</v>
      </c>
    </row>
    <row r="128" spans="1:8" x14ac:dyDescent="0.25">
      <c r="E128" t="str">
        <f>"261547"</f>
        <v>261547</v>
      </c>
      <c r="F128" t="str">
        <f>"ACCT#012231/DIST JUDGE OFFICE"</f>
        <v>ACCT#012231/DIST JUDGE OFFICE</v>
      </c>
      <c r="G128" s="3">
        <v>10</v>
      </c>
      <c r="H128" t="str">
        <f>"ACCT#012231/DIST JUDGE OFFICE"</f>
        <v>ACCT#012231/DIST JUDGE OFFICE</v>
      </c>
    </row>
    <row r="129" spans="1:8" x14ac:dyDescent="0.25">
      <c r="A129" t="s">
        <v>28</v>
      </c>
      <c r="B129">
        <v>134664</v>
      </c>
      <c r="C129" s="3">
        <v>26.99</v>
      </c>
      <c r="D129" s="6">
        <v>44253</v>
      </c>
      <c r="E129" t="str">
        <f>"260587"</f>
        <v>260587</v>
      </c>
      <c r="F129" t="str">
        <f>"ACCT#010835/PCT#1"</f>
        <v>ACCT#010835/PCT#1</v>
      </c>
      <c r="G129" s="3">
        <v>26.99</v>
      </c>
      <c r="H129" t="str">
        <f>"ACCT#010835/PCT#1"</f>
        <v>ACCT#010835/PCT#1</v>
      </c>
    </row>
    <row r="130" spans="1:8" x14ac:dyDescent="0.25">
      <c r="A130" t="s">
        <v>29</v>
      </c>
      <c r="B130">
        <v>134529</v>
      </c>
      <c r="C130" s="3">
        <v>64.88</v>
      </c>
      <c r="D130" s="6">
        <v>44231</v>
      </c>
      <c r="E130" t="str">
        <f>"202102041621"</f>
        <v>202102041621</v>
      </c>
      <c r="F130" t="str">
        <f>"ACCT#0201855301 / 01032021"</f>
        <v>ACCT#0201855301 / 01032021</v>
      </c>
      <c r="G130" s="3">
        <v>39.6</v>
      </c>
      <c r="H130" t="str">
        <f>"ACCT#0201855301 / 01032021"</f>
        <v>ACCT#0201855301 / 01032021</v>
      </c>
    </row>
    <row r="131" spans="1:8" x14ac:dyDescent="0.25">
      <c r="E131" t="str">
        <f>"202102041622"</f>
        <v>202102041622</v>
      </c>
      <c r="F131" t="str">
        <f>"ACCT#0201891401 / 01042021"</f>
        <v>ACCT#0201891401 / 01042021</v>
      </c>
      <c r="G131" s="3">
        <v>25.28</v>
      </c>
      <c r="H131" t="str">
        <f>"AQUA WATER SUPPLY CORPORATION"</f>
        <v>AQUA WATER SUPPLY CORPORATION</v>
      </c>
    </row>
    <row r="132" spans="1:8" x14ac:dyDescent="0.25">
      <c r="A132" t="s">
        <v>29</v>
      </c>
      <c r="B132">
        <v>134665</v>
      </c>
      <c r="C132" s="3">
        <v>338.25</v>
      </c>
      <c r="D132" s="6">
        <v>44253</v>
      </c>
      <c r="E132" t="str">
        <f>"202102091649"</f>
        <v>202102091649</v>
      </c>
      <c r="F132" t="str">
        <f>"ACCT#7700010025/PCT#2"</f>
        <v>ACCT#7700010025/PCT#2</v>
      </c>
      <c r="G132" s="3">
        <v>30.75</v>
      </c>
      <c r="H132" t="str">
        <f>"ACCT#7700010025/PCT#2"</f>
        <v>ACCT#7700010025/PCT#2</v>
      </c>
    </row>
    <row r="133" spans="1:8" x14ac:dyDescent="0.25">
      <c r="E133" t="str">
        <f>"202102091651"</f>
        <v>202102091651</v>
      </c>
      <c r="F133" t="str">
        <f>"ACCT#7700010027/PCT#4"</f>
        <v>ACCT#7700010027/PCT#4</v>
      </c>
      <c r="G133" s="3">
        <v>307.5</v>
      </c>
      <c r="H133" t="str">
        <f>"ACCT#7700010027/PCT#4"</f>
        <v>ACCT#7700010027/PCT#4</v>
      </c>
    </row>
    <row r="134" spans="1:8" x14ac:dyDescent="0.25">
      <c r="A134" t="s">
        <v>30</v>
      </c>
      <c r="B134">
        <v>134543</v>
      </c>
      <c r="C134" s="3">
        <v>556.25</v>
      </c>
      <c r="D134" s="6">
        <v>44235</v>
      </c>
      <c r="E134" t="str">
        <f>"202102031580"</f>
        <v>202102031580</v>
      </c>
      <c r="F134" t="str">
        <f>"JAIL MEDICAL"</f>
        <v>JAIL MEDICAL</v>
      </c>
      <c r="G134" s="3">
        <v>556.25</v>
      </c>
      <c r="H134" t="str">
        <f>"JAIL MEDICAL"</f>
        <v>JAIL MEDICAL</v>
      </c>
    </row>
    <row r="135" spans="1:8" x14ac:dyDescent="0.25">
      <c r="A135" t="s">
        <v>30</v>
      </c>
      <c r="B135">
        <v>134666</v>
      </c>
      <c r="C135" s="3">
        <v>235.76</v>
      </c>
      <c r="D135" s="6">
        <v>44253</v>
      </c>
      <c r="E135" t="str">
        <f>"4765*09011*1"</f>
        <v>4765*09011*1</v>
      </c>
      <c r="F135" t="str">
        <f>"JAIL MEDICAL"</f>
        <v>JAIL MEDICAL</v>
      </c>
      <c r="G135" s="3">
        <v>235.76</v>
      </c>
      <c r="H135" t="str">
        <f>"JAIL MEDICAL"</f>
        <v>JAIL MEDICAL</v>
      </c>
    </row>
    <row r="136" spans="1:8" x14ac:dyDescent="0.25">
      <c r="A136" t="s">
        <v>31</v>
      </c>
      <c r="B136">
        <v>3978</v>
      </c>
      <c r="C136" s="3">
        <v>395</v>
      </c>
      <c r="D136" s="6">
        <v>44254</v>
      </c>
      <c r="E136" t="str">
        <f>"202102091627"</f>
        <v>202102091627</v>
      </c>
      <c r="F136" t="str">
        <f>"2021 ARCIT MEMBERSHIP"</f>
        <v>2021 ARCIT MEMBERSHIP</v>
      </c>
      <c r="G136" s="3">
        <v>395</v>
      </c>
      <c r="H136" t="str">
        <f>"2021 ARCIT MEMBERSHIP"</f>
        <v>2021 ARCIT MEMBERSHIP</v>
      </c>
    </row>
    <row r="137" spans="1:8" x14ac:dyDescent="0.25">
      <c r="A137" t="s">
        <v>32</v>
      </c>
      <c r="B137">
        <v>3981</v>
      </c>
      <c r="C137" s="3">
        <v>6143.64</v>
      </c>
      <c r="D137" s="6">
        <v>44254</v>
      </c>
      <c r="E137" t="str">
        <f>"15144"</f>
        <v>15144</v>
      </c>
      <c r="F137" t="str">
        <f>"SOCIAL MEDIA MANAGEMENT"</f>
        <v>SOCIAL MEDIA MANAGEMENT</v>
      </c>
      <c r="G137" s="3">
        <v>5018.6400000000003</v>
      </c>
      <c r="H137" t="str">
        <f>"SOCIAL MEDIA MANAGEMENT"</f>
        <v>SOCIAL MEDIA MANAGEMENT</v>
      </c>
    </row>
    <row r="138" spans="1:8" x14ac:dyDescent="0.25">
      <c r="E138" t="str">
        <f>"15145"</f>
        <v>15145</v>
      </c>
      <c r="F138" t="str">
        <f>"WEBSITE HOSTING"</f>
        <v>WEBSITE HOSTING</v>
      </c>
      <c r="G138" s="3">
        <v>1125</v>
      </c>
      <c r="H138" t="str">
        <f>"WEBSITE HOSTING"</f>
        <v>WEBSITE HOSTING</v>
      </c>
    </row>
    <row r="139" spans="1:8" x14ac:dyDescent="0.25">
      <c r="A139" t="s">
        <v>33</v>
      </c>
      <c r="B139">
        <v>134544</v>
      </c>
      <c r="C139" s="3">
        <v>1140.45</v>
      </c>
      <c r="D139" s="6">
        <v>44235</v>
      </c>
      <c r="E139" t="str">
        <f>"202102031577"</f>
        <v>202102031577</v>
      </c>
      <c r="F139" t="str">
        <f>"JAIL MEDICAL"</f>
        <v>JAIL MEDICAL</v>
      </c>
      <c r="G139" s="3">
        <v>1140.45</v>
      </c>
      <c r="H139" t="str">
        <f>"JAIL MEDICAL"</f>
        <v>JAIL MEDICAL</v>
      </c>
    </row>
    <row r="140" spans="1:8" x14ac:dyDescent="0.25">
      <c r="A140" t="s">
        <v>33</v>
      </c>
      <c r="B140">
        <v>134667</v>
      </c>
      <c r="C140" s="3">
        <v>46.73</v>
      </c>
      <c r="D140" s="6">
        <v>44253</v>
      </c>
      <c r="E140" t="str">
        <f>"202102221744"</f>
        <v>202102221744</v>
      </c>
      <c r="F140" t="str">
        <f>"INDIGENT HEALTH"</f>
        <v>INDIGENT HEALTH</v>
      </c>
      <c r="G140" s="3">
        <v>46.73</v>
      </c>
      <c r="H140" t="str">
        <f>"INDIGENT HEALTH"</f>
        <v>INDIGENT HEALTH</v>
      </c>
    </row>
    <row r="141" spans="1:8" x14ac:dyDescent="0.25">
      <c r="A141" t="s">
        <v>34</v>
      </c>
      <c r="B141">
        <v>134545</v>
      </c>
      <c r="C141" s="3">
        <v>19.88</v>
      </c>
      <c r="D141" s="6">
        <v>44235</v>
      </c>
      <c r="E141" t="str">
        <f>"202101271366"</f>
        <v>202101271366</v>
      </c>
      <c r="F141" t="str">
        <f>"REIMBURSE/ASHLEY DOBOS"</f>
        <v>REIMBURSE/ASHLEY DOBOS</v>
      </c>
      <c r="G141" s="3">
        <v>19.88</v>
      </c>
      <c r="H141" t="str">
        <f>"REIMBURSE/ASHLEY DOBOS"</f>
        <v>REIMBURSE/ASHLEY DOBOS</v>
      </c>
    </row>
    <row r="142" spans="1:8" x14ac:dyDescent="0.25">
      <c r="A142" t="s">
        <v>35</v>
      </c>
      <c r="B142">
        <v>134546</v>
      </c>
      <c r="C142" s="3">
        <v>4868.4799999999996</v>
      </c>
      <c r="D142" s="6">
        <v>44235</v>
      </c>
      <c r="E142" t="str">
        <f>"202101281416"</f>
        <v>202101281416</v>
      </c>
      <c r="F142" t="str">
        <f>"ACCT#512308-9870-5307"</f>
        <v>ACCT#512308-9870-5307</v>
      </c>
      <c r="G142" s="3">
        <v>694.43</v>
      </c>
      <c r="H142" t="str">
        <f>"ACCT#512308-9870-5307"</f>
        <v>ACCT#512308-9870-5307</v>
      </c>
    </row>
    <row r="143" spans="1:8" x14ac:dyDescent="0.25">
      <c r="E143" t="str">
        <f>"202102011436"</f>
        <v>202102011436</v>
      </c>
      <c r="F143" t="str">
        <f>"ACCT#512A49-0048 193 3"</f>
        <v>ACCT#512A49-0048 193 3</v>
      </c>
      <c r="G143" s="3">
        <v>4174.05</v>
      </c>
      <c r="H143" t="str">
        <f>"ACCT#512A49-0048 193 3"</f>
        <v>ACCT#512A49-0048 193 3</v>
      </c>
    </row>
    <row r="144" spans="1:8" x14ac:dyDescent="0.25">
      <c r="E144" t="str">
        <f>""</f>
        <v/>
      </c>
      <c r="F144" t="str">
        <f>""</f>
        <v/>
      </c>
      <c r="H144" t="str">
        <f>"ACCT#512A49-0048 193 3"</f>
        <v>ACCT#512A49-0048 193 3</v>
      </c>
    </row>
    <row r="145" spans="1:8" x14ac:dyDescent="0.25">
      <c r="E145" t="str">
        <f>""</f>
        <v/>
      </c>
      <c r="F145" t="str">
        <f>""</f>
        <v/>
      </c>
      <c r="H145" t="str">
        <f>"ACCT#512A49-0048 193 3"</f>
        <v>ACCT#512A49-0048 193 3</v>
      </c>
    </row>
    <row r="146" spans="1:8" x14ac:dyDescent="0.25">
      <c r="E146" t="str">
        <f>""</f>
        <v/>
      </c>
      <c r="F146" t="str">
        <f>""</f>
        <v/>
      </c>
      <c r="H146" t="str">
        <f>"ACCT#512A49-0048 193 3"</f>
        <v>ACCT#512A49-0048 193 3</v>
      </c>
    </row>
    <row r="147" spans="1:8" x14ac:dyDescent="0.25">
      <c r="A147" t="s">
        <v>35</v>
      </c>
      <c r="B147">
        <v>134547</v>
      </c>
      <c r="C147" s="3">
        <v>6574.3</v>
      </c>
      <c r="D147" s="6">
        <v>44235</v>
      </c>
      <c r="E147" t="str">
        <f>"0426779502"</f>
        <v>0426779502</v>
      </c>
      <c r="F147" t="str">
        <f>"ACCT#831-000-9850-451"</f>
        <v>ACCT#831-000-9850-451</v>
      </c>
      <c r="G147" s="3">
        <v>2014.98</v>
      </c>
      <c r="H147" t="str">
        <f>"ACCT#831-000-9850-451"</f>
        <v>ACCT#831-000-9850-451</v>
      </c>
    </row>
    <row r="148" spans="1:8" x14ac:dyDescent="0.25">
      <c r="E148" t="str">
        <f>"2051589504"</f>
        <v>2051589504</v>
      </c>
      <c r="F148" t="str">
        <f>"ACCT#831-000-7919-623"</f>
        <v>ACCT#831-000-7919-623</v>
      </c>
      <c r="G148" s="3">
        <v>2000.38</v>
      </c>
      <c r="H148" t="str">
        <f>"ACCT#831-000-7919-623"</f>
        <v>ACCT#831-000-7919-623</v>
      </c>
    </row>
    <row r="149" spans="1:8" x14ac:dyDescent="0.25">
      <c r="E149" t="str">
        <f>"4194300607"</f>
        <v>4194300607</v>
      </c>
      <c r="F149" t="str">
        <f>"ACCT#831-000-7218-923"</f>
        <v>ACCT#831-000-7218-923</v>
      </c>
      <c r="G149" s="3">
        <v>874.25</v>
      </c>
      <c r="H149" t="str">
        <f>"ACCT#831-000-7218-923"</f>
        <v>ACCT#831-000-7218-923</v>
      </c>
    </row>
    <row r="150" spans="1:8" x14ac:dyDescent="0.25">
      <c r="E150" t="str">
        <f>"8258839502"</f>
        <v>8258839502</v>
      </c>
      <c r="F150" t="str">
        <f>"ACCT#831-000-6084-095"</f>
        <v>ACCT#831-000-6084-095</v>
      </c>
      <c r="G150" s="3">
        <v>1684.69</v>
      </c>
      <c r="H150" t="str">
        <f>"ACCT#831-000-6084-095"</f>
        <v>ACCT#831-000-6084-095</v>
      </c>
    </row>
    <row r="151" spans="1:8" x14ac:dyDescent="0.25">
      <c r="A151" t="s">
        <v>36</v>
      </c>
      <c r="B151">
        <v>134548</v>
      </c>
      <c r="C151" s="3">
        <v>5689.13</v>
      </c>
      <c r="D151" s="6">
        <v>44235</v>
      </c>
      <c r="E151" t="str">
        <f>"202102021511"</f>
        <v>202102021511</v>
      </c>
      <c r="F151" t="str">
        <f>"ACCT#287263291654"</f>
        <v>ACCT#287263291654</v>
      </c>
      <c r="G151" s="3">
        <v>1430.43</v>
      </c>
      <c r="H151" t="str">
        <f t="shared" ref="H151:H166" si="4">"ACCT#287263291654"</f>
        <v>ACCT#287263291654</v>
      </c>
    </row>
    <row r="152" spans="1:8" x14ac:dyDescent="0.25">
      <c r="E152" t="str">
        <f>""</f>
        <v/>
      </c>
      <c r="F152" t="str">
        <f>""</f>
        <v/>
      </c>
      <c r="H152" t="str">
        <f t="shared" si="4"/>
        <v>ACCT#287263291654</v>
      </c>
    </row>
    <row r="153" spans="1:8" x14ac:dyDescent="0.25">
      <c r="E153" t="str">
        <f>""</f>
        <v/>
      </c>
      <c r="F153" t="str">
        <f>""</f>
        <v/>
      </c>
      <c r="H153" t="str">
        <f t="shared" si="4"/>
        <v>ACCT#287263291654</v>
      </c>
    </row>
    <row r="154" spans="1:8" x14ac:dyDescent="0.25">
      <c r="E154" t="str">
        <f>""</f>
        <v/>
      </c>
      <c r="F154" t="str">
        <f>""</f>
        <v/>
      </c>
      <c r="H154" t="str">
        <f t="shared" si="4"/>
        <v>ACCT#287263291654</v>
      </c>
    </row>
    <row r="155" spans="1:8" x14ac:dyDescent="0.25">
      <c r="E155" t="str">
        <f>""</f>
        <v/>
      </c>
      <c r="F155" t="str">
        <f>""</f>
        <v/>
      </c>
      <c r="H155" t="str">
        <f t="shared" si="4"/>
        <v>ACCT#287263291654</v>
      </c>
    </row>
    <row r="156" spans="1:8" x14ac:dyDescent="0.25">
      <c r="E156" t="str">
        <f>""</f>
        <v/>
      </c>
      <c r="F156" t="str">
        <f>""</f>
        <v/>
      </c>
      <c r="H156" t="str">
        <f t="shared" si="4"/>
        <v>ACCT#287263291654</v>
      </c>
    </row>
    <row r="157" spans="1:8" x14ac:dyDescent="0.25">
      <c r="E157" t="str">
        <f>""</f>
        <v/>
      </c>
      <c r="F157" t="str">
        <f>""</f>
        <v/>
      </c>
      <c r="H157" t="str">
        <f t="shared" si="4"/>
        <v>ACCT#287263291654</v>
      </c>
    </row>
    <row r="158" spans="1:8" x14ac:dyDescent="0.25">
      <c r="E158" t="str">
        <f>""</f>
        <v/>
      </c>
      <c r="F158" t="str">
        <f>""</f>
        <v/>
      </c>
      <c r="H158" t="str">
        <f t="shared" si="4"/>
        <v>ACCT#287263291654</v>
      </c>
    </row>
    <row r="159" spans="1:8" x14ac:dyDescent="0.25">
      <c r="E159" t="str">
        <f>""</f>
        <v/>
      </c>
      <c r="F159" t="str">
        <f>""</f>
        <v/>
      </c>
      <c r="H159" t="str">
        <f t="shared" si="4"/>
        <v>ACCT#287263291654</v>
      </c>
    </row>
    <row r="160" spans="1:8" x14ac:dyDescent="0.25">
      <c r="E160" t="str">
        <f>""</f>
        <v/>
      </c>
      <c r="F160" t="str">
        <f>""</f>
        <v/>
      </c>
      <c r="H160" t="str">
        <f t="shared" si="4"/>
        <v>ACCT#287263291654</v>
      </c>
    </row>
    <row r="161" spans="1:8" x14ac:dyDescent="0.25">
      <c r="E161" t="str">
        <f>""</f>
        <v/>
      </c>
      <c r="F161" t="str">
        <f>""</f>
        <v/>
      </c>
      <c r="H161" t="str">
        <f t="shared" si="4"/>
        <v>ACCT#287263291654</v>
      </c>
    </row>
    <row r="162" spans="1:8" x14ac:dyDescent="0.25">
      <c r="E162" t="str">
        <f>""</f>
        <v/>
      </c>
      <c r="F162" t="str">
        <f>""</f>
        <v/>
      </c>
      <c r="H162" t="str">
        <f t="shared" si="4"/>
        <v>ACCT#287263291654</v>
      </c>
    </row>
    <row r="163" spans="1:8" x14ac:dyDescent="0.25">
      <c r="E163" t="str">
        <f>""</f>
        <v/>
      </c>
      <c r="F163" t="str">
        <f>""</f>
        <v/>
      </c>
      <c r="H163" t="str">
        <f t="shared" si="4"/>
        <v>ACCT#287263291654</v>
      </c>
    </row>
    <row r="164" spans="1:8" x14ac:dyDescent="0.25">
      <c r="E164" t="str">
        <f>""</f>
        <v/>
      </c>
      <c r="F164" t="str">
        <f>""</f>
        <v/>
      </c>
      <c r="H164" t="str">
        <f t="shared" si="4"/>
        <v>ACCT#287263291654</v>
      </c>
    </row>
    <row r="165" spans="1:8" x14ac:dyDescent="0.25">
      <c r="E165" t="str">
        <f>""</f>
        <v/>
      </c>
      <c r="F165" t="str">
        <f>""</f>
        <v/>
      </c>
      <c r="H165" t="str">
        <f t="shared" si="4"/>
        <v>ACCT#287263291654</v>
      </c>
    </row>
    <row r="166" spans="1:8" x14ac:dyDescent="0.25">
      <c r="E166" t="str">
        <f>""</f>
        <v/>
      </c>
      <c r="F166" t="str">
        <f>""</f>
        <v/>
      </c>
      <c r="H166" t="str">
        <f t="shared" si="4"/>
        <v>ACCT#287263291654</v>
      </c>
    </row>
    <row r="167" spans="1:8" x14ac:dyDescent="0.25">
      <c r="E167" t="str">
        <f>"202102021518"</f>
        <v>202102021518</v>
      </c>
      <c r="F167" t="str">
        <f>"ACCT#287290524395"</f>
        <v>ACCT#287290524395</v>
      </c>
      <c r="G167" s="3">
        <v>3993.34</v>
      </c>
      <c r="H167" t="str">
        <f t="shared" ref="H167:H174" si="5">"ACCT#287290524395"</f>
        <v>ACCT#287290524395</v>
      </c>
    </row>
    <row r="168" spans="1:8" x14ac:dyDescent="0.25">
      <c r="E168" t="str">
        <f>""</f>
        <v/>
      </c>
      <c r="F168" t="str">
        <f>""</f>
        <v/>
      </c>
      <c r="H168" t="str">
        <f t="shared" si="5"/>
        <v>ACCT#287290524395</v>
      </c>
    </row>
    <row r="169" spans="1:8" x14ac:dyDescent="0.25">
      <c r="E169" t="str">
        <f>""</f>
        <v/>
      </c>
      <c r="F169" t="str">
        <f>""</f>
        <v/>
      </c>
      <c r="H169" t="str">
        <f t="shared" si="5"/>
        <v>ACCT#287290524395</v>
      </c>
    </row>
    <row r="170" spans="1:8" x14ac:dyDescent="0.25">
      <c r="E170" t="str">
        <f>""</f>
        <v/>
      </c>
      <c r="F170" t="str">
        <f>""</f>
        <v/>
      </c>
      <c r="H170" t="str">
        <f t="shared" si="5"/>
        <v>ACCT#287290524395</v>
      </c>
    </row>
    <row r="171" spans="1:8" x14ac:dyDescent="0.25">
      <c r="E171" t="str">
        <f>""</f>
        <v/>
      </c>
      <c r="F171" t="str">
        <f>""</f>
        <v/>
      </c>
      <c r="H171" t="str">
        <f t="shared" si="5"/>
        <v>ACCT#287290524395</v>
      </c>
    </row>
    <row r="172" spans="1:8" x14ac:dyDescent="0.25">
      <c r="E172" t="str">
        <f>""</f>
        <v/>
      </c>
      <c r="F172" t="str">
        <f>""</f>
        <v/>
      </c>
      <c r="H172" t="str">
        <f t="shared" si="5"/>
        <v>ACCT#287290524395</v>
      </c>
    </row>
    <row r="173" spans="1:8" x14ac:dyDescent="0.25">
      <c r="E173" t="str">
        <f>""</f>
        <v/>
      </c>
      <c r="F173" t="str">
        <f>""</f>
        <v/>
      </c>
      <c r="H173" t="str">
        <f t="shared" si="5"/>
        <v>ACCT#287290524395</v>
      </c>
    </row>
    <row r="174" spans="1:8" x14ac:dyDescent="0.25">
      <c r="E174" t="str">
        <f>""</f>
        <v/>
      </c>
      <c r="F174" t="str">
        <f>""</f>
        <v/>
      </c>
      <c r="H174" t="str">
        <f t="shared" si="5"/>
        <v>ACCT#287290524395</v>
      </c>
    </row>
    <row r="175" spans="1:8" x14ac:dyDescent="0.25">
      <c r="E175" t="str">
        <f>"202102031591"</f>
        <v>202102031591</v>
      </c>
      <c r="F175" t="str">
        <f>"INV 287280903541X01202021"</f>
        <v>INV 287280903541X01202021</v>
      </c>
      <c r="G175" s="3">
        <v>265.36</v>
      </c>
      <c r="H175" t="str">
        <f>"INV 287280903541X01202021"</f>
        <v>INV 287280903541X01202021</v>
      </c>
    </row>
    <row r="176" spans="1:8" x14ac:dyDescent="0.25">
      <c r="A176" t="s">
        <v>37</v>
      </c>
      <c r="B176">
        <v>134549</v>
      </c>
      <c r="C176" s="3">
        <v>135</v>
      </c>
      <c r="D176" s="6">
        <v>44235</v>
      </c>
      <c r="E176" t="str">
        <f>"202101271374"</f>
        <v>202101271374</v>
      </c>
      <c r="F176" t="str">
        <f>"NOTARY/ REBECCA DAWSON"</f>
        <v>NOTARY/ REBECCA DAWSON</v>
      </c>
      <c r="G176" s="3">
        <v>135</v>
      </c>
      <c r="H176" t="str">
        <f>"NOTARY/ REBECCA DAWSON"</f>
        <v>NOTARY/ REBECCA DAWSON</v>
      </c>
    </row>
    <row r="177" spans="1:8" x14ac:dyDescent="0.25">
      <c r="A177" t="s">
        <v>38</v>
      </c>
      <c r="B177">
        <v>134668</v>
      </c>
      <c r="C177" s="3">
        <v>54.99</v>
      </c>
      <c r="D177" s="6">
        <v>44253</v>
      </c>
      <c r="E177" t="str">
        <f>"202102221737"</f>
        <v>202102221737</v>
      </c>
      <c r="F177" t="str">
        <f>"ANIMAL SHELTER"</f>
        <v>ANIMAL SHELTER</v>
      </c>
      <c r="G177" s="3">
        <v>54.99</v>
      </c>
      <c r="H177" t="str">
        <f>"ANIMAL SHELTER"</f>
        <v>ANIMAL SHELTER</v>
      </c>
    </row>
    <row r="178" spans="1:8" x14ac:dyDescent="0.25">
      <c r="A178" t="s">
        <v>39</v>
      </c>
      <c r="B178">
        <v>3928</v>
      </c>
      <c r="C178" s="3">
        <v>515.4</v>
      </c>
      <c r="D178" s="6">
        <v>44236</v>
      </c>
      <c r="E178" t="str">
        <f>"3355"</f>
        <v>3355</v>
      </c>
      <c r="F178" t="str">
        <f>"HOSE ASSEMBLY/PCT#4"</f>
        <v>HOSE ASSEMBLY/PCT#4</v>
      </c>
      <c r="G178" s="3">
        <v>515.4</v>
      </c>
      <c r="H178" t="str">
        <f>"HOSE ASSEMBLY/PCT#4"</f>
        <v>HOSE ASSEMBLY/PCT#4</v>
      </c>
    </row>
    <row r="179" spans="1:8" x14ac:dyDescent="0.25">
      <c r="A179" t="s">
        <v>40</v>
      </c>
      <c r="B179">
        <v>134526</v>
      </c>
      <c r="C179" s="3">
        <v>1473.12</v>
      </c>
      <c r="D179" s="6">
        <v>44228</v>
      </c>
      <c r="E179" t="str">
        <f>"I00283081"</f>
        <v>I00283081</v>
      </c>
      <c r="F179" t="str">
        <f>"ACCT#30772 / AD#I00283081"</f>
        <v>ACCT#30772 / AD#I00283081</v>
      </c>
      <c r="G179" s="3">
        <v>56.16</v>
      </c>
      <c r="H179" t="str">
        <f>"ACCT#30772 / AD#I00283081"</f>
        <v>ACCT#30772 / AD#I00283081</v>
      </c>
    </row>
    <row r="180" spans="1:8" x14ac:dyDescent="0.25">
      <c r="E180" t="str">
        <f>"I00298554"</f>
        <v>I00298554</v>
      </c>
      <c r="F180" t="str">
        <f>"ACCT#30772 / AD#I00298554"</f>
        <v>ACCT#30772 / AD#I00298554</v>
      </c>
      <c r="G180" s="3">
        <v>561.6</v>
      </c>
      <c r="H180" t="str">
        <f>"ACCT#30772 / AD#I00298554"</f>
        <v>ACCT#30772 / AD#I00298554</v>
      </c>
    </row>
    <row r="181" spans="1:8" x14ac:dyDescent="0.25">
      <c r="E181" t="str">
        <f>"I00298566"</f>
        <v>I00298566</v>
      </c>
      <c r="F181" t="str">
        <f>"ACCT#30772 / AD#I00298566"</f>
        <v>ACCT#30772 / AD#I00298566</v>
      </c>
      <c r="G181" s="3">
        <v>475.2</v>
      </c>
      <c r="H181" t="str">
        <f>"ACCT#30772 / AD#I00298566"</f>
        <v>ACCT#30772 / AD#I00298566</v>
      </c>
    </row>
    <row r="182" spans="1:8" x14ac:dyDescent="0.25">
      <c r="E182" t="str">
        <f>"I00298591"</f>
        <v>I00298591</v>
      </c>
      <c r="F182" t="str">
        <f>"ACCT#30772 / AD#I00298591"</f>
        <v>ACCT#30772 / AD#I00298591</v>
      </c>
      <c r="G182" s="3">
        <v>380.16</v>
      </c>
      <c r="H182" t="str">
        <f>"ACCT#30772 / AD#I00298591"</f>
        <v>ACCT#30772 / AD#I00298591</v>
      </c>
    </row>
    <row r="183" spans="1:8" x14ac:dyDescent="0.25">
      <c r="A183" t="s">
        <v>41</v>
      </c>
      <c r="B183">
        <v>134669</v>
      </c>
      <c r="C183" s="3">
        <v>148.78</v>
      </c>
      <c r="D183" s="6">
        <v>44253</v>
      </c>
      <c r="E183" t="str">
        <f>"4714*115*1"</f>
        <v>4714*115*1</v>
      </c>
      <c r="F183" t="str">
        <f>"JAIL MEDICAL"</f>
        <v>JAIL MEDICAL</v>
      </c>
      <c r="G183" s="3">
        <v>148.78</v>
      </c>
      <c r="H183" t="str">
        <f>"JAIL MEDICAL"</f>
        <v>JAIL MEDICAL</v>
      </c>
    </row>
    <row r="184" spans="1:8" x14ac:dyDescent="0.25">
      <c r="A184" t="s">
        <v>42</v>
      </c>
      <c r="B184">
        <v>134550</v>
      </c>
      <c r="C184" s="3">
        <v>202.07</v>
      </c>
      <c r="D184" s="6">
        <v>44235</v>
      </c>
      <c r="E184" t="str">
        <f>"202102031578"</f>
        <v>202102031578</v>
      </c>
      <c r="F184" t="str">
        <f>"JAIL MEDICAL"</f>
        <v>JAIL MEDICAL</v>
      </c>
      <c r="G184" s="3">
        <v>202.07</v>
      </c>
      <c r="H184" t="str">
        <f>"JAIL MEDICAL"</f>
        <v>JAIL MEDICAL</v>
      </c>
    </row>
    <row r="185" spans="1:8" x14ac:dyDescent="0.25">
      <c r="A185" t="s">
        <v>42</v>
      </c>
      <c r="B185">
        <v>134670</v>
      </c>
      <c r="C185" s="3">
        <v>25.86</v>
      </c>
      <c r="D185" s="6">
        <v>44253</v>
      </c>
      <c r="E185" t="str">
        <f>"4756*98058*1"</f>
        <v>4756*98058*1</v>
      </c>
      <c r="F185" t="str">
        <f>"JAIL MEDICAL"</f>
        <v>JAIL MEDICAL</v>
      </c>
      <c r="G185" s="3">
        <v>25.86</v>
      </c>
      <c r="H185" t="str">
        <f>"JAIL MEDICAL"</f>
        <v>JAIL MEDICAL</v>
      </c>
    </row>
    <row r="186" spans="1:8" x14ac:dyDescent="0.25">
      <c r="A186" t="s">
        <v>43</v>
      </c>
      <c r="B186">
        <v>134671</v>
      </c>
      <c r="C186" s="3">
        <v>228</v>
      </c>
      <c r="D186" s="6">
        <v>44253</v>
      </c>
      <c r="E186" t="str">
        <f>"689617"</f>
        <v>689617</v>
      </c>
      <c r="F186" t="str">
        <f>"INV 689617"</f>
        <v>INV 689617</v>
      </c>
      <c r="G186" s="3">
        <v>228</v>
      </c>
      <c r="H186" t="str">
        <f>"INV 689617"</f>
        <v>INV 689617</v>
      </c>
    </row>
    <row r="187" spans="1:8" x14ac:dyDescent="0.25">
      <c r="A187" t="s">
        <v>44</v>
      </c>
      <c r="B187">
        <v>3922</v>
      </c>
      <c r="C187" s="3">
        <v>10514</v>
      </c>
      <c r="D187" s="6">
        <v>44236</v>
      </c>
      <c r="E187" t="str">
        <f>"310660"</f>
        <v>310660</v>
      </c>
      <c r="F187" t="str">
        <f>"REF#4210127786/GENERAL SVCS"</f>
        <v>REF#4210127786/GENERAL SVCS</v>
      </c>
      <c r="G187" s="3">
        <v>1960</v>
      </c>
      <c r="H187" t="str">
        <f>"REF#4210127786/GENERAL SVCS"</f>
        <v>REF#4210127786/GENERAL SVCS</v>
      </c>
    </row>
    <row r="188" spans="1:8" x14ac:dyDescent="0.25">
      <c r="E188" t="str">
        <f>"312409"</f>
        <v>312409</v>
      </c>
      <c r="F188" t="str">
        <f>"REF#4210124793"</f>
        <v>REF#4210124793</v>
      </c>
      <c r="G188" s="3">
        <v>8554</v>
      </c>
      <c r="H188" t="str">
        <f>"REF#4210124793"</f>
        <v>REF#4210124793</v>
      </c>
    </row>
    <row r="189" spans="1:8" x14ac:dyDescent="0.25">
      <c r="A189" t="s">
        <v>45</v>
      </c>
      <c r="B189">
        <v>3908</v>
      </c>
      <c r="C189" s="3">
        <v>450</v>
      </c>
      <c r="D189" s="6">
        <v>44236</v>
      </c>
      <c r="E189" t="str">
        <f>"202102021527"</f>
        <v>202102021527</v>
      </c>
      <c r="F189" t="str">
        <f>"2018-MCF-03"</f>
        <v>2018-MCF-03</v>
      </c>
      <c r="G189" s="3">
        <v>450</v>
      </c>
      <c r="H189" t="str">
        <f>"2018-MCF-03"</f>
        <v>2018-MCF-03</v>
      </c>
    </row>
    <row r="190" spans="1:8" x14ac:dyDescent="0.25">
      <c r="A190" t="s">
        <v>46</v>
      </c>
      <c r="B190">
        <v>134551</v>
      </c>
      <c r="C190" s="3">
        <v>14.99</v>
      </c>
      <c r="D190" s="6">
        <v>44235</v>
      </c>
      <c r="E190" t="str">
        <f>"145782"</f>
        <v>145782</v>
      </c>
      <c r="F190" t="str">
        <f>"INV 145782"</f>
        <v>INV 145782</v>
      </c>
      <c r="G190" s="3">
        <v>14.99</v>
      </c>
      <c r="H190" t="str">
        <f>"INV 145782"</f>
        <v>INV 145782</v>
      </c>
    </row>
    <row r="191" spans="1:8" x14ac:dyDescent="0.25">
      <c r="A191" t="s">
        <v>47</v>
      </c>
      <c r="B191">
        <v>3930</v>
      </c>
      <c r="C191" s="3">
        <v>152</v>
      </c>
      <c r="D191" s="6">
        <v>44236</v>
      </c>
      <c r="E191" t="str">
        <f>"379458"</f>
        <v>379458</v>
      </c>
      <c r="F191" t="str">
        <f>"CUST#0010/PCT#2"</f>
        <v>CUST#0010/PCT#2</v>
      </c>
      <c r="G191" s="3">
        <v>38</v>
      </c>
      <c r="H191" t="str">
        <f>"CUST#0010/PCT#2"</f>
        <v>CUST#0010/PCT#2</v>
      </c>
    </row>
    <row r="192" spans="1:8" x14ac:dyDescent="0.25">
      <c r="E192" t="str">
        <f>"379555"</f>
        <v>379555</v>
      </c>
      <c r="F192" t="str">
        <f>"CUST#0011/PCT#3"</f>
        <v>CUST#0011/PCT#3</v>
      </c>
      <c r="G192" s="3">
        <v>114</v>
      </c>
      <c r="H192" t="str">
        <f>"CUST#0011/PCT#3"</f>
        <v>CUST#0011/PCT#3</v>
      </c>
    </row>
    <row r="193" spans="1:8" x14ac:dyDescent="0.25">
      <c r="A193" t="s">
        <v>47</v>
      </c>
      <c r="B193">
        <v>4011</v>
      </c>
      <c r="C193" s="3">
        <v>410.98</v>
      </c>
      <c r="D193" s="6">
        <v>44254</v>
      </c>
      <c r="E193" t="str">
        <f>"3794362"</f>
        <v>3794362</v>
      </c>
      <c r="F193" t="str">
        <f>"CUST#0017"</f>
        <v>CUST#0017</v>
      </c>
      <c r="G193" s="3">
        <v>410.98</v>
      </c>
      <c r="H193" t="str">
        <f>"CUST#0017"</f>
        <v>CUST#0017</v>
      </c>
    </row>
    <row r="194" spans="1:8" x14ac:dyDescent="0.25">
      <c r="A194" t="s">
        <v>48</v>
      </c>
      <c r="B194">
        <v>3899</v>
      </c>
      <c r="C194" s="3">
        <v>5950</v>
      </c>
      <c r="D194" s="6">
        <v>44236</v>
      </c>
      <c r="E194" t="str">
        <f>"1622"</f>
        <v>1622</v>
      </c>
      <c r="F194" t="str">
        <f>"EDUARDO BARRIENTOS"</f>
        <v>EDUARDO BARRIENTOS</v>
      </c>
      <c r="G194" s="3">
        <v>600</v>
      </c>
      <c r="H194" t="str">
        <f>"Pea Gravel 16T"</f>
        <v>Pea Gravel 16T</v>
      </c>
    </row>
    <row r="195" spans="1:8" x14ac:dyDescent="0.25">
      <c r="E195" t="str">
        <f>"1623"</f>
        <v>1623</v>
      </c>
      <c r="F195" t="str">
        <f>"REMOVED TREES/PCT#2"</f>
        <v>REMOVED TREES/PCT#2</v>
      </c>
      <c r="G195" s="3">
        <v>2400</v>
      </c>
      <c r="H195" t="str">
        <f>"REMOVED TREES/PCT#2"</f>
        <v>REMOVED TREES/PCT#2</v>
      </c>
    </row>
    <row r="196" spans="1:8" x14ac:dyDescent="0.25">
      <c r="E196" t="str">
        <f>"1624"</f>
        <v>1624</v>
      </c>
      <c r="F196" t="str">
        <f>"ULUPAU RETAINING WALLS/PCT#1"</f>
        <v>ULUPAU RETAINING WALLS/PCT#1</v>
      </c>
      <c r="G196" s="3">
        <v>2950</v>
      </c>
      <c r="H196" t="str">
        <f>"ULUPAU RETAINING WALLS/PCT#1"</f>
        <v>ULUPAU RETAINING WALLS/PCT#1</v>
      </c>
    </row>
    <row r="197" spans="1:8" x14ac:dyDescent="0.25">
      <c r="A197" t="s">
        <v>48</v>
      </c>
      <c r="B197">
        <v>3972</v>
      </c>
      <c r="C197" s="3">
        <v>2450</v>
      </c>
      <c r="D197" s="6">
        <v>44254</v>
      </c>
      <c r="E197" t="str">
        <f>"1625"</f>
        <v>1625</v>
      </c>
      <c r="F197" t="str">
        <f>"GROUT ON ULUPAU/PCT#1"</f>
        <v>GROUT ON ULUPAU/PCT#1</v>
      </c>
      <c r="G197" s="3">
        <v>2450</v>
      </c>
      <c r="H197" t="str">
        <f>"GROUT ON ULUPAU/PCT#1"</f>
        <v>GROUT ON ULUPAU/PCT#1</v>
      </c>
    </row>
    <row r="198" spans="1:8" x14ac:dyDescent="0.25">
      <c r="A198" t="s">
        <v>49</v>
      </c>
      <c r="B198">
        <v>134552</v>
      </c>
      <c r="C198" s="3">
        <v>300</v>
      </c>
      <c r="D198" s="6">
        <v>44235</v>
      </c>
      <c r="E198" t="str">
        <f>"13570"</f>
        <v>13570</v>
      </c>
      <c r="F198" t="str">
        <f>"SERVICE"</f>
        <v>SERVICE</v>
      </c>
      <c r="G198" s="3">
        <v>300</v>
      </c>
      <c r="H198" t="str">
        <f>"SERVICE"</f>
        <v>SERVICE</v>
      </c>
    </row>
    <row r="199" spans="1:8" x14ac:dyDescent="0.25">
      <c r="A199" t="s">
        <v>49</v>
      </c>
      <c r="B199">
        <v>134672</v>
      </c>
      <c r="C199" s="3">
        <v>775</v>
      </c>
      <c r="D199" s="6">
        <v>44253</v>
      </c>
      <c r="E199" t="str">
        <f>"12852"</f>
        <v>12852</v>
      </c>
      <c r="F199" t="str">
        <f>"SERVICE"</f>
        <v>SERVICE</v>
      </c>
      <c r="G199" s="3">
        <v>225</v>
      </c>
      <c r="H199" t="str">
        <f>"SERVICE"</f>
        <v>SERVICE</v>
      </c>
    </row>
    <row r="200" spans="1:8" x14ac:dyDescent="0.25">
      <c r="E200" t="str">
        <f>"12978"</f>
        <v>12978</v>
      </c>
      <c r="F200" t="str">
        <f>"SERVICE FEE"</f>
        <v>SERVICE FEE</v>
      </c>
      <c r="G200" s="3">
        <v>75</v>
      </c>
      <c r="H200" t="str">
        <f>"SERVICE FEE"</f>
        <v>SERVICE FEE</v>
      </c>
    </row>
    <row r="201" spans="1:8" x14ac:dyDescent="0.25">
      <c r="E201" t="str">
        <f>"13241"</f>
        <v>13241</v>
      </c>
      <c r="F201" t="str">
        <f>"SERVICE"</f>
        <v>SERVICE</v>
      </c>
      <c r="G201" s="3">
        <v>75</v>
      </c>
      <c r="H201" t="str">
        <f>"SERVICE"</f>
        <v>SERVICE</v>
      </c>
    </row>
    <row r="202" spans="1:8" x14ac:dyDescent="0.25">
      <c r="E202" t="str">
        <f>"13294"</f>
        <v>13294</v>
      </c>
      <c r="F202" t="str">
        <f>"SERVICE"</f>
        <v>SERVICE</v>
      </c>
      <c r="G202" s="3">
        <v>75</v>
      </c>
      <c r="H202" t="str">
        <f>"SERVICE"</f>
        <v>SERVICE</v>
      </c>
    </row>
    <row r="203" spans="1:8" x14ac:dyDescent="0.25">
      <c r="E203" t="str">
        <f>"133011"</f>
        <v>133011</v>
      </c>
      <c r="F203" t="str">
        <f>"SERVICE"</f>
        <v>SERVICE</v>
      </c>
      <c r="G203" s="3">
        <v>100</v>
      </c>
      <c r="H203" t="str">
        <f>"SERVICE"</f>
        <v>SERVICE</v>
      </c>
    </row>
    <row r="204" spans="1:8" x14ac:dyDescent="0.25">
      <c r="E204" t="str">
        <f>"13584"</f>
        <v>13584</v>
      </c>
      <c r="F204" t="str">
        <f>"SERVICE FEE"</f>
        <v>SERVICE FEE</v>
      </c>
      <c r="G204" s="3">
        <v>225</v>
      </c>
      <c r="H204" t="str">
        <f>"SERVICE FEE"</f>
        <v>SERVICE FEE</v>
      </c>
    </row>
    <row r="205" spans="1:8" x14ac:dyDescent="0.25">
      <c r="A205" t="s">
        <v>50</v>
      </c>
      <c r="B205">
        <v>4009</v>
      </c>
      <c r="C205" s="3">
        <v>2180.79</v>
      </c>
      <c r="D205" s="6">
        <v>44254</v>
      </c>
      <c r="E205" t="str">
        <f>"202102091632"</f>
        <v>202102091632</v>
      </c>
      <c r="F205" t="str">
        <f>"BASTROP COPIER"</f>
        <v>BASTROP COPIER</v>
      </c>
      <c r="G205" s="3">
        <v>2180.79</v>
      </c>
      <c r="H205" t="str">
        <f>"BASTROP COPIER"</f>
        <v>BASTROP COPIER</v>
      </c>
    </row>
    <row r="206" spans="1:8" x14ac:dyDescent="0.25">
      <c r="E206" t="str">
        <f>""</f>
        <v/>
      </c>
      <c r="F206" t="str">
        <f>""</f>
        <v/>
      </c>
      <c r="H206" t="str">
        <f>"BASTROP COPIER"</f>
        <v>BASTROP COPIER</v>
      </c>
    </row>
    <row r="207" spans="1:8" x14ac:dyDescent="0.25">
      <c r="E207" t="str">
        <f>""</f>
        <v/>
      </c>
      <c r="F207" t="str">
        <f>""</f>
        <v/>
      </c>
      <c r="H207" t="str">
        <f>"BASTROP COPIER"</f>
        <v>BASTROP COPIER</v>
      </c>
    </row>
    <row r="208" spans="1:8" x14ac:dyDescent="0.25">
      <c r="E208" t="str">
        <f>""</f>
        <v/>
      </c>
      <c r="F208" t="str">
        <f>""</f>
        <v/>
      </c>
      <c r="H208" t="str">
        <f>"BASTROP COPIER"</f>
        <v>BASTROP COPIER</v>
      </c>
    </row>
    <row r="209" spans="1:8" x14ac:dyDescent="0.25">
      <c r="E209" t="str">
        <f>""</f>
        <v/>
      </c>
      <c r="F209" t="str">
        <f>""</f>
        <v/>
      </c>
      <c r="H209" t="str">
        <f>"BASTROP COPIER"</f>
        <v>BASTROP COPIER</v>
      </c>
    </row>
    <row r="210" spans="1:8" x14ac:dyDescent="0.25">
      <c r="A210" t="s">
        <v>51</v>
      </c>
      <c r="B210">
        <v>3943</v>
      </c>
      <c r="C210" s="3">
        <v>284.75</v>
      </c>
      <c r="D210" s="6">
        <v>44236</v>
      </c>
      <c r="E210" t="str">
        <f>"202101271367"</f>
        <v>202101271367</v>
      </c>
      <c r="F210" t="str">
        <f>"VEHICLE REGISTRATIONS GEN SVCS"</f>
        <v>VEHICLE REGISTRATIONS GEN SVCS</v>
      </c>
      <c r="G210" s="3">
        <v>15</v>
      </c>
      <c r="H210" t="str">
        <f>"VEHICLE REGISTRATIONS GEN SVCS"</f>
        <v>VEHICLE REGISTRATIONS GEN SVCS</v>
      </c>
    </row>
    <row r="211" spans="1:8" x14ac:dyDescent="0.25">
      <c r="E211" t="str">
        <f>"202101271379"</f>
        <v>202101271379</v>
      </c>
      <c r="F211" t="str">
        <f>"VEHICLE REGISTRATION/ PCT#3"</f>
        <v>VEHICLE REGISTRATION/ PCT#3</v>
      </c>
      <c r="G211" s="3">
        <v>95.5</v>
      </c>
      <c r="H211" t="str">
        <f>"VEHICLE REGISTRATION/ PCT#3"</f>
        <v>VEHICLE REGISTRATION/ PCT#3</v>
      </c>
    </row>
    <row r="212" spans="1:8" x14ac:dyDescent="0.25">
      <c r="E212" t="str">
        <f>"202101281414"</f>
        <v>202101281414</v>
      </c>
      <c r="F212" t="str">
        <f>"VEHICLE REGISTRATION/ANIMAL C."</f>
        <v>VEHICLE REGISTRATION/ANIMAL C.</v>
      </c>
      <c r="G212" s="3">
        <v>7.5</v>
      </c>
      <c r="H212" t="str">
        <f>"VEHICLE REGISTRATION/ANIMAL C."</f>
        <v>VEHICLE REGISTRATION/ANIMAL C.</v>
      </c>
    </row>
    <row r="213" spans="1:8" x14ac:dyDescent="0.25">
      <c r="E213" t="str">
        <f>"202101281415"</f>
        <v>202101281415</v>
      </c>
      <c r="F213" t="str">
        <f>"VEHICLE REGISTRATION/DEV. SVCS"</f>
        <v>VEHICLE REGISTRATION/DEV. SVCS</v>
      </c>
      <c r="G213" s="3">
        <v>7.5</v>
      </c>
      <c r="H213" t="str">
        <f>"VEHICLE REGISTRATION/DEV. SVCS"</f>
        <v>VEHICLE REGISTRATION/DEV. SVCS</v>
      </c>
    </row>
    <row r="214" spans="1:8" x14ac:dyDescent="0.25">
      <c r="E214" t="str">
        <f>"202102021573"</f>
        <v>202102021573</v>
      </c>
      <c r="F214" t="str">
        <f>"VEHICLE REGISTRATION/SO"</f>
        <v>VEHICLE REGISTRATION/SO</v>
      </c>
      <c r="G214" s="3">
        <v>142.5</v>
      </c>
      <c r="H214" t="str">
        <f>"VEHICLE REGISTRATION/SO"</f>
        <v>VEHICLE REGISTRATION/SO</v>
      </c>
    </row>
    <row r="215" spans="1:8" x14ac:dyDescent="0.25">
      <c r="E215" t="str">
        <f>"202102031592"</f>
        <v>202102031592</v>
      </c>
      <c r="F215" t="str">
        <f>"VEHICLE REGISTRATIONS/PCT#4"</f>
        <v>VEHICLE REGISTRATIONS/PCT#4</v>
      </c>
      <c r="G215" s="3">
        <v>16.75</v>
      </c>
      <c r="H215" t="str">
        <f>"VEHICLE REGISTRATIONS/PCT#4"</f>
        <v>VEHICLE REGISTRATIONS/PCT#4</v>
      </c>
    </row>
    <row r="216" spans="1:8" x14ac:dyDescent="0.25">
      <c r="A216" t="s">
        <v>52</v>
      </c>
      <c r="B216">
        <v>3999</v>
      </c>
      <c r="C216" s="3">
        <v>4980.01</v>
      </c>
      <c r="D216" s="6">
        <v>44254</v>
      </c>
      <c r="E216" t="str">
        <f>"202102091631"</f>
        <v>202102091631</v>
      </c>
      <c r="F216" t="str">
        <f>"HOME VISITING GRANT REIMBURSE"</f>
        <v>HOME VISITING GRANT REIMBURSE</v>
      </c>
      <c r="G216" s="3">
        <v>4980.01</v>
      </c>
      <c r="H216" t="str">
        <f>"HOME VISITING GRANT REIMBURSE"</f>
        <v>HOME VISITING GRANT REIMBURSE</v>
      </c>
    </row>
    <row r="217" spans="1:8" x14ac:dyDescent="0.25">
      <c r="A217" t="s">
        <v>51</v>
      </c>
      <c r="B217">
        <v>4022</v>
      </c>
      <c r="C217" s="3">
        <v>7.5</v>
      </c>
      <c r="D217" s="6">
        <v>44254</v>
      </c>
      <c r="E217" t="str">
        <f>"202102101694"</f>
        <v>202102101694</v>
      </c>
      <c r="F217" t="str">
        <f>"VEHICLE REGISTRATIONS/HABITAT"</f>
        <v>VEHICLE REGISTRATIONS/HABITAT</v>
      </c>
      <c r="G217" s="3">
        <v>7.5</v>
      </c>
      <c r="H217" t="str">
        <f>"VEHICLE REGISTRATIONS/HABITAT"</f>
        <v>VEHICLE REGISTRATIONS/HABITAT</v>
      </c>
    </row>
    <row r="218" spans="1:8" x14ac:dyDescent="0.25">
      <c r="A218" t="s">
        <v>53</v>
      </c>
      <c r="B218">
        <v>4026</v>
      </c>
      <c r="C218" s="3">
        <v>113.51</v>
      </c>
      <c r="D218" s="6">
        <v>44254</v>
      </c>
      <c r="E218" t="str">
        <f>"202102221746"</f>
        <v>202102221746</v>
      </c>
      <c r="F218" t="str">
        <f>"INDIGENT HEALTH"</f>
        <v>INDIGENT HEALTH</v>
      </c>
      <c r="G218" s="3">
        <v>113.51</v>
      </c>
      <c r="H218" t="str">
        <f>"INDIGENT HEALTH"</f>
        <v>INDIGENT HEALTH</v>
      </c>
    </row>
    <row r="219" spans="1:8" x14ac:dyDescent="0.25">
      <c r="A219" t="s">
        <v>54</v>
      </c>
      <c r="B219">
        <v>3897</v>
      </c>
      <c r="C219" s="3">
        <v>4165</v>
      </c>
      <c r="D219" s="6">
        <v>44236</v>
      </c>
      <c r="E219" t="str">
        <f>"2020209"</f>
        <v>2020209</v>
      </c>
      <c r="F219" t="str">
        <f>"TRANSPORT/F. KRAUSE"</f>
        <v>TRANSPORT/F. KRAUSE</v>
      </c>
      <c r="G219" s="3">
        <v>390</v>
      </c>
      <c r="H219" t="str">
        <f>"TRANSPORT/F. KRAUSE"</f>
        <v>TRANSPORT/F. KRAUSE</v>
      </c>
    </row>
    <row r="220" spans="1:8" x14ac:dyDescent="0.25">
      <c r="E220" t="str">
        <f>"2021003"</f>
        <v>2021003</v>
      </c>
      <c r="F220" t="str">
        <f>"TRANSPORT EDWIN SCOTT"</f>
        <v>TRANSPORT EDWIN SCOTT</v>
      </c>
      <c r="G220" s="3">
        <v>720</v>
      </c>
      <c r="H220" t="str">
        <f>"TRANSPORT EDWIN SCOTT"</f>
        <v>TRANSPORT EDWIN SCOTT</v>
      </c>
    </row>
    <row r="221" spans="1:8" x14ac:dyDescent="0.25">
      <c r="E221" t="str">
        <f>"2021005"</f>
        <v>2021005</v>
      </c>
      <c r="F221" t="str">
        <f>"TRANSPORT/D. KELLER"</f>
        <v>TRANSPORT/D. KELLER</v>
      </c>
      <c r="G221" s="3">
        <v>390</v>
      </c>
      <c r="H221" t="str">
        <f>"TRANSPORT/D. KELLER"</f>
        <v>TRANSPORT/D. KELLER</v>
      </c>
    </row>
    <row r="222" spans="1:8" x14ac:dyDescent="0.25">
      <c r="E222" t="str">
        <f>"2021007"</f>
        <v>2021007</v>
      </c>
      <c r="F222" t="str">
        <f>"TRANSPORT/H. SALAS"</f>
        <v>TRANSPORT/H. SALAS</v>
      </c>
      <c r="G222" s="3">
        <v>495</v>
      </c>
      <c r="H222" t="str">
        <f>"TRANSPORT/H. SALAS"</f>
        <v>TRANSPORT/H. SALAS</v>
      </c>
    </row>
    <row r="223" spans="1:8" x14ac:dyDescent="0.25">
      <c r="E223" t="str">
        <f>"2021012"</f>
        <v>2021012</v>
      </c>
      <c r="F223" t="str">
        <f>"TRANSPORT BLAINE POTTS"</f>
        <v>TRANSPORT BLAINE POTTS</v>
      </c>
      <c r="G223" s="3">
        <v>695</v>
      </c>
      <c r="H223" t="str">
        <f>"TRANSPORT BLAINE POTTS"</f>
        <v>TRANSPORT BLAINE POTTS</v>
      </c>
    </row>
    <row r="224" spans="1:8" x14ac:dyDescent="0.25">
      <c r="E224" t="str">
        <f>"2021013"</f>
        <v>2021013</v>
      </c>
      <c r="F224" t="str">
        <f>"TRANSPORT/D.GOSSELIN"</f>
        <v>TRANSPORT/D.GOSSELIN</v>
      </c>
      <c r="G224" s="3">
        <v>390</v>
      </c>
      <c r="H224" t="str">
        <f>"TRANSPORT/D.GOSSELIN"</f>
        <v>TRANSPORT/D.GOSSELIN</v>
      </c>
    </row>
    <row r="225" spans="1:8" x14ac:dyDescent="0.25">
      <c r="E225" t="str">
        <f>"2021016"</f>
        <v>2021016</v>
      </c>
      <c r="F225" t="str">
        <f>"TRANSPORT/C. BUNCH"</f>
        <v>TRANSPORT/C. BUNCH</v>
      </c>
      <c r="G225" s="3">
        <v>390</v>
      </c>
      <c r="H225" t="str">
        <f>"TRANSPORT/C. BUNCH"</f>
        <v>TRANSPORT/C. BUNCH</v>
      </c>
    </row>
    <row r="226" spans="1:8" x14ac:dyDescent="0.25">
      <c r="E226" t="str">
        <f>"2021017"</f>
        <v>2021017</v>
      </c>
      <c r="F226" t="str">
        <f>"TRANSPORT CATHERINE FELLER"</f>
        <v>TRANSPORT CATHERINE FELLER</v>
      </c>
      <c r="G226" s="3">
        <v>695</v>
      </c>
      <c r="H226" t="str">
        <f>"TRANSPORT CATHERINE FELLER"</f>
        <v>TRANSPORT CATHERINE FELLER</v>
      </c>
    </row>
    <row r="227" spans="1:8" x14ac:dyDescent="0.25">
      <c r="A227" t="s">
        <v>54</v>
      </c>
      <c r="B227">
        <v>3970</v>
      </c>
      <c r="C227" s="3">
        <v>1760</v>
      </c>
      <c r="D227" s="6">
        <v>44254</v>
      </c>
      <c r="E227" t="str">
        <f>"2020213"</f>
        <v>2020213</v>
      </c>
      <c r="F227" t="str">
        <f>"TRANSPORT/G. SALAZAR"</f>
        <v>TRANSPORT/G. SALAZAR</v>
      </c>
      <c r="G227" s="3">
        <v>95</v>
      </c>
      <c r="H227" t="str">
        <f>"TRANSPORT/G. SALAZAR"</f>
        <v>TRANSPORT/G. SALAZAR</v>
      </c>
    </row>
    <row r="228" spans="1:8" x14ac:dyDescent="0.25">
      <c r="E228" t="str">
        <f>"2021001"</f>
        <v>2021001</v>
      </c>
      <c r="F228" t="str">
        <f>"TRANSPORT/C.SMITH"</f>
        <v>TRANSPORT/C.SMITH</v>
      </c>
      <c r="G228" s="3">
        <v>390</v>
      </c>
      <c r="H228" t="str">
        <f>"TRANSPORT/C.SMITH"</f>
        <v>TRANSPORT/C.SMITH</v>
      </c>
    </row>
    <row r="229" spans="1:8" x14ac:dyDescent="0.25">
      <c r="E229" t="str">
        <f>"2021002"</f>
        <v>2021002</v>
      </c>
      <c r="F229" t="str">
        <f>"TRANSPORT/C. KNUDSEN"</f>
        <v>TRANSPORT/C. KNUDSEN</v>
      </c>
      <c r="G229" s="3">
        <v>390</v>
      </c>
      <c r="H229" t="str">
        <f>"TRANSPORT/C. KNUDSEN"</f>
        <v>TRANSPORT/C. KNUDSEN</v>
      </c>
    </row>
    <row r="230" spans="1:8" x14ac:dyDescent="0.25">
      <c r="E230" t="str">
        <f>"2021019"</f>
        <v>2021019</v>
      </c>
      <c r="F230" t="str">
        <f>"TRANSPORT/A. OLSON"</f>
        <v>TRANSPORT/A. OLSON</v>
      </c>
      <c r="G230" s="3">
        <v>390</v>
      </c>
      <c r="H230" t="str">
        <f>"TRANSPORT/A. OLSON"</f>
        <v>TRANSPORT/A. OLSON</v>
      </c>
    </row>
    <row r="231" spans="1:8" x14ac:dyDescent="0.25">
      <c r="E231" t="str">
        <f>"2021020"</f>
        <v>2021020</v>
      </c>
      <c r="F231" t="str">
        <f>"TRANSPORT/L. GOODLOE"</f>
        <v>TRANSPORT/L. GOODLOE</v>
      </c>
      <c r="G231" s="3">
        <v>495</v>
      </c>
      <c r="H231" t="str">
        <f>"TRANSPORT/L. GOODLOE"</f>
        <v>TRANSPORT/L. GOODLOE</v>
      </c>
    </row>
    <row r="232" spans="1:8" x14ac:dyDescent="0.25">
      <c r="A232" t="s">
        <v>55</v>
      </c>
      <c r="B232">
        <v>3892</v>
      </c>
      <c r="C232" s="3">
        <v>1194.2</v>
      </c>
      <c r="D232" s="6">
        <v>44236</v>
      </c>
      <c r="E232" t="str">
        <f>"202102011438"</f>
        <v>202102011438</v>
      </c>
      <c r="F232" t="str">
        <f>"BACKGROUND INVESTIGATE/COMM"</f>
        <v>BACKGROUND INVESTIGATE/COMM</v>
      </c>
      <c r="G232" s="3">
        <v>227.5</v>
      </c>
      <c r="H232" t="str">
        <f>"BACKGROUND INVESTIGATE/COMM"</f>
        <v>BACKGROUND INVESTIGATE/COMM</v>
      </c>
    </row>
    <row r="233" spans="1:8" x14ac:dyDescent="0.25">
      <c r="E233" t="str">
        <f>"202102031590"</f>
        <v>202102031590</v>
      </c>
      <c r="F233" t="str">
        <f>"JANUARY SERVICES"</f>
        <v>JANUARY SERVICES</v>
      </c>
      <c r="G233" s="3">
        <v>966.7</v>
      </c>
      <c r="H233" t="str">
        <f>"JANUARY (lLE)"</f>
        <v>JANUARY (lLE)</v>
      </c>
    </row>
    <row r="234" spans="1:8" x14ac:dyDescent="0.25">
      <c r="E234" t="str">
        <f>""</f>
        <v/>
      </c>
      <c r="F234" t="str">
        <f>""</f>
        <v/>
      </c>
      <c r="H234" t="str">
        <f>"JANUARY (JAIL)"</f>
        <v>JANUARY (JAIL)</v>
      </c>
    </row>
    <row r="235" spans="1:8" x14ac:dyDescent="0.25">
      <c r="A235" t="s">
        <v>56</v>
      </c>
      <c r="B235">
        <v>134553</v>
      </c>
      <c r="C235" s="3">
        <v>686</v>
      </c>
      <c r="D235" s="6">
        <v>44235</v>
      </c>
      <c r="E235" t="str">
        <f>"202102011434"</f>
        <v>202102011434</v>
      </c>
      <c r="F235" t="str">
        <f>"CASE-14790"</f>
        <v>CASE-14790</v>
      </c>
      <c r="G235" s="3">
        <v>686</v>
      </c>
      <c r="H235" t="str">
        <f>"CASE-14790"</f>
        <v>CASE-14790</v>
      </c>
    </row>
    <row r="236" spans="1:8" x14ac:dyDescent="0.25">
      <c r="A236" t="s">
        <v>56</v>
      </c>
      <c r="B236">
        <v>134673</v>
      </c>
      <c r="C236" s="3">
        <v>686</v>
      </c>
      <c r="D236" s="6">
        <v>44253</v>
      </c>
      <c r="E236" t="str">
        <f>"202102091634"</f>
        <v>202102091634</v>
      </c>
      <c r="F236" t="str">
        <f>"MI-14831"</f>
        <v>MI-14831</v>
      </c>
      <c r="G236" s="3">
        <v>686</v>
      </c>
      <c r="H236" t="str">
        <f>"MI-14831"</f>
        <v>MI-14831</v>
      </c>
    </row>
    <row r="237" spans="1:8" x14ac:dyDescent="0.25">
      <c r="A237" t="s">
        <v>57</v>
      </c>
      <c r="B237">
        <v>134554</v>
      </c>
      <c r="C237" s="3">
        <v>1770.23</v>
      </c>
      <c r="D237" s="6">
        <v>44235</v>
      </c>
      <c r="E237" t="str">
        <f>"75795483"</f>
        <v>75795483</v>
      </c>
      <c r="F237" t="str">
        <f>"INV 75795483"</f>
        <v>INV 75795483</v>
      </c>
      <c r="G237" s="3">
        <v>1770.23</v>
      </c>
      <c r="H237" t="str">
        <f>"INV 75795483"</f>
        <v>INV 75795483</v>
      </c>
    </row>
    <row r="238" spans="1:8" x14ac:dyDescent="0.25">
      <c r="E238" t="str">
        <f>""</f>
        <v/>
      </c>
      <c r="F238" t="str">
        <f>""</f>
        <v/>
      </c>
      <c r="H238" t="str">
        <f>"INV 75803644"</f>
        <v>INV 75803644</v>
      </c>
    </row>
    <row r="239" spans="1:8" x14ac:dyDescent="0.25">
      <c r="E239" t="str">
        <f>""</f>
        <v/>
      </c>
      <c r="F239" t="str">
        <f>""</f>
        <v/>
      </c>
      <c r="H239" t="str">
        <f>"INV 75811355"</f>
        <v>INV 75811355</v>
      </c>
    </row>
    <row r="240" spans="1:8" x14ac:dyDescent="0.25">
      <c r="A240" t="s">
        <v>57</v>
      </c>
      <c r="B240">
        <v>134674</v>
      </c>
      <c r="C240" s="3">
        <v>4014.08</v>
      </c>
      <c r="D240" s="6">
        <v>44253</v>
      </c>
      <c r="E240" t="str">
        <f>"75819872"</f>
        <v>75819872</v>
      </c>
      <c r="F240" t="str">
        <f>"INV 75819872"</f>
        <v>INV 75819872</v>
      </c>
      <c r="G240" s="3">
        <v>4014.08</v>
      </c>
      <c r="H240" t="str">
        <f>"INV 75819872"</f>
        <v>INV 75819872</v>
      </c>
    </row>
    <row r="241" spans="1:8" x14ac:dyDescent="0.25">
      <c r="E241" t="str">
        <f>""</f>
        <v/>
      </c>
      <c r="F241" t="str">
        <f>""</f>
        <v/>
      </c>
      <c r="H241" t="str">
        <f>"INV 75828270"</f>
        <v>INV 75828270</v>
      </c>
    </row>
    <row r="242" spans="1:8" x14ac:dyDescent="0.25">
      <c r="E242" t="str">
        <f>""</f>
        <v/>
      </c>
      <c r="F242" t="str">
        <f>""</f>
        <v/>
      </c>
      <c r="H242" t="str">
        <f>"INV 75834277"</f>
        <v>INV 75834277</v>
      </c>
    </row>
    <row r="243" spans="1:8" x14ac:dyDescent="0.25">
      <c r="A243" t="s">
        <v>58</v>
      </c>
      <c r="B243">
        <v>3944</v>
      </c>
      <c r="C243" s="3">
        <v>2176.91</v>
      </c>
      <c r="D243" s="6">
        <v>44236</v>
      </c>
      <c r="E243" t="str">
        <f>"25011"</f>
        <v>25011</v>
      </c>
      <c r="F243" t="str">
        <f>"INV 25011"</f>
        <v>INV 25011</v>
      </c>
      <c r="G243" s="3">
        <v>2176.91</v>
      </c>
      <c r="H243" t="str">
        <f>"INV 25011"</f>
        <v>INV 25011</v>
      </c>
    </row>
    <row r="244" spans="1:8" x14ac:dyDescent="0.25">
      <c r="A244" t="s">
        <v>59</v>
      </c>
      <c r="B244">
        <v>3915</v>
      </c>
      <c r="C244" s="3">
        <v>1102.8699999999999</v>
      </c>
      <c r="D244" s="6">
        <v>44236</v>
      </c>
      <c r="E244" t="str">
        <f>"5713"</f>
        <v>5713</v>
      </c>
      <c r="F244" t="str">
        <f>"UNIT#12828/PCT#1"</f>
        <v>UNIT#12828/PCT#1</v>
      </c>
      <c r="G244" s="3">
        <v>330.52</v>
      </c>
      <c r="H244" t="str">
        <f>"UNIT#12828/PCT#1"</f>
        <v>UNIT#12828/PCT#1</v>
      </c>
    </row>
    <row r="245" spans="1:8" x14ac:dyDescent="0.25">
      <c r="E245" t="str">
        <f>"5722"</f>
        <v>5722</v>
      </c>
      <c r="F245" t="str">
        <f>"UNIT#5800 LABOR/PCT#1"</f>
        <v>UNIT#5800 LABOR/PCT#1</v>
      </c>
      <c r="G245" s="3">
        <v>274.2</v>
      </c>
      <c r="H245" t="str">
        <f>"UNIT#5800 LABOR/PCT#1"</f>
        <v>UNIT#5800 LABOR/PCT#1</v>
      </c>
    </row>
    <row r="246" spans="1:8" x14ac:dyDescent="0.25">
      <c r="E246" t="str">
        <f>"5741"</f>
        <v>5741</v>
      </c>
      <c r="F246" t="str">
        <f>"LABOR/CHECK LEAK"</f>
        <v>LABOR/CHECK LEAK</v>
      </c>
      <c r="G246" s="3">
        <v>498.15</v>
      </c>
      <c r="H246" t="str">
        <f>"LABOR/CHECK LEAK"</f>
        <v>LABOR/CHECK LEAK</v>
      </c>
    </row>
    <row r="247" spans="1:8" x14ac:dyDescent="0.25">
      <c r="A247" t="s">
        <v>59</v>
      </c>
      <c r="B247">
        <v>3962</v>
      </c>
      <c r="C247" s="3">
        <v>182.5</v>
      </c>
      <c r="D247" s="6">
        <v>44237</v>
      </c>
      <c r="E247" t="str">
        <f>"5751"</f>
        <v>5751</v>
      </c>
      <c r="F247" t="str">
        <f>"BIG WRENCH ROAD SERVICE INC"</f>
        <v>BIG WRENCH ROAD SERVICE INC</v>
      </c>
      <c r="G247" s="3">
        <v>-680.65</v>
      </c>
      <c r="H247" t="str">
        <f>"BIG WRENCH ROAD SERVICE INC"</f>
        <v>BIG WRENCH ROAD SERVICE INC</v>
      </c>
    </row>
    <row r="248" spans="1:8" x14ac:dyDescent="0.25">
      <c r="E248" t="str">
        <f>"5751"</f>
        <v>5751</v>
      </c>
      <c r="F248" t="str">
        <f>"CHECK BELLY DUMP GATE/PCT#4"</f>
        <v>CHECK BELLY DUMP GATE/PCT#4</v>
      </c>
      <c r="G248" s="3">
        <v>680.65</v>
      </c>
      <c r="H248" t="str">
        <f>"CHECK BELLY DUMP GATE/PCT#4"</f>
        <v>CHECK BELLY DUMP GATE/PCT#4</v>
      </c>
    </row>
    <row r="249" spans="1:8" x14ac:dyDescent="0.25">
      <c r="E249" t="str">
        <f>"5751 R"</f>
        <v>5751 R</v>
      </c>
      <c r="F249" t="str">
        <f>"CHECK BELLY DUMP GATE/PCT #4"</f>
        <v>CHECK BELLY DUMP GATE/PCT #4</v>
      </c>
      <c r="G249" s="3">
        <v>182.5</v>
      </c>
      <c r="H249" t="str">
        <f>"CHECK BELLY DUMP GATE/PCT #4"</f>
        <v>CHECK BELLY DUMP GATE/PCT #4</v>
      </c>
    </row>
    <row r="250" spans="1:8" x14ac:dyDescent="0.25">
      <c r="A250" t="s">
        <v>59</v>
      </c>
      <c r="B250">
        <v>3987</v>
      </c>
      <c r="C250" s="3">
        <v>641.03</v>
      </c>
      <c r="D250" s="6">
        <v>44254</v>
      </c>
      <c r="E250" t="str">
        <f>"5778"</f>
        <v>5778</v>
      </c>
      <c r="F250" t="str">
        <f>"SERVICE/PCT#1"</f>
        <v>SERVICE/PCT#1</v>
      </c>
      <c r="G250" s="3">
        <v>588.53</v>
      </c>
      <c r="H250" t="str">
        <f>"SERVICE/PCT#4"</f>
        <v>SERVICE/PCT#4</v>
      </c>
    </row>
    <row r="251" spans="1:8" x14ac:dyDescent="0.25">
      <c r="E251" t="str">
        <f>"5780"</f>
        <v>5780</v>
      </c>
      <c r="F251" t="str">
        <f>"ADJUST CLUTCH/PCT#1"</f>
        <v>ADJUST CLUTCH/PCT#1</v>
      </c>
      <c r="G251" s="3">
        <v>52.5</v>
      </c>
      <c r="H251" t="str">
        <f>"ADJUST CLUTCH/PCT#4"</f>
        <v>ADJUST CLUTCH/PCT#4</v>
      </c>
    </row>
    <row r="252" spans="1:8" x14ac:dyDescent="0.25">
      <c r="A252" t="s">
        <v>60</v>
      </c>
      <c r="B252">
        <v>3964</v>
      </c>
      <c r="C252" s="3">
        <v>600</v>
      </c>
      <c r="D252" s="6">
        <v>44254</v>
      </c>
      <c r="E252" t="str">
        <f>"202102091682"</f>
        <v>202102091682</v>
      </c>
      <c r="F252" t="str">
        <f>"423-6396"</f>
        <v>423-6396</v>
      </c>
      <c r="G252" s="3">
        <v>600</v>
      </c>
      <c r="H252" t="str">
        <f>"423-6396"</f>
        <v>423-6396</v>
      </c>
    </row>
    <row r="253" spans="1:8" x14ac:dyDescent="0.25">
      <c r="A253" t="s">
        <v>61</v>
      </c>
      <c r="B253">
        <v>134555</v>
      </c>
      <c r="C253" s="3">
        <v>473.82</v>
      </c>
      <c r="D253" s="6">
        <v>44235</v>
      </c>
      <c r="E253" t="str">
        <f>"84078907852"</f>
        <v>84078907852</v>
      </c>
      <c r="F253" t="str">
        <f>"INV 84078907852"</f>
        <v>INV 84078907852</v>
      </c>
      <c r="G253" s="3">
        <v>473.82</v>
      </c>
      <c r="H253" t="str">
        <f>"INV 84078907852"</f>
        <v>INV 84078907852</v>
      </c>
    </row>
    <row r="254" spans="1:8" x14ac:dyDescent="0.25">
      <c r="E254" t="str">
        <f>""</f>
        <v/>
      </c>
      <c r="F254" t="str">
        <f>""</f>
        <v/>
      </c>
      <c r="H254" t="str">
        <f>"INV 84078907918"</f>
        <v>INV 84078907918</v>
      </c>
    </row>
    <row r="255" spans="1:8" x14ac:dyDescent="0.25">
      <c r="A255" t="s">
        <v>61</v>
      </c>
      <c r="B255">
        <v>134675</v>
      </c>
      <c r="C255" s="3">
        <v>752.14</v>
      </c>
      <c r="D255" s="6">
        <v>44253</v>
      </c>
      <c r="E255" t="str">
        <f>"84"</f>
        <v>84</v>
      </c>
      <c r="F255" t="str">
        <f>"INV 84078908005"</f>
        <v>INV 84078908005</v>
      </c>
      <c r="G255" s="3">
        <v>752.14</v>
      </c>
      <c r="H255" t="str">
        <f>"INV 84078908005"</f>
        <v>INV 84078908005</v>
      </c>
    </row>
    <row r="256" spans="1:8" x14ac:dyDescent="0.25">
      <c r="E256" t="str">
        <f>""</f>
        <v/>
      </c>
      <c r="F256" t="str">
        <f>""</f>
        <v/>
      </c>
      <c r="H256" t="str">
        <f>"INV 84078908069"</f>
        <v>INV 84078908069</v>
      </c>
    </row>
    <row r="257" spans="1:8" x14ac:dyDescent="0.25">
      <c r="E257" t="str">
        <f>""</f>
        <v/>
      </c>
      <c r="F257" t="str">
        <f>""</f>
        <v/>
      </c>
      <c r="H257" t="str">
        <f>"INV 84078908111"</f>
        <v>INV 84078908111</v>
      </c>
    </row>
    <row r="258" spans="1:8" x14ac:dyDescent="0.25">
      <c r="A258" t="s">
        <v>62</v>
      </c>
      <c r="B258">
        <v>3982</v>
      </c>
      <c r="C258" s="3">
        <v>1500</v>
      </c>
      <c r="D258" s="6">
        <v>44254</v>
      </c>
      <c r="E258" t="str">
        <f>"202102111717"</f>
        <v>202102111717</v>
      </c>
      <c r="F258" t="str">
        <f>"3061320B 3061320C"</f>
        <v>3061320B 3061320C</v>
      </c>
      <c r="G258" s="3">
        <v>375</v>
      </c>
      <c r="H258" t="str">
        <f>"3061320B 3061320C"</f>
        <v>3061320B 3061320C</v>
      </c>
    </row>
    <row r="259" spans="1:8" x14ac:dyDescent="0.25">
      <c r="E259" t="str">
        <f>"202102111718"</f>
        <v>202102111718</v>
      </c>
      <c r="F259" t="str">
        <f>"57-053"</f>
        <v>57-053</v>
      </c>
      <c r="G259" s="3">
        <v>250</v>
      </c>
      <c r="H259" t="str">
        <f>"57-053"</f>
        <v>57-053</v>
      </c>
    </row>
    <row r="260" spans="1:8" x14ac:dyDescent="0.25">
      <c r="E260" t="str">
        <f>"202102111719"</f>
        <v>202102111719</v>
      </c>
      <c r="F260" t="str">
        <f>"021118-3 021118-2"</f>
        <v>021118-3 021118-2</v>
      </c>
      <c r="G260" s="3">
        <v>375</v>
      </c>
      <c r="H260" t="str">
        <f>"021118-3 021118-2"</f>
        <v>021118-3 021118-2</v>
      </c>
    </row>
    <row r="261" spans="1:8" x14ac:dyDescent="0.25">
      <c r="E261" t="str">
        <f>"202102111720"</f>
        <v>202102111720</v>
      </c>
      <c r="F261" t="str">
        <f>"4071420-1"</f>
        <v>4071420-1</v>
      </c>
      <c r="G261" s="3">
        <v>250</v>
      </c>
      <c r="H261" t="str">
        <f>"4071420-1"</f>
        <v>4071420-1</v>
      </c>
    </row>
    <row r="262" spans="1:8" x14ac:dyDescent="0.25">
      <c r="E262" t="str">
        <f>"202102111721"</f>
        <v>202102111721</v>
      </c>
      <c r="F262" t="str">
        <f>"AC 20210117 9253591757"</f>
        <v>AC 20210117 9253591757</v>
      </c>
      <c r="G262" s="3">
        <v>250</v>
      </c>
      <c r="H262" t="str">
        <f>"AC 20210117 9253591757"</f>
        <v>AC 20210117 9253591757</v>
      </c>
    </row>
    <row r="263" spans="1:8" x14ac:dyDescent="0.25">
      <c r="A263" t="s">
        <v>63</v>
      </c>
      <c r="B263">
        <v>134676</v>
      </c>
      <c r="C263" s="3">
        <v>129.57</v>
      </c>
      <c r="D263" s="6">
        <v>44253</v>
      </c>
      <c r="E263" t="str">
        <f>"202102231769"</f>
        <v>202102231769</v>
      </c>
      <c r="F263" t="str">
        <f>"JANUARY FEES"</f>
        <v>JANUARY FEES</v>
      </c>
      <c r="G263" s="3">
        <v>129.57</v>
      </c>
      <c r="H263" t="str">
        <f>"JANUARY FEES"</f>
        <v>JANUARY FEES</v>
      </c>
    </row>
    <row r="264" spans="1:8" x14ac:dyDescent="0.25">
      <c r="A264" t="s">
        <v>64</v>
      </c>
      <c r="B264">
        <v>134655</v>
      </c>
      <c r="C264" s="3">
        <v>4361.33</v>
      </c>
      <c r="D264" s="6">
        <v>44238</v>
      </c>
      <c r="E264" t="str">
        <f>"202102111708"</f>
        <v>202102111708</v>
      </c>
      <c r="F264" t="str">
        <f>"ACCT#55000090397 / 02012021"</f>
        <v>ACCT#55000090397 / 02012021</v>
      </c>
      <c r="G264" s="3">
        <v>105.65</v>
      </c>
      <c r="H264" t="str">
        <f>"ACCT#55000090397 / 02012021"</f>
        <v>ACCT#55000090397 / 02012021</v>
      </c>
    </row>
    <row r="265" spans="1:8" x14ac:dyDescent="0.25">
      <c r="E265" t="str">
        <f>"202102111709"</f>
        <v>202102111709</v>
      </c>
      <c r="F265" t="str">
        <f>"ACCT#5000057374 / 02032021"</f>
        <v>ACCT#5000057374 / 02032021</v>
      </c>
      <c r="G265" s="3">
        <v>4255.68</v>
      </c>
      <c r="H265" t="str">
        <f>"ACCT#5000057374 / 02032021"</f>
        <v>ACCT#5000057374 / 02032021</v>
      </c>
    </row>
    <row r="266" spans="1:8" x14ac:dyDescent="0.25">
      <c r="E266" t="str">
        <f>""</f>
        <v/>
      </c>
      <c r="F266" t="str">
        <f>""</f>
        <v/>
      </c>
      <c r="H266" t="str">
        <f>"ACCT#5000057374 / 02032021"</f>
        <v>ACCT#5000057374 / 02032021</v>
      </c>
    </row>
    <row r="267" spans="1:8" x14ac:dyDescent="0.25">
      <c r="E267" t="str">
        <f>""</f>
        <v/>
      </c>
      <c r="F267" t="str">
        <f>""</f>
        <v/>
      </c>
      <c r="H267" t="str">
        <f>"ACCT#5000057374 / 02032021"</f>
        <v>ACCT#5000057374 / 02032021</v>
      </c>
    </row>
    <row r="268" spans="1:8" x14ac:dyDescent="0.25">
      <c r="E268" t="str">
        <f>""</f>
        <v/>
      </c>
      <c r="F268" t="str">
        <f>""</f>
        <v/>
      </c>
      <c r="H268" t="str">
        <f>"ACCT#5000057374 / 02032021"</f>
        <v>ACCT#5000057374 / 02032021</v>
      </c>
    </row>
    <row r="269" spans="1:8" x14ac:dyDescent="0.25">
      <c r="A269" t="s">
        <v>65</v>
      </c>
      <c r="B269">
        <v>4032</v>
      </c>
      <c r="C269" s="3">
        <v>23252.52</v>
      </c>
      <c r="D269" s="6">
        <v>44254</v>
      </c>
      <c r="E269" t="str">
        <f>"202102091630"</f>
        <v>202102091630</v>
      </c>
      <c r="F269" t="str">
        <f>"HOME VISITING GRANT REIMBURSEM"</f>
        <v>HOME VISITING GRANT REIMBURSEM</v>
      </c>
      <c r="G269" s="3">
        <v>20327.52</v>
      </c>
      <c r="H269" t="str">
        <f>"HOME VISITING GRANT REIMBURSEM"</f>
        <v>HOME VISITING GRANT REIMBURSEM</v>
      </c>
    </row>
    <row r="270" spans="1:8" x14ac:dyDescent="0.25">
      <c r="E270" t="str">
        <f>"25-11-2020"</f>
        <v>25-11-2020</v>
      </c>
      <c r="F270" t="str">
        <f>"INV 25-11-2020"</f>
        <v>INV 25-11-2020</v>
      </c>
      <c r="G270" s="3">
        <v>2925</v>
      </c>
      <c r="H270" t="str">
        <f>"INV 25-11-2020"</f>
        <v>INV 25-11-2020</v>
      </c>
    </row>
    <row r="271" spans="1:8" x14ac:dyDescent="0.25">
      <c r="E271" t="str">
        <f>""</f>
        <v/>
      </c>
      <c r="F271" t="str">
        <f>""</f>
        <v/>
      </c>
      <c r="H271" t="str">
        <f>"INV 25-12-2020"</f>
        <v>INV 25-12-2020</v>
      </c>
    </row>
    <row r="272" spans="1:8" x14ac:dyDescent="0.25">
      <c r="E272" t="str">
        <f>""</f>
        <v/>
      </c>
      <c r="F272" t="str">
        <f>""</f>
        <v/>
      </c>
      <c r="H272" t="str">
        <f>"INV 25-01-2021"</f>
        <v>INV 25-01-2021</v>
      </c>
    </row>
    <row r="273" spans="1:8" x14ac:dyDescent="0.25">
      <c r="A273" t="s">
        <v>66</v>
      </c>
      <c r="B273">
        <v>134556</v>
      </c>
      <c r="C273" s="3">
        <v>7472</v>
      </c>
      <c r="D273" s="6">
        <v>44235</v>
      </c>
      <c r="E273" t="str">
        <f>"118052"</f>
        <v>118052</v>
      </c>
      <c r="F273" t="str">
        <f>"ACCT#1268/PCT#3"</f>
        <v>ACCT#1268/PCT#3</v>
      </c>
      <c r="G273" s="3">
        <v>749.44</v>
      </c>
      <c r="H273" t="str">
        <f>"ACCT#1268/PCT#3"</f>
        <v>ACCT#1268/PCT#3</v>
      </c>
    </row>
    <row r="274" spans="1:8" x14ac:dyDescent="0.25">
      <c r="E274" t="str">
        <f>"118318"</f>
        <v>118318</v>
      </c>
      <c r="F274" t="str">
        <f>"ACCT#1268/PCT#3"</f>
        <v>ACCT#1268/PCT#3</v>
      </c>
      <c r="G274" s="3">
        <v>3804.48</v>
      </c>
      <c r="H274" t="str">
        <f>"ACCT#1268/PCT#3"</f>
        <v>ACCT#1268/PCT#3</v>
      </c>
    </row>
    <row r="275" spans="1:8" x14ac:dyDescent="0.25">
      <c r="E275" t="str">
        <f>"118473"</f>
        <v>118473</v>
      </c>
      <c r="F275" t="str">
        <f>"ACCT#1268/PCT#3"</f>
        <v>ACCT#1268/PCT#3</v>
      </c>
      <c r="G275" s="3">
        <v>2918.08</v>
      </c>
      <c r="H275" t="str">
        <f>"ACCT#1268/PCT#3"</f>
        <v>ACCT#1268/PCT#3</v>
      </c>
    </row>
    <row r="276" spans="1:8" x14ac:dyDescent="0.25">
      <c r="A276" t="s">
        <v>67</v>
      </c>
      <c r="B276">
        <v>4039</v>
      </c>
      <c r="C276" s="3">
        <v>250</v>
      </c>
      <c r="D276" s="6">
        <v>44254</v>
      </c>
      <c r="E276" t="str">
        <f>"202102111714"</f>
        <v>202102111714</v>
      </c>
      <c r="F276" t="str">
        <f>"3011820119B"</f>
        <v>3011820119B</v>
      </c>
      <c r="G276" s="3">
        <v>250</v>
      </c>
      <c r="H276" t="str">
        <f>"3011820119B"</f>
        <v>3011820119B</v>
      </c>
    </row>
    <row r="277" spans="1:8" x14ac:dyDescent="0.25">
      <c r="A277" t="s">
        <v>68</v>
      </c>
      <c r="B277">
        <v>134557</v>
      </c>
      <c r="C277" s="3">
        <v>30</v>
      </c>
      <c r="D277" s="6">
        <v>44235</v>
      </c>
      <c r="E277" t="str">
        <f>"423-7648"</f>
        <v>423-7648</v>
      </c>
      <c r="F277" t="str">
        <f>"CENTRAL ADOPTION REGISTRY FUND"</f>
        <v>CENTRAL ADOPTION REGISTRY FUND</v>
      </c>
      <c r="G277" s="3">
        <v>15</v>
      </c>
      <c r="H277" t="str">
        <f>"CENTRAL ADOPTION REGISTRY FUND"</f>
        <v>CENTRAL ADOPTION REGISTRY FUND</v>
      </c>
    </row>
    <row r="278" spans="1:8" x14ac:dyDescent="0.25">
      <c r="E278" t="str">
        <f>"423-7655"</f>
        <v>423-7655</v>
      </c>
      <c r="F278" t="str">
        <f>"CAR FUND"</f>
        <v>CAR FUND</v>
      </c>
      <c r="G278" s="3">
        <v>15</v>
      </c>
      <c r="H278" t="str">
        <f>"CAR FUND"</f>
        <v>CAR FUND</v>
      </c>
    </row>
    <row r="279" spans="1:8" x14ac:dyDescent="0.25">
      <c r="A279" t="s">
        <v>68</v>
      </c>
      <c r="B279">
        <v>134677</v>
      </c>
      <c r="C279" s="3">
        <v>15</v>
      </c>
      <c r="D279" s="6">
        <v>44253</v>
      </c>
      <c r="E279" t="str">
        <f>"21-20591"</f>
        <v>21-20591</v>
      </c>
      <c r="F279" t="str">
        <f>"CAR FUND"</f>
        <v>CAR FUND</v>
      </c>
      <c r="G279" s="3">
        <v>15</v>
      </c>
      <c r="H279" t="str">
        <f>"CAR FUND"</f>
        <v>CAR FUND</v>
      </c>
    </row>
    <row r="280" spans="1:8" x14ac:dyDescent="0.25">
      <c r="A280" t="s">
        <v>69</v>
      </c>
      <c r="B280">
        <v>134678</v>
      </c>
      <c r="C280" s="3">
        <v>100</v>
      </c>
      <c r="D280" s="6">
        <v>44253</v>
      </c>
      <c r="E280" t="str">
        <f>"202102231772"</f>
        <v>202102231772</v>
      </c>
      <c r="F280" t="str">
        <f>"SERVICE FEE"</f>
        <v>SERVICE FEE</v>
      </c>
      <c r="G280" s="3">
        <v>100</v>
      </c>
      <c r="H280" t="str">
        <f>"SERVICE FEE"</f>
        <v>SERVICE FEE</v>
      </c>
    </row>
    <row r="281" spans="1:8" x14ac:dyDescent="0.25">
      <c r="A281" t="s">
        <v>70</v>
      </c>
      <c r="B281">
        <v>134558</v>
      </c>
      <c r="C281" s="3">
        <v>2334.11</v>
      </c>
      <c r="D281" s="6">
        <v>44235</v>
      </c>
      <c r="E281" t="str">
        <f>"10830546"</f>
        <v>10830546</v>
      </c>
      <c r="F281" t="str">
        <f>"10830546-00/10830546-01"</f>
        <v>10830546-00/10830546-01</v>
      </c>
      <c r="G281" s="3">
        <v>2334.11</v>
      </c>
      <c r="H281" t="str">
        <f>"10830546-00"</f>
        <v>10830546-00</v>
      </c>
    </row>
    <row r="282" spans="1:8" x14ac:dyDescent="0.25">
      <c r="E282" t="str">
        <f>""</f>
        <v/>
      </c>
      <c r="F282" t="str">
        <f>""</f>
        <v/>
      </c>
      <c r="H282" t="str">
        <f>"110830546-01"</f>
        <v>110830546-01</v>
      </c>
    </row>
    <row r="283" spans="1:8" x14ac:dyDescent="0.25">
      <c r="A283" t="s">
        <v>71</v>
      </c>
      <c r="B283">
        <v>134559</v>
      </c>
      <c r="C283" s="3">
        <v>25360</v>
      </c>
      <c r="D283" s="6">
        <v>44235</v>
      </c>
      <c r="E283" t="str">
        <f>"MG199958"</f>
        <v>MG199958</v>
      </c>
      <c r="F283" t="str">
        <f>"CALDWELL AUTOMOTIVE PARTNERS L"</f>
        <v>CALDWELL AUTOMOTIVE PARTNERS L</v>
      </c>
      <c r="G283" s="3">
        <v>25360</v>
      </c>
      <c r="H283" t="str">
        <f>"Chevrolet Truck"</f>
        <v>Chevrolet Truck</v>
      </c>
    </row>
    <row r="284" spans="1:8" x14ac:dyDescent="0.25">
      <c r="E284" t="str">
        <f>""</f>
        <v/>
      </c>
      <c r="F284" t="str">
        <f>""</f>
        <v/>
      </c>
      <c r="H284" t="str">
        <f>"Buyboard Fee"</f>
        <v>Buyboard Fee</v>
      </c>
    </row>
    <row r="285" spans="1:8" x14ac:dyDescent="0.25">
      <c r="A285" t="s">
        <v>72</v>
      </c>
      <c r="B285">
        <v>134679</v>
      </c>
      <c r="C285" s="3">
        <v>240</v>
      </c>
      <c r="D285" s="6">
        <v>44253</v>
      </c>
      <c r="E285" t="str">
        <f>"12852"</f>
        <v>12852</v>
      </c>
      <c r="F285" t="str">
        <f>"SERVICE"</f>
        <v>SERVICE</v>
      </c>
      <c r="G285" s="3">
        <v>160</v>
      </c>
      <c r="H285" t="str">
        <f>"SERVICE"</f>
        <v>SERVICE</v>
      </c>
    </row>
    <row r="286" spans="1:8" x14ac:dyDescent="0.25">
      <c r="E286" t="str">
        <f>"12978"</f>
        <v>12978</v>
      </c>
      <c r="F286" t="str">
        <f>"SERVICE FEE"</f>
        <v>SERVICE FEE</v>
      </c>
      <c r="G286" s="3">
        <v>80</v>
      </c>
      <c r="H286" t="str">
        <f>"SERVICE FEE"</f>
        <v>SERVICE FEE</v>
      </c>
    </row>
    <row r="287" spans="1:8" x14ac:dyDescent="0.25">
      <c r="A287" t="s">
        <v>73</v>
      </c>
      <c r="B287">
        <v>134680</v>
      </c>
      <c r="C287" s="3">
        <v>3879</v>
      </c>
      <c r="D287" s="6">
        <v>44253</v>
      </c>
      <c r="E287" t="str">
        <f>"CAMPO-21-057"</f>
        <v>CAMPO-21-057</v>
      </c>
      <c r="F287" t="str">
        <f>"CAMPO US CENSIS"</f>
        <v>CAMPO US CENSIS</v>
      </c>
      <c r="G287" s="3">
        <v>3879</v>
      </c>
      <c r="H287" t="str">
        <f>"CAMPO US CENSIS"</f>
        <v>CAMPO US CENSIS</v>
      </c>
    </row>
    <row r="288" spans="1:8" x14ac:dyDescent="0.25">
      <c r="A288" t="s">
        <v>74</v>
      </c>
      <c r="B288">
        <v>3931</v>
      </c>
      <c r="C288" s="3">
        <v>1615.62</v>
      </c>
      <c r="D288" s="6">
        <v>44236</v>
      </c>
      <c r="E288" t="str">
        <f>"01814582"</f>
        <v>01814582</v>
      </c>
      <c r="F288" t="str">
        <f>"ORDER#01420611/PCT#2"</f>
        <v>ORDER#01420611/PCT#2</v>
      </c>
      <c r="G288" s="3">
        <v>48.74</v>
      </c>
      <c r="H288" t="str">
        <f>"ORDER#01420611/PCT#2"</f>
        <v>ORDER#01420611/PCT#2</v>
      </c>
    </row>
    <row r="289" spans="1:8" x14ac:dyDescent="0.25">
      <c r="E289" t="str">
        <f>"04003840"</f>
        <v>04003840</v>
      </c>
      <c r="F289" t="str">
        <f>"ORDER#00426475/PCT#2"</f>
        <v>ORDER#00426475/PCT#2</v>
      </c>
      <c r="G289" s="3">
        <v>550</v>
      </c>
      <c r="H289" t="str">
        <f>"ORDER#00426475/PCT#2"</f>
        <v>ORDER#00426475/PCT#2</v>
      </c>
    </row>
    <row r="290" spans="1:8" x14ac:dyDescent="0.25">
      <c r="E290" t="str">
        <f>"04003859"</f>
        <v>04003859</v>
      </c>
      <c r="F290" t="str">
        <f>"ACCT#000690/PCT#4"</f>
        <v>ACCT#000690/PCT#4</v>
      </c>
      <c r="G290" s="3">
        <v>1016.88</v>
      </c>
      <c r="H290" t="str">
        <f>"ACCT#000690/PCT#4"</f>
        <v>ACCT#000690/PCT#4</v>
      </c>
    </row>
    <row r="291" spans="1:8" x14ac:dyDescent="0.25">
      <c r="A291" t="s">
        <v>74</v>
      </c>
      <c r="B291">
        <v>4012</v>
      </c>
      <c r="C291" s="3">
        <v>41.88</v>
      </c>
      <c r="D291" s="6">
        <v>44254</v>
      </c>
      <c r="E291" t="str">
        <f>"01815496"</f>
        <v>01815496</v>
      </c>
      <c r="F291" t="str">
        <f>"BILL ID 000690/PCT#4"</f>
        <v>BILL ID 000690/PCT#4</v>
      </c>
      <c r="G291" s="3">
        <v>41.88</v>
      </c>
      <c r="H291" t="str">
        <f>"BILL ID 000690/PCT#4"</f>
        <v>BILL ID 000690/PCT#4</v>
      </c>
    </row>
    <row r="292" spans="1:8" x14ac:dyDescent="0.25">
      <c r="A292" t="s">
        <v>75</v>
      </c>
      <c r="B292">
        <v>134560</v>
      </c>
      <c r="C292" s="3">
        <v>19098</v>
      </c>
      <c r="D292" s="6">
        <v>44235</v>
      </c>
      <c r="E292" t="str">
        <f>"22401"</f>
        <v>22401</v>
      </c>
      <c r="F292" t="str">
        <f>"DocuSign Carahsoft"</f>
        <v>DocuSign Carahsoft</v>
      </c>
      <c r="G292" s="3">
        <v>19098</v>
      </c>
      <c r="H292" t="str">
        <f>"APT-0463"</f>
        <v>APT-0463</v>
      </c>
    </row>
    <row r="293" spans="1:8" x14ac:dyDescent="0.25">
      <c r="E293" t="str">
        <f>""</f>
        <v/>
      </c>
      <c r="F293" t="str">
        <f>""</f>
        <v/>
      </c>
      <c r="H293" t="str">
        <f>"APT-0148-679"</f>
        <v>APT-0148-679</v>
      </c>
    </row>
    <row r="294" spans="1:8" x14ac:dyDescent="0.25">
      <c r="A294" t="s">
        <v>76</v>
      </c>
      <c r="B294">
        <v>905</v>
      </c>
      <c r="C294" s="3">
        <v>981.27</v>
      </c>
      <c r="D294" s="6">
        <v>44237</v>
      </c>
      <c r="E294" t="str">
        <f>"202102101695"</f>
        <v>202102101695</v>
      </c>
      <c r="F294" t="str">
        <f>"ACCT #0058 / 01 22 2021"</f>
        <v>ACCT #0058 / 01 22 2021</v>
      </c>
      <c r="G294" s="3">
        <v>981.27</v>
      </c>
      <c r="H294" t="str">
        <f t="shared" ref="H294:H309" si="6">"ACCT #0058 / 01 22 2021"</f>
        <v>ACCT #0058 / 01 22 2021</v>
      </c>
    </row>
    <row r="295" spans="1:8" x14ac:dyDescent="0.25">
      <c r="E295" t="str">
        <f>""</f>
        <v/>
      </c>
      <c r="F295" t="str">
        <f>""</f>
        <v/>
      </c>
      <c r="H295" t="str">
        <f t="shared" si="6"/>
        <v>ACCT #0058 / 01 22 2021</v>
      </c>
    </row>
    <row r="296" spans="1:8" x14ac:dyDescent="0.25">
      <c r="E296" t="str">
        <f>""</f>
        <v/>
      </c>
      <c r="F296" t="str">
        <f>""</f>
        <v/>
      </c>
      <c r="H296" t="str">
        <f t="shared" si="6"/>
        <v>ACCT #0058 / 01 22 2021</v>
      </c>
    </row>
    <row r="297" spans="1:8" x14ac:dyDescent="0.25">
      <c r="E297" t="str">
        <f>""</f>
        <v/>
      </c>
      <c r="F297" t="str">
        <f>""</f>
        <v/>
      </c>
      <c r="H297" t="str">
        <f t="shared" si="6"/>
        <v>ACCT #0058 / 01 22 2021</v>
      </c>
    </row>
    <row r="298" spans="1:8" x14ac:dyDescent="0.25">
      <c r="E298" t="str">
        <f>""</f>
        <v/>
      </c>
      <c r="F298" t="str">
        <f>""</f>
        <v/>
      </c>
      <c r="H298" t="str">
        <f t="shared" si="6"/>
        <v>ACCT #0058 / 01 22 2021</v>
      </c>
    </row>
    <row r="299" spans="1:8" x14ac:dyDescent="0.25">
      <c r="E299" t="str">
        <f>""</f>
        <v/>
      </c>
      <c r="F299" t="str">
        <f>""</f>
        <v/>
      </c>
      <c r="H299" t="str">
        <f t="shared" si="6"/>
        <v>ACCT #0058 / 01 22 2021</v>
      </c>
    </row>
    <row r="300" spans="1:8" x14ac:dyDescent="0.25">
      <c r="E300" t="str">
        <f>""</f>
        <v/>
      </c>
      <c r="F300" t="str">
        <f>""</f>
        <v/>
      </c>
      <c r="H300" t="str">
        <f t="shared" si="6"/>
        <v>ACCT #0058 / 01 22 2021</v>
      </c>
    </row>
    <row r="301" spans="1:8" x14ac:dyDescent="0.25">
      <c r="E301" t="str">
        <f>""</f>
        <v/>
      </c>
      <c r="F301" t="str">
        <f>""</f>
        <v/>
      </c>
      <c r="H301" t="str">
        <f t="shared" si="6"/>
        <v>ACCT #0058 / 01 22 2021</v>
      </c>
    </row>
    <row r="302" spans="1:8" x14ac:dyDescent="0.25">
      <c r="E302" t="str">
        <f>""</f>
        <v/>
      </c>
      <c r="F302" t="str">
        <f>""</f>
        <v/>
      </c>
      <c r="H302" t="str">
        <f t="shared" si="6"/>
        <v>ACCT #0058 / 01 22 2021</v>
      </c>
    </row>
    <row r="303" spans="1:8" x14ac:dyDescent="0.25">
      <c r="E303" t="str">
        <f>""</f>
        <v/>
      </c>
      <c r="F303" t="str">
        <f>""</f>
        <v/>
      </c>
      <c r="H303" t="str">
        <f t="shared" si="6"/>
        <v>ACCT #0058 / 01 22 2021</v>
      </c>
    </row>
    <row r="304" spans="1:8" x14ac:dyDescent="0.25">
      <c r="E304" t="str">
        <f>""</f>
        <v/>
      </c>
      <c r="F304" t="str">
        <f>""</f>
        <v/>
      </c>
      <c r="H304" t="str">
        <f t="shared" si="6"/>
        <v>ACCT #0058 / 01 22 2021</v>
      </c>
    </row>
    <row r="305" spans="1:8" x14ac:dyDescent="0.25">
      <c r="E305" t="str">
        <f>""</f>
        <v/>
      </c>
      <c r="F305" t="str">
        <f>""</f>
        <v/>
      </c>
      <c r="H305" t="str">
        <f t="shared" si="6"/>
        <v>ACCT #0058 / 01 22 2021</v>
      </c>
    </row>
    <row r="306" spans="1:8" x14ac:dyDescent="0.25">
      <c r="E306" t="str">
        <f>""</f>
        <v/>
      </c>
      <c r="F306" t="str">
        <f>""</f>
        <v/>
      </c>
      <c r="H306" t="str">
        <f t="shared" si="6"/>
        <v>ACCT #0058 / 01 22 2021</v>
      </c>
    </row>
    <row r="307" spans="1:8" x14ac:dyDescent="0.25">
      <c r="E307" t="str">
        <f>""</f>
        <v/>
      </c>
      <c r="F307" t="str">
        <f>""</f>
        <v/>
      </c>
      <c r="H307" t="str">
        <f t="shared" si="6"/>
        <v>ACCT #0058 / 01 22 2021</v>
      </c>
    </row>
    <row r="308" spans="1:8" x14ac:dyDescent="0.25">
      <c r="E308" t="str">
        <f>""</f>
        <v/>
      </c>
      <c r="F308" t="str">
        <f>""</f>
        <v/>
      </c>
      <c r="H308" t="str">
        <f t="shared" si="6"/>
        <v>ACCT #0058 / 01 22 2021</v>
      </c>
    </row>
    <row r="309" spans="1:8" x14ac:dyDescent="0.25">
      <c r="E309" t="str">
        <f>""</f>
        <v/>
      </c>
      <c r="F309" t="str">
        <f>""</f>
        <v/>
      </c>
      <c r="H309" t="str">
        <f t="shared" si="6"/>
        <v>ACCT #0058 / 01 22 2021</v>
      </c>
    </row>
    <row r="310" spans="1:8" x14ac:dyDescent="0.25">
      <c r="A310" t="s">
        <v>76</v>
      </c>
      <c r="B310">
        <v>904</v>
      </c>
      <c r="C310" s="3">
        <v>901.94</v>
      </c>
      <c r="D310" s="6">
        <v>44235</v>
      </c>
      <c r="E310" t="str">
        <f>"202102031600"</f>
        <v>202102031600</v>
      </c>
      <c r="F310" t="str">
        <f>"STATEMENT 0574"</f>
        <v>STATEMENT 0574</v>
      </c>
      <c r="G310" s="3">
        <v>901.94</v>
      </c>
      <c r="H310" t="str">
        <f>"WALMART"</f>
        <v>WALMART</v>
      </c>
    </row>
    <row r="311" spans="1:8" x14ac:dyDescent="0.25">
      <c r="E311" t="str">
        <f>""</f>
        <v/>
      </c>
      <c r="F311" t="str">
        <f>""</f>
        <v/>
      </c>
      <c r="H311" t="str">
        <f>"WALMART"</f>
        <v>WALMART</v>
      </c>
    </row>
    <row r="312" spans="1:8" x14ac:dyDescent="0.25">
      <c r="E312" t="str">
        <f>""</f>
        <v/>
      </c>
      <c r="F312" t="str">
        <f>""</f>
        <v/>
      </c>
      <c r="H312" t="str">
        <f>"WALMART"</f>
        <v>WALMART</v>
      </c>
    </row>
    <row r="313" spans="1:8" x14ac:dyDescent="0.25">
      <c r="E313" t="str">
        <f>""</f>
        <v/>
      </c>
      <c r="F313" t="str">
        <f>""</f>
        <v/>
      </c>
      <c r="H313" t="str">
        <f>"HAMPTON INN"</f>
        <v>HAMPTON INN</v>
      </c>
    </row>
    <row r="314" spans="1:8" x14ac:dyDescent="0.25">
      <c r="E314" t="str">
        <f>""</f>
        <v/>
      </c>
      <c r="F314" t="str">
        <f>""</f>
        <v/>
      </c>
      <c r="H314" t="str">
        <f>"HAMPTON INN"</f>
        <v>HAMPTON INN</v>
      </c>
    </row>
    <row r="315" spans="1:8" x14ac:dyDescent="0.25">
      <c r="E315" t="str">
        <f>""</f>
        <v/>
      </c>
      <c r="F315" t="str">
        <f>""</f>
        <v/>
      </c>
      <c r="H315" t="str">
        <f>"LOST PINE CW"</f>
        <v>LOST PINE CW</v>
      </c>
    </row>
    <row r="316" spans="1:8" x14ac:dyDescent="0.25">
      <c r="A316" t="s">
        <v>77</v>
      </c>
      <c r="B316">
        <v>3948</v>
      </c>
      <c r="C316" s="3">
        <v>491.8</v>
      </c>
      <c r="D316" s="6">
        <v>44236</v>
      </c>
      <c r="E316" t="str">
        <f>"22390"</f>
        <v>22390</v>
      </c>
      <c r="F316" t="str">
        <f>"CSW GOV ORDER"</f>
        <v>CSW GOV ORDER</v>
      </c>
      <c r="G316" s="3">
        <v>491.8</v>
      </c>
      <c r="H316" t="str">
        <f>"ZEBRA Receipt Paper"</f>
        <v>ZEBRA Receipt Paper</v>
      </c>
    </row>
    <row r="317" spans="1:8" x14ac:dyDescent="0.25">
      <c r="A317" t="s">
        <v>78</v>
      </c>
      <c r="B317">
        <v>134561</v>
      </c>
      <c r="C317" s="3">
        <v>4200</v>
      </c>
      <c r="D317" s="6">
        <v>44235</v>
      </c>
      <c r="E317" t="str">
        <f>"13302"</f>
        <v>13302</v>
      </c>
      <c r="F317" t="str">
        <f>"AUTOPSY L. GLADWELL"</f>
        <v>AUTOPSY L. GLADWELL</v>
      </c>
      <c r="G317" s="3">
        <v>2100</v>
      </c>
      <c r="H317" t="str">
        <f>"AUTOPSY L. GLADWELL"</f>
        <v>AUTOPSY L. GLADWELL</v>
      </c>
    </row>
    <row r="318" spans="1:8" x14ac:dyDescent="0.25">
      <c r="E318" t="str">
        <f>"13303"</f>
        <v>13303</v>
      </c>
      <c r="F318" t="str">
        <f>"AUTOPSY P. AKROYD"</f>
        <v>AUTOPSY P. AKROYD</v>
      </c>
      <c r="G318" s="3">
        <v>2100</v>
      </c>
      <c r="H318" t="str">
        <f>"AUTOPSY P. AKROYD"</f>
        <v>AUTOPSY P. AKROYD</v>
      </c>
    </row>
    <row r="319" spans="1:8" x14ac:dyDescent="0.25">
      <c r="A319" t="s">
        <v>79</v>
      </c>
      <c r="B319">
        <v>134562</v>
      </c>
      <c r="C319" s="3">
        <v>356.25</v>
      </c>
      <c r="D319" s="6">
        <v>44235</v>
      </c>
      <c r="E319" t="str">
        <f>"202102021530"</f>
        <v>202102021530</v>
      </c>
      <c r="F319" t="str">
        <f>"19-19649"</f>
        <v>19-19649</v>
      </c>
      <c r="G319" s="3">
        <v>187.5</v>
      </c>
      <c r="H319" t="str">
        <f>"19-19649"</f>
        <v>19-19649</v>
      </c>
    </row>
    <row r="320" spans="1:8" x14ac:dyDescent="0.25">
      <c r="E320" t="str">
        <f>"202102021531"</f>
        <v>202102021531</v>
      </c>
      <c r="F320" t="str">
        <f>"20-20351"</f>
        <v>20-20351</v>
      </c>
      <c r="G320" s="3">
        <v>93.75</v>
      </c>
      <c r="H320" t="str">
        <f>"20-20351"</f>
        <v>20-20351</v>
      </c>
    </row>
    <row r="321" spans="1:8" x14ac:dyDescent="0.25">
      <c r="E321" t="str">
        <f>"202102021532"</f>
        <v>202102021532</v>
      </c>
      <c r="F321" t="str">
        <f>"20-20373"</f>
        <v>20-20373</v>
      </c>
      <c r="G321" s="3">
        <v>75</v>
      </c>
      <c r="H321" t="str">
        <f>"20-20373"</f>
        <v>20-20373</v>
      </c>
    </row>
    <row r="322" spans="1:8" x14ac:dyDescent="0.25">
      <c r="A322" t="s">
        <v>79</v>
      </c>
      <c r="B322">
        <v>134681</v>
      </c>
      <c r="C322" s="3">
        <v>250</v>
      </c>
      <c r="D322" s="6">
        <v>44253</v>
      </c>
      <c r="E322" t="str">
        <f>"202102091667"</f>
        <v>202102091667</v>
      </c>
      <c r="F322" t="str">
        <f>"57-161"</f>
        <v>57-161</v>
      </c>
      <c r="G322" s="3">
        <v>250</v>
      </c>
      <c r="H322" t="str">
        <f>"57-161"</f>
        <v>57-161</v>
      </c>
    </row>
    <row r="323" spans="1:8" x14ac:dyDescent="0.25">
      <c r="A323" t="s">
        <v>80</v>
      </c>
      <c r="B323">
        <v>3945</v>
      </c>
      <c r="C323" s="3">
        <v>2945</v>
      </c>
      <c r="D323" s="6">
        <v>44236</v>
      </c>
      <c r="E323" t="str">
        <f>"0240754"</f>
        <v>0240754</v>
      </c>
      <c r="F323" t="str">
        <f>"INV 0240754-IN"</f>
        <v>INV 0240754-IN</v>
      </c>
      <c r="G323" s="3">
        <v>2945</v>
      </c>
      <c r="H323" t="str">
        <f>"INV 0240754-IN"</f>
        <v>INV 0240754-IN</v>
      </c>
    </row>
    <row r="324" spans="1:8" x14ac:dyDescent="0.25">
      <c r="A324" t="s">
        <v>80</v>
      </c>
      <c r="B324">
        <v>4024</v>
      </c>
      <c r="C324" s="3">
        <v>299.7</v>
      </c>
      <c r="D324" s="6">
        <v>44254</v>
      </c>
      <c r="E324" t="str">
        <f>"0241858"</f>
        <v>0241858</v>
      </c>
      <c r="F324" t="str">
        <f>"INV 0241858-IN"</f>
        <v>INV 0241858-IN</v>
      </c>
      <c r="G324" s="3">
        <v>299.7</v>
      </c>
      <c r="H324" t="str">
        <f>"INV 0241858-IN"</f>
        <v>INV 0241858-IN</v>
      </c>
    </row>
    <row r="325" spans="1:8" x14ac:dyDescent="0.25">
      <c r="A325" t="s">
        <v>81</v>
      </c>
      <c r="B325">
        <v>134682</v>
      </c>
      <c r="C325" s="3">
        <v>427</v>
      </c>
      <c r="D325" s="6">
        <v>44253</v>
      </c>
      <c r="E325" t="str">
        <f>"202102091683"</f>
        <v>202102091683</v>
      </c>
      <c r="F325" t="str">
        <f>"MI42939"</f>
        <v>MI42939</v>
      </c>
      <c r="G325" s="3">
        <v>427</v>
      </c>
      <c r="H325" t="str">
        <f>"MI42939"</f>
        <v>MI42939</v>
      </c>
    </row>
    <row r="326" spans="1:8" x14ac:dyDescent="0.25">
      <c r="A326" t="s">
        <v>82</v>
      </c>
      <c r="B326">
        <v>3952</v>
      </c>
      <c r="C326" s="3">
        <v>2500</v>
      </c>
      <c r="D326" s="6">
        <v>44236</v>
      </c>
      <c r="E326" t="str">
        <f>"202101271382"</f>
        <v>202101271382</v>
      </c>
      <c r="F326" t="str">
        <f>"20-20252"</f>
        <v>20-20252</v>
      </c>
      <c r="G326" s="3">
        <v>1700</v>
      </c>
      <c r="H326" t="str">
        <f>"20-20252"</f>
        <v>20-20252</v>
      </c>
    </row>
    <row r="327" spans="1:8" x14ac:dyDescent="0.25">
      <c r="E327" t="str">
        <f>"202101271383"</f>
        <v>202101271383</v>
      </c>
      <c r="F327" t="str">
        <f>"17-278"</f>
        <v>17-278</v>
      </c>
      <c r="G327" s="3">
        <v>400</v>
      </c>
      <c r="H327" t="str">
        <f>"17-278"</f>
        <v>17-278</v>
      </c>
    </row>
    <row r="328" spans="1:8" x14ac:dyDescent="0.25">
      <c r="E328" t="str">
        <f>"202101271384"</f>
        <v>202101271384</v>
      </c>
      <c r="F328" t="str">
        <f>"17234"</f>
        <v>17234</v>
      </c>
      <c r="G328" s="3">
        <v>400</v>
      </c>
      <c r="H328" t="str">
        <f>"17234"</f>
        <v>17234</v>
      </c>
    </row>
    <row r="329" spans="1:8" x14ac:dyDescent="0.25">
      <c r="A329" t="s">
        <v>82</v>
      </c>
      <c r="B329">
        <v>4038</v>
      </c>
      <c r="C329" s="3">
        <v>100</v>
      </c>
      <c r="D329" s="6">
        <v>44254</v>
      </c>
      <c r="E329" t="str">
        <f>"202102091687"</f>
        <v>202102091687</v>
      </c>
      <c r="F329" t="str">
        <f>"1729-335"</f>
        <v>1729-335</v>
      </c>
      <c r="G329" s="3">
        <v>100</v>
      </c>
      <c r="H329" t="str">
        <f>"1729-335"</f>
        <v>1729-335</v>
      </c>
    </row>
    <row r="330" spans="1:8" x14ac:dyDescent="0.25">
      <c r="A330" t="s">
        <v>83</v>
      </c>
      <c r="B330">
        <v>134563</v>
      </c>
      <c r="C330" s="3">
        <v>304.57</v>
      </c>
      <c r="D330" s="6">
        <v>44235</v>
      </c>
      <c r="E330" t="str">
        <f>"5049430348"</f>
        <v>5049430348</v>
      </c>
      <c r="F330" t="str">
        <f>"PAYER#11167181/PCT#1"</f>
        <v>PAYER#11167181/PCT#1</v>
      </c>
      <c r="G330" s="3">
        <v>154.57</v>
      </c>
      <c r="H330" t="str">
        <f>"PAYER#11167181/PCT#1"</f>
        <v>PAYER#11167181/PCT#1</v>
      </c>
    </row>
    <row r="331" spans="1:8" x14ac:dyDescent="0.25">
      <c r="E331" t="str">
        <f>"9119062623"</f>
        <v>9119062623</v>
      </c>
      <c r="F331" t="str">
        <f>"INV 9119062623"</f>
        <v>INV 9119062623</v>
      </c>
      <c r="G331" s="3">
        <v>100</v>
      </c>
      <c r="H331" t="str">
        <f>"INV 9119062623"</f>
        <v>INV 9119062623</v>
      </c>
    </row>
    <row r="332" spans="1:8" x14ac:dyDescent="0.25">
      <c r="E332" t="str">
        <f>"9119062625"</f>
        <v>9119062625</v>
      </c>
      <c r="F332" t="str">
        <f>"INV 9119062625"</f>
        <v>INV 9119062625</v>
      </c>
      <c r="G332" s="3">
        <v>50</v>
      </c>
      <c r="H332" t="str">
        <f>"INV 9119062625"</f>
        <v>INV 9119062625</v>
      </c>
    </row>
    <row r="333" spans="1:8" x14ac:dyDescent="0.25">
      <c r="A333" t="s">
        <v>83</v>
      </c>
      <c r="B333">
        <v>134683</v>
      </c>
      <c r="C333" s="3">
        <v>48.69</v>
      </c>
      <c r="D333" s="6">
        <v>44253</v>
      </c>
      <c r="E333" t="str">
        <f>"5052737997"</f>
        <v>5052737997</v>
      </c>
      <c r="F333" t="str">
        <f>"CUST#11167190/PCT#1"</f>
        <v>CUST#11167190/PCT#1</v>
      </c>
      <c r="G333" s="3">
        <v>48.69</v>
      </c>
      <c r="H333" t="str">
        <f>"CUST#11167190/PCT#1"</f>
        <v>CUST#11167190/PCT#1</v>
      </c>
    </row>
    <row r="334" spans="1:8" x14ac:dyDescent="0.25">
      <c r="A334" t="s">
        <v>84</v>
      </c>
      <c r="B334">
        <v>134564</v>
      </c>
      <c r="C334" s="3">
        <v>260.92</v>
      </c>
      <c r="D334" s="6">
        <v>44235</v>
      </c>
      <c r="E334" t="str">
        <f>"202102031599"</f>
        <v>202102031599</v>
      </c>
      <c r="F334" t="str">
        <f>"PAYER#14108463/ANIMAL SHELTER"</f>
        <v>PAYER#14108463/ANIMAL SHELTER</v>
      </c>
      <c r="G334" s="3">
        <v>260.92</v>
      </c>
      <c r="H334" t="str">
        <f>"PAYER#14108463/ANIMAL SHELTER"</f>
        <v>PAYER#14108463/ANIMAL SHELTER</v>
      </c>
    </row>
    <row r="335" spans="1:8" x14ac:dyDescent="0.25">
      <c r="A335" t="s">
        <v>84</v>
      </c>
      <c r="B335">
        <v>134565</v>
      </c>
      <c r="C335" s="3">
        <v>30.59</v>
      </c>
      <c r="D335" s="6">
        <v>44235</v>
      </c>
      <c r="E335" t="str">
        <f>"8404981583"</f>
        <v>8404981583</v>
      </c>
      <c r="F335" t="str">
        <f>"CUST#10377368/PCT#2"</f>
        <v>CUST#10377368/PCT#2</v>
      </c>
      <c r="G335" s="3">
        <v>30.59</v>
      </c>
      <c r="H335" t="str">
        <f>"CUST#10377368/PCT#2"</f>
        <v>CUST#10377368/PCT#2</v>
      </c>
    </row>
    <row r="336" spans="1:8" x14ac:dyDescent="0.25">
      <c r="A336" t="s">
        <v>84</v>
      </c>
      <c r="B336">
        <v>134684</v>
      </c>
      <c r="C336" s="3">
        <v>6097.81</v>
      </c>
      <c r="D336" s="6">
        <v>44253</v>
      </c>
      <c r="E336" t="str">
        <f>"202102091633"</f>
        <v>202102091633</v>
      </c>
      <c r="F336" t="str">
        <f>"PAYER#14108375/GENERAL SVCS"</f>
        <v>PAYER#14108375/GENERAL SVCS</v>
      </c>
      <c r="G336" s="3">
        <v>1808.13</v>
      </c>
      <c r="H336" t="str">
        <f>"PAYER#14108375/GENERAL SVCS"</f>
        <v>PAYER#14108375/GENERAL SVCS</v>
      </c>
    </row>
    <row r="337" spans="1:8" x14ac:dyDescent="0.25">
      <c r="E337" t="str">
        <f>"202102091635"</f>
        <v>202102091635</v>
      </c>
      <c r="F337" t="str">
        <f>"PAYER#14108431"</f>
        <v>PAYER#14108431</v>
      </c>
      <c r="G337" s="3">
        <v>62.21</v>
      </c>
      <c r="H337" t="str">
        <f>"PAYER#14108431"</f>
        <v>PAYER#14108431</v>
      </c>
    </row>
    <row r="338" spans="1:8" x14ac:dyDescent="0.25">
      <c r="E338" t="str">
        <f>"202102101688"</f>
        <v>202102101688</v>
      </c>
      <c r="F338" t="str">
        <f>"PAYER#14108367/PCT#2"</f>
        <v>PAYER#14108367/PCT#2</v>
      </c>
      <c r="G338" s="3">
        <v>2264.0500000000002</v>
      </c>
      <c r="H338" t="str">
        <f>"PAYER#14108367/PCT#2"</f>
        <v>PAYER#14108367/PCT#2</v>
      </c>
    </row>
    <row r="339" spans="1:8" x14ac:dyDescent="0.25">
      <c r="E339" t="str">
        <f>"202102101691"</f>
        <v>202102101691</v>
      </c>
      <c r="F339" t="str">
        <f>"PAYER#14108430/PCT#4"</f>
        <v>PAYER#14108430/PCT#4</v>
      </c>
      <c r="G339" s="3">
        <v>1099.23</v>
      </c>
      <c r="H339" t="str">
        <f>"PAYER#14108430/PCT#4"</f>
        <v>PAYER#14108430/PCT#4</v>
      </c>
    </row>
    <row r="340" spans="1:8" x14ac:dyDescent="0.25">
      <c r="E340" t="str">
        <f>"202102101692"</f>
        <v>202102101692</v>
      </c>
      <c r="F340" t="str">
        <f>"PAYER#14108431/PCT#1"</f>
        <v>PAYER#14108431/PCT#1</v>
      </c>
      <c r="G340" s="3">
        <v>864.19</v>
      </c>
      <c r="H340" t="str">
        <f>"PAYER#14108431/PCT#1"</f>
        <v>PAYER#14108431/PCT#1</v>
      </c>
    </row>
    <row r="341" spans="1:8" x14ac:dyDescent="0.25">
      <c r="A341" t="s">
        <v>84</v>
      </c>
      <c r="B341">
        <v>134685</v>
      </c>
      <c r="C341" s="3">
        <v>291.85000000000002</v>
      </c>
      <c r="D341" s="6">
        <v>44253</v>
      </c>
      <c r="E341" t="str">
        <f>"8404987937"</f>
        <v>8404987937</v>
      </c>
      <c r="F341" t="str">
        <f>"PAYER#10377368/PCT#3"</f>
        <v>PAYER#10377368/PCT#3</v>
      </c>
      <c r="G341" s="3">
        <v>291.85000000000002</v>
      </c>
      <c r="H341" t="str">
        <f>"PAYER#10377368/PCT#3"</f>
        <v>PAYER#10377368/PCT#3</v>
      </c>
    </row>
    <row r="342" spans="1:8" x14ac:dyDescent="0.25">
      <c r="A342" t="s">
        <v>85</v>
      </c>
      <c r="B342">
        <v>940</v>
      </c>
      <c r="C342" s="3">
        <v>4737.45</v>
      </c>
      <c r="D342" s="6">
        <v>44253</v>
      </c>
      <c r="E342" t="str">
        <f>"202102251830"</f>
        <v>202102251830</v>
      </c>
      <c r="F342" t="str">
        <f>"ACCT#72-5613 / 02032021"</f>
        <v>ACCT#72-5613 / 02032021</v>
      </c>
      <c r="G342" s="3">
        <v>-299.08</v>
      </c>
      <c r="H342" t="str">
        <f>"ACCT#72-5613 / 02032021"</f>
        <v>ACCT#72-5613 / 02032021</v>
      </c>
    </row>
    <row r="343" spans="1:8" x14ac:dyDescent="0.25">
      <c r="E343" t="str">
        <f>"202102251832"</f>
        <v>202102251832</v>
      </c>
      <c r="F343" t="str">
        <f>"ACCT#72-5613 / 02032021"</f>
        <v>ACCT#72-5613 / 02032021</v>
      </c>
      <c r="G343" s="3">
        <v>5036.53</v>
      </c>
      <c r="H343" t="str">
        <f>"ACCT#72-5613 / 02032021"</f>
        <v>ACCT#72-5613 / 02032021</v>
      </c>
    </row>
    <row r="344" spans="1:8" x14ac:dyDescent="0.25">
      <c r="A344" t="s">
        <v>86</v>
      </c>
      <c r="B344">
        <v>134656</v>
      </c>
      <c r="C344" s="3">
        <v>41011.919999999998</v>
      </c>
      <c r="D344" s="6">
        <v>44238</v>
      </c>
      <c r="E344" t="str">
        <f>"202102111701"</f>
        <v>202102111701</v>
      </c>
      <c r="F344" t="str">
        <f>"ACCT#02-2083-04 / 01292021"</f>
        <v>ACCT#02-2083-04 / 01292021</v>
      </c>
      <c r="G344" s="3">
        <v>5756.47</v>
      </c>
      <c r="H344" t="str">
        <f>"ACCT#02-2083-04 / 01292021"</f>
        <v>ACCT#02-2083-04 / 01292021</v>
      </c>
    </row>
    <row r="345" spans="1:8" x14ac:dyDescent="0.25">
      <c r="E345" t="str">
        <f>"202102111702"</f>
        <v>202102111702</v>
      </c>
      <c r="F345" t="str">
        <f>"COUNTY DEV CTR / 01292021"</f>
        <v>COUNTY DEV CTR / 01292021</v>
      </c>
      <c r="G345" s="3">
        <v>1742.03</v>
      </c>
      <c r="H345" t="str">
        <f>"CITY OF BASTROP"</f>
        <v>CITY OF BASTROP</v>
      </c>
    </row>
    <row r="346" spans="1:8" x14ac:dyDescent="0.25">
      <c r="E346" t="str">
        <f>"202102111703"</f>
        <v>202102111703</v>
      </c>
      <c r="F346" t="str">
        <f>"COUNTY LAW CTR / 01292021"</f>
        <v>COUNTY LAW CTR / 01292021</v>
      </c>
      <c r="G346" s="3">
        <v>19702.990000000002</v>
      </c>
      <c r="H346" t="str">
        <f>"COUNTY LAW CTR / 01292021"</f>
        <v>COUNTY LAW CTR / 01292021</v>
      </c>
    </row>
    <row r="347" spans="1:8" x14ac:dyDescent="0.25">
      <c r="E347" t="str">
        <f>"202102111704"</f>
        <v>202102111704</v>
      </c>
      <c r="F347" t="str">
        <f>"BASTROP COURTHOUSE / 01292021"</f>
        <v>BASTROP COURTHOUSE / 01292021</v>
      </c>
      <c r="G347" s="3">
        <v>13810.43</v>
      </c>
      <c r="H347" t="str">
        <f>"BASTROP COURTHOUSE / 01292021"</f>
        <v>BASTROP COURTHOUSE / 01292021</v>
      </c>
    </row>
    <row r="348" spans="1:8" x14ac:dyDescent="0.25">
      <c r="A348" t="s">
        <v>86</v>
      </c>
      <c r="B348">
        <v>134686</v>
      </c>
      <c r="C348" s="3">
        <v>750</v>
      </c>
      <c r="D348" s="6">
        <v>44253</v>
      </c>
      <c r="E348" t="str">
        <f>"202102091636"</f>
        <v>202102091636</v>
      </c>
      <c r="F348" t="str">
        <f>"PARKING LOT RENTAL"</f>
        <v>PARKING LOT RENTAL</v>
      </c>
      <c r="G348" s="3">
        <v>750</v>
      </c>
      <c r="H348" t="str">
        <f>"PARKING LOT RENTAL"</f>
        <v>PARKING LOT RENTAL</v>
      </c>
    </row>
    <row r="349" spans="1:8" x14ac:dyDescent="0.25">
      <c r="A349" t="s">
        <v>87</v>
      </c>
      <c r="B349">
        <v>134530</v>
      </c>
      <c r="C349" s="3">
        <v>3990.56</v>
      </c>
      <c r="D349" s="6">
        <v>44231</v>
      </c>
      <c r="E349" t="str">
        <f>"202102041615"</f>
        <v>202102041615</v>
      </c>
      <c r="F349" t="str">
        <f>"ACCT#007-0000388-000/01302021"</f>
        <v>ACCT#007-0000388-000/01302021</v>
      </c>
      <c r="G349" s="3">
        <v>613.27</v>
      </c>
      <c r="H349" t="str">
        <f>"ACCT#007-0000388-000/01302021"</f>
        <v>ACCT#007-0000388-000/01302021</v>
      </c>
    </row>
    <row r="350" spans="1:8" x14ac:dyDescent="0.25">
      <c r="E350" t="str">
        <f>"202102041616"</f>
        <v>202102041616</v>
      </c>
      <c r="F350" t="str">
        <f>"ACCT#007-0000389-000/01302021"</f>
        <v>ACCT#007-0000389-000/01302021</v>
      </c>
      <c r="G350" s="3">
        <v>22.86</v>
      </c>
      <c r="H350" t="str">
        <f>"CITY OF SMITHVILLE"</f>
        <v>CITY OF SMITHVILLE</v>
      </c>
    </row>
    <row r="351" spans="1:8" x14ac:dyDescent="0.25">
      <c r="E351" t="str">
        <f>"202102041617"</f>
        <v>202102041617</v>
      </c>
      <c r="F351" t="str">
        <f>"ACCT#044-0001240-000/01302021"</f>
        <v>ACCT#044-0001240-000/01302021</v>
      </c>
      <c r="G351" s="3">
        <v>340.99</v>
      </c>
      <c r="H351" t="str">
        <f>"CITY OF SMITHVILLE"</f>
        <v>CITY OF SMITHVILLE</v>
      </c>
    </row>
    <row r="352" spans="1:8" x14ac:dyDescent="0.25">
      <c r="E352" t="str">
        <f>"202102041618"</f>
        <v>202102041618</v>
      </c>
      <c r="F352" t="str">
        <f>"ACCT#044-0001250-000/01302021"</f>
        <v>ACCT#044-0001250-000/01302021</v>
      </c>
      <c r="G352" s="3">
        <v>142.93</v>
      </c>
      <c r="H352" t="str">
        <f>"CITY OF SMITHVILLE"</f>
        <v>CITY OF SMITHVILLE</v>
      </c>
    </row>
    <row r="353" spans="1:8" x14ac:dyDescent="0.25">
      <c r="E353" t="str">
        <f>"202102041619"</f>
        <v>202102041619</v>
      </c>
      <c r="F353" t="str">
        <f>"ACCT#044-0001252-000/01302021"</f>
        <v>ACCT#044-0001252-000/01302021</v>
      </c>
      <c r="G353" s="3">
        <v>2659.94</v>
      </c>
      <c r="H353" t="str">
        <f>"CITY OF SMITHVILLE"</f>
        <v>CITY OF SMITHVILLE</v>
      </c>
    </row>
    <row r="354" spans="1:8" x14ac:dyDescent="0.25">
      <c r="E354" t="str">
        <f>"202102041620"</f>
        <v>202102041620</v>
      </c>
      <c r="F354" t="str">
        <f>"ACCT#044-0001253-000/01302021"</f>
        <v>ACCT#044-0001253-000/01302021</v>
      </c>
      <c r="G354" s="3">
        <v>210.57</v>
      </c>
      <c r="H354" t="str">
        <f>"CITY OF SMITHVILLE"</f>
        <v>CITY OF SMITHVILLE</v>
      </c>
    </row>
    <row r="355" spans="1:8" x14ac:dyDescent="0.25">
      <c r="A355" t="s">
        <v>88</v>
      </c>
      <c r="B355">
        <v>3904</v>
      </c>
      <c r="C355" s="3">
        <v>375</v>
      </c>
      <c r="D355" s="6">
        <v>44236</v>
      </c>
      <c r="E355" t="str">
        <f>"SVC-0111073"</f>
        <v>SVC-0111073</v>
      </c>
      <c r="F355" t="str">
        <f>"INV SVC-0111073"</f>
        <v>INV SVC-0111073</v>
      </c>
      <c r="G355" s="3">
        <v>375</v>
      </c>
      <c r="H355" t="str">
        <f>"INV SVC-0111073"</f>
        <v>INV SVC-0111073</v>
      </c>
    </row>
    <row r="356" spans="1:8" x14ac:dyDescent="0.25">
      <c r="A356" t="s">
        <v>88</v>
      </c>
      <c r="B356">
        <v>3973</v>
      </c>
      <c r="C356" s="3">
        <v>674</v>
      </c>
      <c r="D356" s="6">
        <v>44254</v>
      </c>
      <c r="E356" t="str">
        <f>"0071598"</f>
        <v>0071598</v>
      </c>
      <c r="F356" t="str">
        <f>"GENERATOR MAINTENANCE"</f>
        <v>GENERATOR MAINTENANCE</v>
      </c>
      <c r="G356" s="3">
        <v>100</v>
      </c>
      <c r="H356" t="str">
        <f>"GENERATOR MAINTENANCE"</f>
        <v>GENERATOR MAINTENANCE</v>
      </c>
    </row>
    <row r="357" spans="1:8" x14ac:dyDescent="0.25">
      <c r="E357" t="str">
        <f>"0071599"</f>
        <v>0071599</v>
      </c>
      <c r="F357" t="str">
        <f>"GENERATOR MAINTENANCE"</f>
        <v>GENERATOR MAINTENANCE</v>
      </c>
      <c r="G357" s="3">
        <v>115</v>
      </c>
      <c r="H357" t="str">
        <f>"GENERATOR MAINTENANCE"</f>
        <v>GENERATOR MAINTENANCE</v>
      </c>
    </row>
    <row r="358" spans="1:8" x14ac:dyDescent="0.25">
      <c r="E358" t="str">
        <f>"0071600"</f>
        <v>0071600</v>
      </c>
      <c r="F358" t="str">
        <f>"GENERATOR MAINTENACE"</f>
        <v>GENERATOR MAINTENACE</v>
      </c>
      <c r="G358" s="3">
        <v>459</v>
      </c>
      <c r="H358" t="str">
        <f>"GENERATOR MAINTENACE"</f>
        <v>GENERATOR MAINTENACE</v>
      </c>
    </row>
    <row r="359" spans="1:8" x14ac:dyDescent="0.25">
      <c r="A359" t="s">
        <v>89</v>
      </c>
      <c r="B359">
        <v>3933</v>
      </c>
      <c r="C359" s="3">
        <v>74</v>
      </c>
      <c r="D359" s="6">
        <v>44236</v>
      </c>
      <c r="E359" t="str">
        <f>"1278-202012-0"</f>
        <v>1278-202012-0</v>
      </c>
      <c r="F359" t="str">
        <f>"INV 1278-202012-0"</f>
        <v>INV 1278-202012-0</v>
      </c>
      <c r="G359" s="3">
        <v>74</v>
      </c>
      <c r="H359" t="str">
        <f>"INV 1278-202012-0"</f>
        <v>INV 1278-202012-0</v>
      </c>
    </row>
    <row r="360" spans="1:8" x14ac:dyDescent="0.25">
      <c r="A360" t="s">
        <v>89</v>
      </c>
      <c r="B360">
        <v>4013</v>
      </c>
      <c r="C360" s="3">
        <v>374.11</v>
      </c>
      <c r="D360" s="6">
        <v>44254</v>
      </c>
      <c r="E360" t="str">
        <f>"1278-202101"</f>
        <v>1278-202101</v>
      </c>
      <c r="F360" t="str">
        <f>"INV 1278-202101-0"</f>
        <v>INV 1278-202101-0</v>
      </c>
      <c r="G360" s="3">
        <v>203.85</v>
      </c>
      <c r="H360" t="str">
        <f>"INV 1278-202101-0"</f>
        <v>INV 1278-202101-0</v>
      </c>
    </row>
    <row r="361" spans="1:8" x14ac:dyDescent="0.25">
      <c r="E361" t="str">
        <f>"202102221747"</f>
        <v>202102221747</v>
      </c>
      <c r="F361" t="str">
        <f>"INDIGENT HEALTH"</f>
        <v>INDIGENT HEALTH</v>
      </c>
      <c r="G361" s="3">
        <v>170.26</v>
      </c>
      <c r="H361" t="str">
        <f>"INDIGENT HEALTH"</f>
        <v>INDIGENT HEALTH</v>
      </c>
    </row>
    <row r="362" spans="1:8" x14ac:dyDescent="0.25">
      <c r="E362" t="str">
        <f>""</f>
        <v/>
      </c>
      <c r="F362" t="str">
        <f>""</f>
        <v/>
      </c>
      <c r="H362" t="str">
        <f>"INDIGENT HEALTH"</f>
        <v>INDIGENT HEALTH</v>
      </c>
    </row>
    <row r="363" spans="1:8" x14ac:dyDescent="0.25">
      <c r="A363" t="s">
        <v>90</v>
      </c>
      <c r="B363">
        <v>134566</v>
      </c>
      <c r="C363" s="3">
        <v>75</v>
      </c>
      <c r="D363" s="6">
        <v>44235</v>
      </c>
      <c r="E363" t="str">
        <f>"13570"</f>
        <v>13570</v>
      </c>
      <c r="F363" t="str">
        <f>"SERVICE"</f>
        <v>SERVICE</v>
      </c>
      <c r="G363" s="3">
        <v>75</v>
      </c>
      <c r="H363" t="str">
        <f>"SERVICE"</f>
        <v>SERVICE</v>
      </c>
    </row>
    <row r="364" spans="1:8" x14ac:dyDescent="0.25">
      <c r="A364" t="s">
        <v>91</v>
      </c>
      <c r="B364">
        <v>134687</v>
      </c>
      <c r="C364" s="3">
        <v>95</v>
      </c>
      <c r="D364" s="6">
        <v>44253</v>
      </c>
      <c r="E364" t="str">
        <f>"13241"</f>
        <v>13241</v>
      </c>
      <c r="F364" t="str">
        <f>"SERVICE"</f>
        <v>SERVICE</v>
      </c>
      <c r="G364" s="3">
        <v>95</v>
      </c>
      <c r="H364" t="str">
        <f>"SERVICE"</f>
        <v>SERVICE</v>
      </c>
    </row>
    <row r="365" spans="1:8" x14ac:dyDescent="0.25">
      <c r="A365" t="s">
        <v>92</v>
      </c>
      <c r="B365">
        <v>134567</v>
      </c>
      <c r="C365" s="3">
        <v>134.44999999999999</v>
      </c>
      <c r="D365" s="6">
        <v>44235</v>
      </c>
      <c r="E365" t="str">
        <f>"202102031576"</f>
        <v>202102031576</v>
      </c>
      <c r="F365" t="str">
        <f>"JAIL MEDICAL"</f>
        <v>JAIL MEDICAL</v>
      </c>
      <c r="G365" s="3">
        <v>134.44999999999999</v>
      </c>
      <c r="H365" t="str">
        <f>"JAIL MEDICAL"</f>
        <v>JAIL MEDICAL</v>
      </c>
    </row>
    <row r="366" spans="1:8" x14ac:dyDescent="0.25">
      <c r="A366" t="s">
        <v>93</v>
      </c>
      <c r="B366">
        <v>134568</v>
      </c>
      <c r="C366" s="3">
        <v>10000</v>
      </c>
      <c r="D366" s="6">
        <v>44235</v>
      </c>
      <c r="E366" t="str">
        <f>"202101271370"</f>
        <v>202101271370</v>
      </c>
      <c r="F366" t="str">
        <f>"CCA 2020-2021 FUNDS"</f>
        <v>CCA 2020-2021 FUNDS</v>
      </c>
      <c r="G366" s="3">
        <v>10000</v>
      </c>
      <c r="H366" t="str">
        <f>"CCA 2020-2021 FUNDS"</f>
        <v>CCA 2020-2021 FUNDS</v>
      </c>
    </row>
    <row r="367" spans="1:8" x14ac:dyDescent="0.25">
      <c r="A367" t="s">
        <v>94</v>
      </c>
      <c r="B367">
        <v>134569</v>
      </c>
      <c r="C367" s="3">
        <v>2936.25</v>
      </c>
      <c r="D367" s="6">
        <v>44235</v>
      </c>
      <c r="E367" t="str">
        <f>"22085875"</f>
        <v>22085875</v>
      </c>
      <c r="F367" t="str">
        <f>"ACCT#2052700385107/PCT#4"</f>
        <v>ACCT#2052700385107/PCT#4</v>
      </c>
      <c r="G367" s="3">
        <v>1296</v>
      </c>
      <c r="H367" t="str">
        <f>"ACCT#2052700385107/PCT#4"</f>
        <v>ACCT#2052700385107/PCT#4</v>
      </c>
    </row>
    <row r="368" spans="1:8" x14ac:dyDescent="0.25">
      <c r="E368" t="str">
        <f>"22142278"</f>
        <v>22142278</v>
      </c>
      <c r="F368" t="str">
        <f>"ACCT#2052700385107/PCT#4"</f>
        <v>ACCT#2052700385107/PCT#4</v>
      </c>
      <c r="G368" s="3">
        <v>1640.25</v>
      </c>
      <c r="H368" t="str">
        <f>"ACCT#2052700385107/PCT#4"</f>
        <v>ACCT#2052700385107/PCT#4</v>
      </c>
    </row>
    <row r="369" spans="1:8" x14ac:dyDescent="0.25">
      <c r="A369" t="s">
        <v>95</v>
      </c>
      <c r="B369">
        <v>3912</v>
      </c>
      <c r="C369" s="3">
        <v>216</v>
      </c>
      <c r="D369" s="6">
        <v>44236</v>
      </c>
      <c r="E369" t="str">
        <f>"20806"</f>
        <v>20806</v>
      </c>
      <c r="F369" t="str">
        <f>"LABOR AND MATERIAL SHERIFFS OF"</f>
        <v>LABOR AND MATERIAL SHERIFFS OF</v>
      </c>
      <c r="G369" s="3">
        <v>216</v>
      </c>
      <c r="H369" t="str">
        <f>"LABOR AND MATERIAL SHERIFFS OF"</f>
        <v>LABOR AND MATERIAL SHERIFFS OF</v>
      </c>
    </row>
    <row r="370" spans="1:8" x14ac:dyDescent="0.25">
      <c r="A370" t="s">
        <v>96</v>
      </c>
      <c r="B370">
        <v>134688</v>
      </c>
      <c r="C370" s="3">
        <v>75</v>
      </c>
      <c r="D370" s="6">
        <v>44253</v>
      </c>
      <c r="E370" t="str">
        <f>"12852"</f>
        <v>12852</v>
      </c>
      <c r="F370" t="str">
        <f>"SERVICE"</f>
        <v>SERVICE</v>
      </c>
      <c r="G370" s="3">
        <v>75</v>
      </c>
      <c r="H370" t="str">
        <f>"SERVICE"</f>
        <v>SERVICE</v>
      </c>
    </row>
    <row r="371" spans="1:8" x14ac:dyDescent="0.25">
      <c r="A371" t="s">
        <v>97</v>
      </c>
      <c r="B371">
        <v>3932</v>
      </c>
      <c r="C371" s="3">
        <v>205.83</v>
      </c>
      <c r="D371" s="6">
        <v>44236</v>
      </c>
      <c r="E371" t="str">
        <f>"255212"</f>
        <v>255212</v>
      </c>
      <c r="F371" t="str">
        <f>"CUST#4011/PCT#4"</f>
        <v>CUST#4011/PCT#4</v>
      </c>
      <c r="G371" s="3">
        <v>56.83</v>
      </c>
      <c r="H371" t="str">
        <f>"CUST#4011/PCT#4"</f>
        <v>CUST#4011/PCT#4</v>
      </c>
    </row>
    <row r="372" spans="1:8" x14ac:dyDescent="0.25">
      <c r="E372" t="str">
        <f>"CTCS576022"</f>
        <v>CTCS576022</v>
      </c>
      <c r="F372" t="str">
        <f>"INV CTCS576022"</f>
        <v>INV CTCS576022</v>
      </c>
      <c r="G372" s="3">
        <v>149</v>
      </c>
      <c r="H372" t="str">
        <f>"INV CTCS576022"</f>
        <v>INV CTCS576022</v>
      </c>
    </row>
    <row r="373" spans="1:8" x14ac:dyDescent="0.25">
      <c r="A373" t="s">
        <v>98</v>
      </c>
      <c r="B373">
        <v>134570</v>
      </c>
      <c r="C373" s="3">
        <v>421.88</v>
      </c>
      <c r="D373" s="6">
        <v>44235</v>
      </c>
      <c r="E373" t="str">
        <f>"61772"</f>
        <v>61772</v>
      </c>
      <c r="F373" t="str">
        <f>"ACCT#68930/ANIMAL SERVICES"</f>
        <v>ACCT#68930/ANIMAL SERVICES</v>
      </c>
      <c r="G373" s="3">
        <v>169.89</v>
      </c>
      <c r="H373" t="str">
        <f>"ACCT#68930/ANIMAL SERVICES"</f>
        <v>ACCT#68930/ANIMAL SERVICES</v>
      </c>
    </row>
    <row r="374" spans="1:8" x14ac:dyDescent="0.25">
      <c r="E374" t="str">
        <f>""</f>
        <v/>
      </c>
      <c r="F374" t="str">
        <f>""</f>
        <v/>
      </c>
      <c r="H374" t="str">
        <f>"ACCT#68930/ANIMAL SERVICES"</f>
        <v>ACCT#68930/ANIMAL SERVICES</v>
      </c>
    </row>
    <row r="375" spans="1:8" x14ac:dyDescent="0.25">
      <c r="E375" t="str">
        <f>"87052"</f>
        <v>87052</v>
      </c>
      <c r="F375" t="str">
        <f>"ACCT#68930/ANIMAL SERVICES"</f>
        <v>ACCT#68930/ANIMAL SERVICES</v>
      </c>
      <c r="G375" s="3">
        <v>251.99</v>
      </c>
      <c r="H375" t="str">
        <f>"ACCT#68930/ANIMAL SERVICES"</f>
        <v>ACCT#68930/ANIMAL SERVICES</v>
      </c>
    </row>
    <row r="376" spans="1:8" x14ac:dyDescent="0.25">
      <c r="E376" t="str">
        <f>""</f>
        <v/>
      </c>
      <c r="F376" t="str">
        <f>""</f>
        <v/>
      </c>
      <c r="H376" t="str">
        <f>"ACCT#68930/ANIMAL SERVICES"</f>
        <v>ACCT#68930/ANIMAL SERVICES</v>
      </c>
    </row>
    <row r="377" spans="1:8" x14ac:dyDescent="0.25">
      <c r="A377" t="s">
        <v>98</v>
      </c>
      <c r="B377">
        <v>134689</v>
      </c>
      <c r="C377" s="3">
        <v>1387.69</v>
      </c>
      <c r="D377" s="6">
        <v>44253</v>
      </c>
      <c r="E377" t="str">
        <f>"0204211JL"</f>
        <v>0204211JL</v>
      </c>
      <c r="F377" t="str">
        <f>"CUST#68930-000"</f>
        <v>CUST#68930-000</v>
      </c>
      <c r="G377" s="3">
        <v>344.52</v>
      </c>
      <c r="H377" t="str">
        <f>"CUST#68930-000"</f>
        <v>CUST#68930-000</v>
      </c>
    </row>
    <row r="378" spans="1:8" x14ac:dyDescent="0.25">
      <c r="E378" t="str">
        <f>""</f>
        <v/>
      </c>
      <c r="F378" t="str">
        <f>""</f>
        <v/>
      </c>
      <c r="H378" t="str">
        <f>"CUST#68930-000"</f>
        <v>CUST#68930-000</v>
      </c>
    </row>
    <row r="379" spans="1:8" x14ac:dyDescent="0.25">
      <c r="E379" t="str">
        <f>""</f>
        <v/>
      </c>
      <c r="F379" t="str">
        <f>""</f>
        <v/>
      </c>
      <c r="H379" t="str">
        <f>"CUST#68930-000"</f>
        <v>CUST#68930-000</v>
      </c>
    </row>
    <row r="380" spans="1:8" x14ac:dyDescent="0.25">
      <c r="E380" t="str">
        <f>"UC66341"</f>
        <v>UC66341</v>
      </c>
      <c r="F380" t="str">
        <f>"CUST#68930"</f>
        <v>CUST#68930</v>
      </c>
      <c r="G380" s="3">
        <v>335.45</v>
      </c>
      <c r="H380" t="str">
        <f>"CUST#68930"</f>
        <v>CUST#68930</v>
      </c>
    </row>
    <row r="381" spans="1:8" x14ac:dyDescent="0.25">
      <c r="E381" t="str">
        <f>"UC97345"</f>
        <v>UC97345</v>
      </c>
      <c r="F381" t="str">
        <f>"CUST#68930"</f>
        <v>CUST#68930</v>
      </c>
      <c r="G381" s="3">
        <v>182.72</v>
      </c>
      <c r="H381" t="str">
        <f>"CUST#68930"</f>
        <v>CUST#68930</v>
      </c>
    </row>
    <row r="382" spans="1:8" x14ac:dyDescent="0.25">
      <c r="E382" t="str">
        <f>"UD52482"</f>
        <v>UD52482</v>
      </c>
      <c r="F382" t="str">
        <f>"CUST#68930"</f>
        <v>CUST#68930</v>
      </c>
      <c r="G382" s="3">
        <v>525</v>
      </c>
      <c r="H382" t="str">
        <f>"CUST#68930"</f>
        <v>CUST#68930</v>
      </c>
    </row>
    <row r="383" spans="1:8" x14ac:dyDescent="0.25">
      <c r="A383" t="s">
        <v>99</v>
      </c>
      <c r="B383">
        <v>134690</v>
      </c>
      <c r="C383" s="3">
        <v>817.16</v>
      </c>
      <c r="D383" s="6">
        <v>44253</v>
      </c>
      <c r="E383" t="str">
        <f>"22396"</f>
        <v>22396</v>
      </c>
      <c r="F383" t="str">
        <f>"Cradlepoint Netcloud"</f>
        <v>Cradlepoint Netcloud</v>
      </c>
      <c r="G383" s="3">
        <v>817.16</v>
      </c>
      <c r="H383" t="str">
        <f>"BA1-NCESS-R"</f>
        <v>BA1-NCESS-R</v>
      </c>
    </row>
    <row r="384" spans="1:8" x14ac:dyDescent="0.25">
      <c r="E384" t="str">
        <f>""</f>
        <v/>
      </c>
      <c r="F384" t="str">
        <f>""</f>
        <v/>
      </c>
      <c r="H384" t="str">
        <f>"MA-NCESS-R"</f>
        <v>MA-NCESS-R</v>
      </c>
    </row>
    <row r="385" spans="1:8" x14ac:dyDescent="0.25">
      <c r="A385" t="s">
        <v>100</v>
      </c>
      <c r="B385">
        <v>134571</v>
      </c>
      <c r="C385" s="3">
        <v>1000</v>
      </c>
      <c r="D385" s="6">
        <v>44235</v>
      </c>
      <c r="E385" t="str">
        <f>"202102031588"</f>
        <v>202102031588</v>
      </c>
      <c r="F385" t="str">
        <f>"INV JANUARY 2021"</f>
        <v>INV JANUARY 2021</v>
      </c>
      <c r="G385" s="3">
        <v>1000</v>
      </c>
      <c r="H385" t="str">
        <f>"INV JANUARY 2021"</f>
        <v>INV JANUARY 2021</v>
      </c>
    </row>
    <row r="386" spans="1:8" x14ac:dyDescent="0.25">
      <c r="A386" t="s">
        <v>101</v>
      </c>
      <c r="B386">
        <v>134572</v>
      </c>
      <c r="C386" s="3">
        <v>900</v>
      </c>
      <c r="D386" s="6">
        <v>44235</v>
      </c>
      <c r="E386" t="str">
        <f>"202102031587"</f>
        <v>202102031587</v>
      </c>
      <c r="F386" t="str">
        <f>"TRAINING INV"</f>
        <v>TRAINING INV</v>
      </c>
      <c r="G386" s="3">
        <v>900</v>
      </c>
      <c r="H386" t="str">
        <f>"TRAINING INV"</f>
        <v>TRAINING INV</v>
      </c>
    </row>
    <row r="387" spans="1:8" x14ac:dyDescent="0.25">
      <c r="A387" t="s">
        <v>102</v>
      </c>
      <c r="B387">
        <v>134691</v>
      </c>
      <c r="C387" s="3">
        <v>4975</v>
      </c>
      <c r="D387" s="6">
        <v>44253</v>
      </c>
      <c r="E387" t="str">
        <f>"1274"</f>
        <v>1274</v>
      </c>
      <c r="F387" t="str">
        <f>"EXCAVATOR/PCT#1"</f>
        <v>EXCAVATOR/PCT#1</v>
      </c>
      <c r="G387" s="3">
        <v>4975</v>
      </c>
      <c r="H387" t="str">
        <f>"EXCAVATOR/PCT#1"</f>
        <v>EXCAVATOR/PCT#1</v>
      </c>
    </row>
    <row r="388" spans="1:8" x14ac:dyDescent="0.25">
      <c r="A388" t="s">
        <v>103</v>
      </c>
      <c r="B388">
        <v>134573</v>
      </c>
      <c r="C388" s="3">
        <v>5932.5</v>
      </c>
      <c r="D388" s="6">
        <v>44235</v>
      </c>
      <c r="E388" t="str">
        <f>"202102041624"</f>
        <v>202102041624</v>
      </c>
      <c r="F388" t="str">
        <f>"Burn Ban Signs"</f>
        <v>Burn Ban Signs</v>
      </c>
      <c r="G388" s="3">
        <v>5932.5</v>
      </c>
      <c r="H388" t="str">
        <f>"JTXS2424R1910TAHA"</f>
        <v>JTXS2424R1910TAHA</v>
      </c>
    </row>
    <row r="389" spans="1:8" x14ac:dyDescent="0.25">
      <c r="E389" t="str">
        <f>""</f>
        <v/>
      </c>
      <c r="F389" t="str">
        <f>""</f>
        <v/>
      </c>
      <c r="H389" t="str">
        <f>"SCPC080HML2424S"</f>
        <v>SCPC080HML2424S</v>
      </c>
    </row>
    <row r="390" spans="1:8" x14ac:dyDescent="0.25">
      <c r="E390" t="str">
        <f>""</f>
        <v/>
      </c>
      <c r="F390" t="str">
        <f>""</f>
        <v/>
      </c>
      <c r="H390" t="str">
        <f>"QFHINGE0035"</f>
        <v>QFHINGE0035</v>
      </c>
    </row>
    <row r="391" spans="1:8" x14ac:dyDescent="0.25">
      <c r="E391" t="str">
        <f>""</f>
        <v/>
      </c>
      <c r="F391" t="str">
        <f>""</f>
        <v/>
      </c>
      <c r="H391" t="str">
        <f>"RPBZ283"</f>
        <v>RPBZ283</v>
      </c>
    </row>
    <row r="392" spans="1:8" x14ac:dyDescent="0.25">
      <c r="A392" t="s">
        <v>104</v>
      </c>
      <c r="B392">
        <v>134574</v>
      </c>
      <c r="C392" s="3">
        <v>80</v>
      </c>
      <c r="D392" s="6">
        <v>44235</v>
      </c>
      <c r="E392" t="str">
        <f>"13570"</f>
        <v>13570</v>
      </c>
      <c r="F392" t="str">
        <f>"SERVICE"</f>
        <v>SERVICE</v>
      </c>
      <c r="G392" s="3">
        <v>80</v>
      </c>
      <c r="H392" t="str">
        <f>"SERVICE"</f>
        <v>SERVICE</v>
      </c>
    </row>
    <row r="393" spans="1:8" x14ac:dyDescent="0.25">
      <c r="A393" t="s">
        <v>105</v>
      </c>
      <c r="B393">
        <v>4010</v>
      </c>
      <c r="C393" s="3">
        <v>100</v>
      </c>
      <c r="D393" s="6">
        <v>44254</v>
      </c>
      <c r="E393" t="str">
        <f>"202102091637"</f>
        <v>202102091637</v>
      </c>
      <c r="F393" t="str">
        <f>"LEGAL CONSULT SERVICES"</f>
        <v>LEGAL CONSULT SERVICES</v>
      </c>
      <c r="G393" s="3">
        <v>100</v>
      </c>
      <c r="H393" t="str">
        <f>"LEGAL CONSULT SERVICES"</f>
        <v>LEGAL CONSULT SERVICES</v>
      </c>
    </row>
    <row r="394" spans="1:8" x14ac:dyDescent="0.25">
      <c r="A394" t="s">
        <v>106</v>
      </c>
      <c r="B394">
        <v>134575</v>
      </c>
      <c r="C394" s="3">
        <v>25</v>
      </c>
      <c r="D394" s="6">
        <v>44235</v>
      </c>
      <c r="E394" t="str">
        <f>"202102021510"</f>
        <v>202102021510</v>
      </c>
      <c r="F394" t="str">
        <f>"REFUND/ DAVID KUYKENDALL"</f>
        <v>REFUND/ DAVID KUYKENDALL</v>
      </c>
      <c r="G394" s="3">
        <v>25</v>
      </c>
      <c r="H394" t="str">
        <f>"REFUND/ DAVID KUYKENDALL"</f>
        <v>REFUND/ DAVID KUYKENDALL</v>
      </c>
    </row>
    <row r="395" spans="1:8" x14ac:dyDescent="0.25">
      <c r="A395" t="s">
        <v>107</v>
      </c>
      <c r="B395">
        <v>3909</v>
      </c>
      <c r="C395" s="3">
        <v>630</v>
      </c>
      <c r="D395" s="6">
        <v>44236</v>
      </c>
      <c r="E395" t="str">
        <f>"202102021533"</f>
        <v>202102021533</v>
      </c>
      <c r="F395" t="str">
        <f>"20-20426"</f>
        <v>20-20426</v>
      </c>
      <c r="G395" s="3">
        <v>97.5</v>
      </c>
      <c r="H395" t="str">
        <f>"20-20426"</f>
        <v>20-20426</v>
      </c>
    </row>
    <row r="396" spans="1:8" x14ac:dyDescent="0.25">
      <c r="E396" t="str">
        <f>"202102021534"</f>
        <v>202102021534</v>
      </c>
      <c r="F396" t="str">
        <f>"20-20394"</f>
        <v>20-20394</v>
      </c>
      <c r="G396" s="3">
        <v>157.5</v>
      </c>
      <c r="H396" t="str">
        <f>"20-20394"</f>
        <v>20-20394</v>
      </c>
    </row>
    <row r="397" spans="1:8" x14ac:dyDescent="0.25">
      <c r="E397" t="str">
        <f>"202102021535"</f>
        <v>202102021535</v>
      </c>
      <c r="F397" t="str">
        <f>"20-20130"</f>
        <v>20-20130</v>
      </c>
      <c r="G397" s="3">
        <v>292.5</v>
      </c>
      <c r="H397" t="str">
        <f>"20-20130"</f>
        <v>20-20130</v>
      </c>
    </row>
    <row r="398" spans="1:8" x14ac:dyDescent="0.25">
      <c r="E398" t="str">
        <f>"202102021536"</f>
        <v>202102021536</v>
      </c>
      <c r="F398" t="str">
        <f>"20-20096"</f>
        <v>20-20096</v>
      </c>
      <c r="G398" s="3">
        <v>82.5</v>
      </c>
      <c r="H398" t="str">
        <f>"20-20096"</f>
        <v>20-20096</v>
      </c>
    </row>
    <row r="399" spans="1:8" x14ac:dyDescent="0.25">
      <c r="A399" t="s">
        <v>107</v>
      </c>
      <c r="B399">
        <v>3979</v>
      </c>
      <c r="C399" s="3">
        <v>1527.5</v>
      </c>
      <c r="D399" s="6">
        <v>44254</v>
      </c>
      <c r="E399" t="str">
        <f>"202102091660"</f>
        <v>202102091660</v>
      </c>
      <c r="F399" t="str">
        <f>"19-19967"</f>
        <v>19-19967</v>
      </c>
      <c r="G399" s="3">
        <v>172.5</v>
      </c>
      <c r="H399" t="str">
        <f>"19-19967"</f>
        <v>19-19967</v>
      </c>
    </row>
    <row r="400" spans="1:8" x14ac:dyDescent="0.25">
      <c r="E400" t="str">
        <f>"202102091661"</f>
        <v>202102091661</v>
      </c>
      <c r="F400" t="str">
        <f>"20-20207"</f>
        <v>20-20207</v>
      </c>
      <c r="G400" s="3">
        <v>97.5</v>
      </c>
      <c r="H400" t="str">
        <f>"20-20207"</f>
        <v>20-20207</v>
      </c>
    </row>
    <row r="401" spans="1:8" x14ac:dyDescent="0.25">
      <c r="E401" t="str">
        <f>"202102091662"</f>
        <v>202102091662</v>
      </c>
      <c r="F401" t="str">
        <f>"20-20056"</f>
        <v>20-20056</v>
      </c>
      <c r="G401" s="3">
        <v>120</v>
      </c>
      <c r="H401" t="str">
        <f>"20-20056"</f>
        <v>20-20056</v>
      </c>
    </row>
    <row r="402" spans="1:8" x14ac:dyDescent="0.25">
      <c r="E402" t="str">
        <f>"202102091663"</f>
        <v>202102091663</v>
      </c>
      <c r="F402" t="str">
        <f>"20-20130"</f>
        <v>20-20130</v>
      </c>
      <c r="G402" s="3">
        <v>595</v>
      </c>
      <c r="H402" t="str">
        <f>"20-20130"</f>
        <v>20-20130</v>
      </c>
    </row>
    <row r="403" spans="1:8" x14ac:dyDescent="0.25">
      <c r="E403" t="str">
        <f>"202102091664"</f>
        <v>202102091664</v>
      </c>
      <c r="F403" t="str">
        <f>"20-20086"</f>
        <v>20-20086</v>
      </c>
      <c r="G403" s="3">
        <v>105</v>
      </c>
      <c r="H403" t="str">
        <f>"20-20086"</f>
        <v>20-20086</v>
      </c>
    </row>
    <row r="404" spans="1:8" x14ac:dyDescent="0.25">
      <c r="E404" t="str">
        <f>"202102091665"</f>
        <v>202102091665</v>
      </c>
      <c r="F404" t="str">
        <f>"21-20562"</f>
        <v>21-20562</v>
      </c>
      <c r="G404" s="3">
        <v>337.5</v>
      </c>
      <c r="H404" t="str">
        <f>"21-20562"</f>
        <v>21-20562</v>
      </c>
    </row>
    <row r="405" spans="1:8" x14ac:dyDescent="0.25">
      <c r="E405" t="str">
        <f>"202102091686"</f>
        <v>202102091686</v>
      </c>
      <c r="F405" t="str">
        <f>"423-4034"</f>
        <v>423-4034</v>
      </c>
      <c r="G405" s="3">
        <v>100</v>
      </c>
      <c r="H405" t="str">
        <f>"423-4034"</f>
        <v>423-4034</v>
      </c>
    </row>
    <row r="406" spans="1:8" x14ac:dyDescent="0.25">
      <c r="A406" t="s">
        <v>108</v>
      </c>
      <c r="B406">
        <v>134576</v>
      </c>
      <c r="C406" s="3">
        <v>1047.83</v>
      </c>
      <c r="D406" s="6">
        <v>44235</v>
      </c>
      <c r="E406" t="str">
        <f>"2127050"</f>
        <v>2127050</v>
      </c>
      <c r="F406" t="str">
        <f>"INV 2127050"</f>
        <v>INV 2127050</v>
      </c>
      <c r="G406" s="3">
        <v>1047.83</v>
      </c>
      <c r="H406" t="str">
        <f>"INV 2127050"</f>
        <v>INV 2127050</v>
      </c>
    </row>
    <row r="407" spans="1:8" x14ac:dyDescent="0.25">
      <c r="E407" t="str">
        <f>""</f>
        <v/>
      </c>
      <c r="F407" t="str">
        <f>""</f>
        <v/>
      </c>
      <c r="H407" t="str">
        <f>"INV 40206779"</f>
        <v>INV 40206779</v>
      </c>
    </row>
    <row r="408" spans="1:8" x14ac:dyDescent="0.25">
      <c r="E408" t="str">
        <f>""</f>
        <v/>
      </c>
      <c r="F408" t="str">
        <f>""</f>
        <v/>
      </c>
      <c r="H408" t="str">
        <f>"INV 2132443"</f>
        <v>INV 2132443</v>
      </c>
    </row>
    <row r="409" spans="1:8" x14ac:dyDescent="0.25">
      <c r="A409" t="s">
        <v>108</v>
      </c>
      <c r="B409">
        <v>134692</v>
      </c>
      <c r="C409" s="3">
        <v>1676.53</v>
      </c>
      <c r="D409" s="6">
        <v>44253</v>
      </c>
      <c r="E409" t="str">
        <f>"2137981"</f>
        <v>2137981</v>
      </c>
      <c r="F409" t="str">
        <f>"INV 2137981"</f>
        <v>INV 2137981</v>
      </c>
      <c r="G409" s="3">
        <v>1676.53</v>
      </c>
      <c r="H409" t="str">
        <f>"INV 2137981"</f>
        <v>INV 2137981</v>
      </c>
    </row>
    <row r="410" spans="1:8" x14ac:dyDescent="0.25">
      <c r="E410" t="str">
        <f>""</f>
        <v/>
      </c>
      <c r="F410" t="str">
        <f>""</f>
        <v/>
      </c>
      <c r="H410" t="str">
        <f>"INV 2143646"</f>
        <v>INV 2143646</v>
      </c>
    </row>
    <row r="411" spans="1:8" x14ac:dyDescent="0.25">
      <c r="E411" t="str">
        <f>""</f>
        <v/>
      </c>
      <c r="F411" t="str">
        <f>""</f>
        <v/>
      </c>
      <c r="H411" t="str">
        <f>"INV 122000353"</f>
        <v>INV 122000353</v>
      </c>
    </row>
    <row r="412" spans="1:8" x14ac:dyDescent="0.25">
      <c r="A412" t="s">
        <v>109</v>
      </c>
      <c r="B412">
        <v>134577</v>
      </c>
      <c r="C412" s="3">
        <v>1668.34</v>
      </c>
      <c r="D412" s="6">
        <v>44235</v>
      </c>
      <c r="E412" t="str">
        <f>"22246"</f>
        <v>22246</v>
      </c>
      <c r="F412" t="str">
        <f>"Dell Laptop"</f>
        <v>Dell Laptop</v>
      </c>
      <c r="G412" s="3">
        <v>1497.59</v>
      </c>
      <c r="H412" t="str">
        <f>"Dell Laptop"</f>
        <v>Dell Laptop</v>
      </c>
    </row>
    <row r="413" spans="1:8" x14ac:dyDescent="0.25">
      <c r="E413" t="str">
        <f>""</f>
        <v/>
      </c>
      <c r="F413" t="str">
        <f>""</f>
        <v/>
      </c>
      <c r="H413" t="str">
        <f>"Premier Discount"</f>
        <v>Premier Discount</v>
      </c>
    </row>
    <row r="414" spans="1:8" x14ac:dyDescent="0.25">
      <c r="E414" t="str">
        <f>"22544"</f>
        <v>22544</v>
      </c>
      <c r="F414" t="str">
        <f>"Dell Order for Dawn Adams"</f>
        <v>Dell Order for Dawn Adams</v>
      </c>
      <c r="G414" s="3">
        <v>170.75</v>
      </c>
      <c r="H414" t="str">
        <f>"Dell External USB"</f>
        <v>Dell External USB</v>
      </c>
    </row>
    <row r="415" spans="1:8" x14ac:dyDescent="0.25">
      <c r="E415" t="str">
        <f>""</f>
        <v/>
      </c>
      <c r="F415" t="str">
        <f>""</f>
        <v/>
      </c>
      <c r="H415" t="str">
        <f>"Dell Docking Station"</f>
        <v>Dell Docking Station</v>
      </c>
    </row>
    <row r="416" spans="1:8" x14ac:dyDescent="0.25">
      <c r="A416" t="s">
        <v>109</v>
      </c>
      <c r="B416">
        <v>134693</v>
      </c>
      <c r="C416" s="3">
        <v>4980.88</v>
      </c>
      <c r="D416" s="6">
        <v>44253</v>
      </c>
      <c r="E416" t="str">
        <f>"21977"</f>
        <v>21977</v>
      </c>
      <c r="F416" t="str">
        <f>"Precision 7820 Tower"</f>
        <v>Precision 7820 Tower</v>
      </c>
      <c r="G416" s="3">
        <v>4980.88</v>
      </c>
      <c r="H416" t="str">
        <f>"Precision 7820 Tower"</f>
        <v>Precision 7820 Tower</v>
      </c>
    </row>
    <row r="417" spans="1:8" x14ac:dyDescent="0.25">
      <c r="A417" t="s">
        <v>110</v>
      </c>
      <c r="B417">
        <v>3934</v>
      </c>
      <c r="C417" s="3">
        <v>2218.73</v>
      </c>
      <c r="D417" s="6">
        <v>44236</v>
      </c>
      <c r="E417" t="str">
        <f>"BATX017089"</f>
        <v>BATX017089</v>
      </c>
      <c r="F417" t="str">
        <f>"INV BATX017145"</f>
        <v>INV BATX017145</v>
      </c>
      <c r="G417" s="3">
        <v>2218.73</v>
      </c>
      <c r="H417" t="str">
        <f>"INV BATX017089"</f>
        <v>INV BATX017089</v>
      </c>
    </row>
    <row r="418" spans="1:8" x14ac:dyDescent="0.25">
      <c r="E418" t="str">
        <f>""</f>
        <v/>
      </c>
      <c r="F418" t="str">
        <f>""</f>
        <v/>
      </c>
      <c r="H418" t="str">
        <f>"INV BATX017145"</f>
        <v>INV BATX017145</v>
      </c>
    </row>
    <row r="419" spans="1:8" x14ac:dyDescent="0.25">
      <c r="A419" t="s">
        <v>110</v>
      </c>
      <c r="B419">
        <v>4014</v>
      </c>
      <c r="C419" s="3">
        <v>1886.25</v>
      </c>
      <c r="D419" s="6">
        <v>44254</v>
      </c>
      <c r="E419" t="str">
        <f>"BATX01791"</f>
        <v>BATX01791</v>
      </c>
      <c r="F419" t="str">
        <f>"INV BATX017191"</f>
        <v>INV BATX017191</v>
      </c>
      <c r="G419" s="3">
        <v>1886.25</v>
      </c>
      <c r="H419" t="str">
        <f>"INV BATX017191"</f>
        <v>INV BATX017191</v>
      </c>
    </row>
    <row r="420" spans="1:8" x14ac:dyDescent="0.25">
      <c r="A420" t="s">
        <v>111</v>
      </c>
      <c r="B420">
        <v>4031</v>
      </c>
      <c r="C420" s="3">
        <v>54.41</v>
      </c>
      <c r="D420" s="6">
        <v>44254</v>
      </c>
      <c r="E420" t="str">
        <f>"202102221760"</f>
        <v>202102221760</v>
      </c>
      <c r="F420" t="str">
        <f>"INDIGENT HEALTH"</f>
        <v>INDIGENT HEALTH</v>
      </c>
      <c r="G420" s="3">
        <v>54.41</v>
      </c>
      <c r="H420" t="str">
        <f>"INDIGENT HEALTH"</f>
        <v>INDIGENT HEALTH</v>
      </c>
    </row>
    <row r="421" spans="1:8" x14ac:dyDescent="0.25">
      <c r="A421" t="s">
        <v>112</v>
      </c>
      <c r="B421">
        <v>134578</v>
      </c>
      <c r="C421" s="3">
        <v>19918.919999999998</v>
      </c>
      <c r="D421" s="6">
        <v>44235</v>
      </c>
      <c r="E421" t="str">
        <f>"21121123N"</f>
        <v>21121123N</v>
      </c>
      <c r="F421" t="str">
        <f>"PAYER#33133133133000"</f>
        <v>PAYER#33133133133000</v>
      </c>
      <c r="G421" s="3">
        <v>19918.919999999998</v>
      </c>
      <c r="H421" t="str">
        <f>"PAYER#33133133133000"</f>
        <v>PAYER#33133133133000</v>
      </c>
    </row>
    <row r="422" spans="1:8" x14ac:dyDescent="0.25">
      <c r="E422" t="str">
        <f>""</f>
        <v/>
      </c>
      <c r="F422" t="str">
        <f>""</f>
        <v/>
      </c>
      <c r="H422" t="str">
        <f>"PAYER#33133133133000"</f>
        <v>PAYER#33133133133000</v>
      </c>
    </row>
    <row r="423" spans="1:8" x14ac:dyDescent="0.25">
      <c r="A423" t="s">
        <v>113</v>
      </c>
      <c r="B423">
        <v>134579</v>
      </c>
      <c r="C423" s="3">
        <v>87.45</v>
      </c>
      <c r="D423" s="6">
        <v>44235</v>
      </c>
      <c r="E423" t="str">
        <f>"25980"</f>
        <v>25980</v>
      </c>
      <c r="F423" t="str">
        <f>"PBR POLAR WHITE/ANIMAL SHELTER"</f>
        <v>PBR POLAR WHITE/ANIMAL SHELTER</v>
      </c>
      <c r="G423" s="3">
        <v>87.45</v>
      </c>
      <c r="H423" t="str">
        <f>"PBR POLAR WHITE/ANIMAL SHELTER"</f>
        <v>PBR POLAR WHITE/ANIMAL SHELTER</v>
      </c>
    </row>
    <row r="424" spans="1:8" x14ac:dyDescent="0.25">
      <c r="A424" t="s">
        <v>114</v>
      </c>
      <c r="B424">
        <v>134694</v>
      </c>
      <c r="C424" s="3">
        <v>475.25</v>
      </c>
      <c r="D424" s="6">
        <v>44253</v>
      </c>
      <c r="E424" t="str">
        <f>"202102091626"</f>
        <v>202102091626</v>
      </c>
      <c r="F424" t="str">
        <f>"ACCT#27917"</f>
        <v>ACCT#27917</v>
      </c>
      <c r="G424" s="3">
        <v>475.25</v>
      </c>
      <c r="H424" t="str">
        <f>"ACCT#27917"</f>
        <v>ACCT#27917</v>
      </c>
    </row>
    <row r="425" spans="1:8" x14ac:dyDescent="0.25">
      <c r="A425" t="s">
        <v>115</v>
      </c>
      <c r="B425">
        <v>134695</v>
      </c>
      <c r="C425" s="3">
        <v>749.4</v>
      </c>
      <c r="D425" s="6">
        <v>44253</v>
      </c>
      <c r="E425" t="str">
        <f>"202102231788"</f>
        <v>202102231788</v>
      </c>
      <c r="F425" t="str">
        <f>"ID#4059000028789 / PCT#3"</f>
        <v>ID#4059000028789 / PCT#3</v>
      </c>
      <c r="G425" s="3">
        <v>187.35</v>
      </c>
      <c r="H425" t="str">
        <f>"ID#4059000028789 / PCT#3"</f>
        <v>ID#4059000028789 / PCT#3</v>
      </c>
    </row>
    <row r="426" spans="1:8" x14ac:dyDescent="0.25">
      <c r="E426" t="str">
        <f>"405900029213"</f>
        <v>405900029213</v>
      </c>
      <c r="F426" t="str">
        <f>"GARBAGE/ CEDAR CREEK PARK"</f>
        <v>GARBAGE/ CEDAR CREEK PARK</v>
      </c>
      <c r="G426" s="3">
        <v>374.7</v>
      </c>
      <c r="H426" t="str">
        <f>"GARBAGE/ CEDAR CREEK PARK"</f>
        <v>GARBAGE/ CEDAR CREEK PARK</v>
      </c>
    </row>
    <row r="427" spans="1:8" x14ac:dyDescent="0.25">
      <c r="E427" t="str">
        <f>"405900029225"</f>
        <v>405900029225</v>
      </c>
      <c r="F427" t="str">
        <f>"GRABAGE/ CEDAR CREEK ANNEX"</f>
        <v>GRABAGE/ CEDAR CREEK ANNEX</v>
      </c>
      <c r="G427" s="3">
        <v>187.35</v>
      </c>
      <c r="H427" t="str">
        <f>"GRABAGE/ CEDAR CREEK ANNEX"</f>
        <v>GRABAGE/ CEDAR CREEK ANNEX</v>
      </c>
    </row>
    <row r="428" spans="1:8" x14ac:dyDescent="0.25">
      <c r="A428" t="s">
        <v>116</v>
      </c>
      <c r="B428">
        <v>3921</v>
      </c>
      <c r="C428" s="3">
        <v>2568.14</v>
      </c>
      <c r="D428" s="6">
        <v>44236</v>
      </c>
      <c r="E428" t="str">
        <f>"29804C"</f>
        <v>29804C</v>
      </c>
      <c r="F428" t="str">
        <f>"INV 29804C"</f>
        <v>INV 29804C</v>
      </c>
      <c r="G428" s="3">
        <v>2568.14</v>
      </c>
      <c r="H428" t="str">
        <f>"INV 29804C"</f>
        <v>INV 29804C</v>
      </c>
    </row>
    <row r="429" spans="1:8" x14ac:dyDescent="0.25">
      <c r="A429" t="s">
        <v>116</v>
      </c>
      <c r="B429">
        <v>3997</v>
      </c>
      <c r="C429" s="3">
        <v>3077.09</v>
      </c>
      <c r="D429" s="6">
        <v>44254</v>
      </c>
      <c r="E429" t="str">
        <f>"29823B"</f>
        <v>29823B</v>
      </c>
      <c r="F429" t="str">
        <f>"INV 29823B"</f>
        <v>INV 29823B</v>
      </c>
      <c r="G429" s="3">
        <v>3077.09</v>
      </c>
      <c r="H429" t="str">
        <f>"INV 29823B"</f>
        <v>INV 29823B</v>
      </c>
    </row>
    <row r="430" spans="1:8" x14ac:dyDescent="0.25">
      <c r="A430" t="s">
        <v>117</v>
      </c>
      <c r="B430">
        <v>3953</v>
      </c>
      <c r="C430" s="3">
        <v>1400</v>
      </c>
      <c r="D430" s="6">
        <v>44236</v>
      </c>
      <c r="E430" t="str">
        <f>"202101281413"</f>
        <v>202101281413</v>
      </c>
      <c r="F430" t="str">
        <f>"16845-CT.1"</f>
        <v>16845-CT.1</v>
      </c>
      <c r="G430" s="3">
        <v>900</v>
      </c>
      <c r="H430" t="str">
        <f>"16845-CT.1"</f>
        <v>16845-CT.1</v>
      </c>
    </row>
    <row r="431" spans="1:8" x14ac:dyDescent="0.25">
      <c r="E431" t="str">
        <f>"202102021537"</f>
        <v>202102021537</v>
      </c>
      <c r="F431" t="str">
        <f>"57722"</f>
        <v>57722</v>
      </c>
      <c r="G431" s="3">
        <v>250</v>
      </c>
      <c r="H431" t="str">
        <f>"57722"</f>
        <v>57722</v>
      </c>
    </row>
    <row r="432" spans="1:8" x14ac:dyDescent="0.25">
      <c r="E432" t="str">
        <f>"202102021538"</f>
        <v>202102021538</v>
      </c>
      <c r="F432" t="str">
        <f>"57722"</f>
        <v>57722</v>
      </c>
      <c r="G432" s="3">
        <v>250</v>
      </c>
      <c r="H432" t="str">
        <f>"57722"</f>
        <v>57722</v>
      </c>
    </row>
    <row r="433" spans="1:8" x14ac:dyDescent="0.25">
      <c r="A433" t="s">
        <v>117</v>
      </c>
      <c r="B433">
        <v>4040</v>
      </c>
      <c r="C433" s="3">
        <v>2050</v>
      </c>
      <c r="D433" s="6">
        <v>44254</v>
      </c>
      <c r="E433" t="str">
        <f>"202102091676"</f>
        <v>202102091676</v>
      </c>
      <c r="F433" t="str">
        <f>"JP110152020P"</f>
        <v>JP110152020P</v>
      </c>
      <c r="G433" s="3">
        <v>250</v>
      </c>
      <c r="H433" t="str">
        <f>"JP110152020P"</f>
        <v>JP110152020P</v>
      </c>
    </row>
    <row r="434" spans="1:8" x14ac:dyDescent="0.25">
      <c r="E434" t="str">
        <f>"202102091677"</f>
        <v>202102091677</v>
      </c>
      <c r="F434" t="str">
        <f>"1726-335"</f>
        <v>1726-335</v>
      </c>
      <c r="G434" s="3">
        <v>100</v>
      </c>
      <c r="H434" t="str">
        <f>"1726-335"</f>
        <v>1726-335</v>
      </c>
    </row>
    <row r="435" spans="1:8" x14ac:dyDescent="0.25">
      <c r="E435" t="str">
        <f>"202102091678"</f>
        <v>202102091678</v>
      </c>
      <c r="F435" t="str">
        <f>"423-7670"</f>
        <v>423-7670</v>
      </c>
      <c r="G435" s="3">
        <v>100</v>
      </c>
      <c r="H435" t="str">
        <f>"423-7670"</f>
        <v>423-7670</v>
      </c>
    </row>
    <row r="436" spans="1:8" x14ac:dyDescent="0.25">
      <c r="E436" t="str">
        <f>"202102091679"</f>
        <v>202102091679</v>
      </c>
      <c r="F436" t="str">
        <f>"17281"</f>
        <v>17281</v>
      </c>
      <c r="G436" s="3">
        <v>1000</v>
      </c>
      <c r="H436" t="str">
        <f>"17281"</f>
        <v>17281</v>
      </c>
    </row>
    <row r="437" spans="1:8" x14ac:dyDescent="0.25">
      <c r="E437" t="str">
        <f>"202102231773"</f>
        <v>202102231773</v>
      </c>
      <c r="F437" t="str">
        <f>"21-005/2021-00481/21006"</f>
        <v>21-005/2021-00481/21006</v>
      </c>
      <c r="G437" s="3">
        <v>600</v>
      </c>
      <c r="H437" t="str">
        <f>"21-005/2021-00481/21006"</f>
        <v>21-005/2021-00481/21006</v>
      </c>
    </row>
    <row r="438" spans="1:8" x14ac:dyDescent="0.25">
      <c r="A438" t="s">
        <v>118</v>
      </c>
      <c r="B438">
        <v>134580</v>
      </c>
      <c r="C438" s="3">
        <v>2420</v>
      </c>
      <c r="D438" s="6">
        <v>44235</v>
      </c>
      <c r="E438" t="str">
        <f>"025"</f>
        <v>025</v>
      </c>
      <c r="F438" t="str">
        <f>"ROAD BASE/PCT#3"</f>
        <v>ROAD BASE/PCT#3</v>
      </c>
      <c r="G438" s="3">
        <v>2420</v>
      </c>
      <c r="H438" t="str">
        <f>"ROAD BASE/PCT#3"</f>
        <v>ROAD BASE/PCT#3</v>
      </c>
    </row>
    <row r="439" spans="1:8" x14ac:dyDescent="0.25">
      <c r="A439" t="s">
        <v>119</v>
      </c>
      <c r="B439">
        <v>3936</v>
      </c>
      <c r="C439" s="3">
        <v>1871.27</v>
      </c>
      <c r="D439" s="6">
        <v>44236</v>
      </c>
      <c r="E439" t="str">
        <f>"6259470017"</f>
        <v>6259470017</v>
      </c>
      <c r="F439" t="str">
        <f>"INV 6259470017"</f>
        <v>INV 6259470017</v>
      </c>
      <c r="G439" s="3">
        <v>1141.8</v>
      </c>
      <c r="H439" t="str">
        <f>"INV 6259470017"</f>
        <v>INV 6259470017</v>
      </c>
    </row>
    <row r="440" spans="1:8" x14ac:dyDescent="0.25">
      <c r="E440" t="str">
        <f>"6259528646"</f>
        <v>6259528646</v>
      </c>
      <c r="F440" t="str">
        <f>"INV 6259528646"</f>
        <v>INV 6259528646</v>
      </c>
      <c r="G440" s="3">
        <v>729.47</v>
      </c>
      <c r="H440" t="str">
        <f>"INV 6259528646"</f>
        <v>INV 6259528646</v>
      </c>
    </row>
    <row r="441" spans="1:8" x14ac:dyDescent="0.25">
      <c r="A441" t="s">
        <v>120</v>
      </c>
      <c r="B441">
        <v>134581</v>
      </c>
      <c r="C441" s="3">
        <v>353.11</v>
      </c>
      <c r="D441" s="6">
        <v>44235</v>
      </c>
      <c r="E441" t="str">
        <f>"6000243531"</f>
        <v>6000243531</v>
      </c>
      <c r="F441" t="str">
        <f>"ACCT#3422853"</f>
        <v>ACCT#3422853</v>
      </c>
      <c r="G441" s="3">
        <v>353.11</v>
      </c>
      <c r="H441" t="str">
        <f>"ACCT#3422853"</f>
        <v>ACCT#3422853</v>
      </c>
    </row>
    <row r="442" spans="1:8" x14ac:dyDescent="0.25">
      <c r="A442" t="s">
        <v>121</v>
      </c>
      <c r="B442">
        <v>134582</v>
      </c>
      <c r="C442" s="3">
        <v>962.67</v>
      </c>
      <c r="D442" s="6">
        <v>44235</v>
      </c>
      <c r="E442" t="str">
        <f>"1136351"</f>
        <v>1136351</v>
      </c>
      <c r="F442" t="str">
        <f>"ACCT#B06875"</f>
        <v>ACCT#B06875</v>
      </c>
      <c r="G442" s="3">
        <v>962.67</v>
      </c>
      <c r="H442" t="str">
        <f>"ACCT#B06875"</f>
        <v>ACCT#B06875</v>
      </c>
    </row>
    <row r="443" spans="1:8" x14ac:dyDescent="0.25">
      <c r="A443" t="s">
        <v>122</v>
      </c>
      <c r="B443">
        <v>3935</v>
      </c>
      <c r="C443" s="3">
        <v>1135</v>
      </c>
      <c r="D443" s="6">
        <v>44236</v>
      </c>
      <c r="E443" t="str">
        <f>"202102031581"</f>
        <v>202102031581</v>
      </c>
      <c r="F443" t="str">
        <f>"Public Notice"</f>
        <v>Public Notice</v>
      </c>
      <c r="G443" s="3">
        <v>190</v>
      </c>
      <c r="H443" t="str">
        <f>"01/13"</f>
        <v>01/13</v>
      </c>
    </row>
    <row r="444" spans="1:8" x14ac:dyDescent="0.25">
      <c r="E444" t="str">
        <f>""</f>
        <v/>
      </c>
      <c r="F444" t="str">
        <f>""</f>
        <v/>
      </c>
      <c r="H444" t="str">
        <f>"01/20"</f>
        <v>01/20</v>
      </c>
    </row>
    <row r="445" spans="1:8" x14ac:dyDescent="0.25">
      <c r="E445" t="str">
        <f>"202102031582"</f>
        <v>202102031582</v>
      </c>
      <c r="F445" t="str">
        <f>"Public Notice"</f>
        <v>Public Notice</v>
      </c>
      <c r="G445" s="3">
        <v>190</v>
      </c>
      <c r="H445" t="str">
        <f>"01/20"</f>
        <v>01/20</v>
      </c>
    </row>
    <row r="446" spans="1:8" x14ac:dyDescent="0.25">
      <c r="E446" t="str">
        <f>""</f>
        <v/>
      </c>
      <c r="F446" t="str">
        <f>""</f>
        <v/>
      </c>
      <c r="H446" t="str">
        <f>"01/27"</f>
        <v>01/27</v>
      </c>
    </row>
    <row r="447" spans="1:8" x14ac:dyDescent="0.25">
      <c r="E447" t="str">
        <f>"202102031583"</f>
        <v>202102031583</v>
      </c>
      <c r="F447" t="str">
        <f>"Public Notice"</f>
        <v>Public Notice</v>
      </c>
      <c r="G447" s="3">
        <v>205</v>
      </c>
      <c r="H447" t="str">
        <f>"Public Notice"</f>
        <v>Public Notice</v>
      </c>
    </row>
    <row r="448" spans="1:8" x14ac:dyDescent="0.25">
      <c r="E448" t="str">
        <f>"52421-25747"</f>
        <v>52421-25747</v>
      </c>
      <c r="F448" t="str">
        <f>"Public Notice"</f>
        <v>Public Notice</v>
      </c>
      <c r="G448" s="3">
        <v>550</v>
      </c>
      <c r="H448" t="str">
        <f>"English Notice"</f>
        <v>English Notice</v>
      </c>
    </row>
    <row r="449" spans="1:8" x14ac:dyDescent="0.25">
      <c r="E449" t="str">
        <f>""</f>
        <v/>
      </c>
      <c r="F449" t="str">
        <f>""</f>
        <v/>
      </c>
      <c r="H449" t="str">
        <f>"Affidavidt Fee"</f>
        <v>Affidavidt Fee</v>
      </c>
    </row>
    <row r="450" spans="1:8" x14ac:dyDescent="0.25">
      <c r="E450" t="str">
        <f>""</f>
        <v/>
      </c>
      <c r="F450" t="str">
        <f>""</f>
        <v/>
      </c>
      <c r="H450" t="str">
        <f>"Spanish Notice"</f>
        <v>Spanish Notice</v>
      </c>
    </row>
    <row r="451" spans="1:8" x14ac:dyDescent="0.25">
      <c r="E451" t="str">
        <f>""</f>
        <v/>
      </c>
      <c r="F451" t="str">
        <f>""</f>
        <v/>
      </c>
      <c r="H451" t="str">
        <f>"Affidavidt Fee"</f>
        <v>Affidavidt Fee</v>
      </c>
    </row>
    <row r="452" spans="1:8" x14ac:dyDescent="0.25">
      <c r="A452" t="s">
        <v>123</v>
      </c>
      <c r="B452">
        <v>134696</v>
      </c>
      <c r="C452" s="3">
        <v>450</v>
      </c>
      <c r="D452" s="6">
        <v>44253</v>
      </c>
      <c r="E452" t="str">
        <f>"202102091628"</f>
        <v>202102091628</v>
      </c>
      <c r="F452" t="str">
        <f>"TRANSPORT/A. VALEZQUEZ"</f>
        <v>TRANSPORT/A. VALEZQUEZ</v>
      </c>
      <c r="G452" s="3">
        <v>450</v>
      </c>
      <c r="H452" t="str">
        <f>"TRANSPORT/A. VALEZQUEZ"</f>
        <v>TRANSPORT/A. VALEZQUEZ</v>
      </c>
    </row>
    <row r="453" spans="1:8" x14ac:dyDescent="0.25">
      <c r="A453" t="s">
        <v>124</v>
      </c>
      <c r="B453">
        <v>134531</v>
      </c>
      <c r="C453" s="3">
        <v>1001.56</v>
      </c>
      <c r="D453" s="6">
        <v>44231</v>
      </c>
      <c r="E453" t="str">
        <f>"202102041608"</f>
        <v>202102041608</v>
      </c>
      <c r="F453" t="str">
        <f>"ACCT#007-0008410-002/01312021"</f>
        <v>ACCT#007-0008410-002/01312021</v>
      </c>
      <c r="G453" s="3">
        <v>230.79</v>
      </c>
      <c r="H453" t="str">
        <f>"ACCT#007-0008410-002/01312021"</f>
        <v>ACCT#007-0008410-002/01312021</v>
      </c>
    </row>
    <row r="454" spans="1:8" x14ac:dyDescent="0.25">
      <c r="E454" t="str">
        <f>"202102041609"</f>
        <v>202102041609</v>
      </c>
      <c r="F454" t="str">
        <f>"ACCT#007-0011501-000/01312021"</f>
        <v>ACCT#007-0011501-000/01312021</v>
      </c>
      <c r="G454" s="3">
        <v>4.01</v>
      </c>
      <c r="H454" t="str">
        <f>"CITY OF ELGIN UTILITIES"</f>
        <v>CITY OF ELGIN UTILITIES</v>
      </c>
    </row>
    <row r="455" spans="1:8" x14ac:dyDescent="0.25">
      <c r="E455" t="str">
        <f>"202102041610"</f>
        <v>202102041610</v>
      </c>
      <c r="F455" t="str">
        <f>"ACCT#007-0011510-000/01312021"</f>
        <v>ACCT#007-0011510-000/01312021</v>
      </c>
      <c r="G455" s="3">
        <v>245.49</v>
      </c>
      <c r="H455" t="str">
        <f>"CITY OF ELGIN UTILITIES"</f>
        <v>CITY OF ELGIN UTILITIES</v>
      </c>
    </row>
    <row r="456" spans="1:8" x14ac:dyDescent="0.25">
      <c r="E456" t="str">
        <f>"202102041611"</f>
        <v>202102041611</v>
      </c>
      <c r="F456" t="str">
        <f>"ACCT#007-0011530-000/01312021"</f>
        <v>ACCT#007-0011530-000/01312021</v>
      </c>
      <c r="G456" s="3">
        <v>99.65</v>
      </c>
      <c r="H456" t="str">
        <f>"CITY OF ELGIN UTILITIES"</f>
        <v>CITY OF ELGIN UTILITIES</v>
      </c>
    </row>
    <row r="457" spans="1:8" x14ac:dyDescent="0.25">
      <c r="E457" t="str">
        <f>"202102041612"</f>
        <v>202102041612</v>
      </c>
      <c r="F457" t="str">
        <f>"ACCT#007-0011534-001/01312021"</f>
        <v>ACCT#007-0011534-001/01312021</v>
      </c>
      <c r="G457" s="3">
        <v>171.84</v>
      </c>
      <c r="H457" t="str">
        <f>"CITY OF ELGIN UTILITIES"</f>
        <v>CITY OF ELGIN UTILITIES</v>
      </c>
    </row>
    <row r="458" spans="1:8" x14ac:dyDescent="0.25">
      <c r="E458" t="str">
        <f>"202102041613"</f>
        <v>202102041613</v>
      </c>
      <c r="F458" t="str">
        <f>"ACCT#007-0011535-000/01312021"</f>
        <v>ACCT#007-0011535-000/01312021</v>
      </c>
      <c r="G458" s="3">
        <v>114.99</v>
      </c>
      <c r="H458" t="str">
        <f>"CITY OF ELGIN UTILITIES"</f>
        <v>CITY OF ELGIN UTILITIES</v>
      </c>
    </row>
    <row r="459" spans="1:8" x14ac:dyDescent="0.25">
      <c r="E459" t="str">
        <f>"202102041614"</f>
        <v>202102041614</v>
      </c>
      <c r="F459" t="str">
        <f>"ACCT#007-0011544-001/01312021"</f>
        <v>ACCT#007-0011544-001/01312021</v>
      </c>
      <c r="G459" s="3">
        <v>134.79</v>
      </c>
      <c r="H459" t="str">
        <f>"ACCT#007-0011544-001/01312021"</f>
        <v>ACCT#007-0011544-001/01312021</v>
      </c>
    </row>
    <row r="460" spans="1:8" x14ac:dyDescent="0.25">
      <c r="A460" t="s">
        <v>125</v>
      </c>
      <c r="B460">
        <v>134697</v>
      </c>
      <c r="C460" s="3">
        <v>90</v>
      </c>
      <c r="D460" s="6">
        <v>44253</v>
      </c>
      <c r="E460" t="str">
        <f>"202102231765"</f>
        <v>202102231765</v>
      </c>
      <c r="F460" t="str">
        <f>"PER DIEM FOR TRAINING"</f>
        <v>PER DIEM FOR TRAINING</v>
      </c>
      <c r="G460" s="3">
        <v>90</v>
      </c>
      <c r="H460" t="str">
        <f>"PER DIEM FOR TRAINING"</f>
        <v>PER DIEM FOR TRAINING</v>
      </c>
    </row>
    <row r="461" spans="1:8" x14ac:dyDescent="0.25">
      <c r="A461" t="s">
        <v>126</v>
      </c>
      <c r="B461">
        <v>134583</v>
      </c>
      <c r="C461" s="3">
        <v>196.61</v>
      </c>
      <c r="D461" s="6">
        <v>44235</v>
      </c>
      <c r="E461" t="str">
        <f>"145-46266-01"</f>
        <v>145-46266-01</v>
      </c>
      <c r="F461" t="str">
        <f>"CUST#0888336"</f>
        <v>CUST#0888336</v>
      </c>
      <c r="G461" s="3">
        <v>196.61</v>
      </c>
      <c r="H461" t="str">
        <f>"CUST#0888336"</f>
        <v>CUST#0888336</v>
      </c>
    </row>
    <row r="462" spans="1:8" x14ac:dyDescent="0.25">
      <c r="A462" t="s">
        <v>127</v>
      </c>
      <c r="B462">
        <v>134584</v>
      </c>
      <c r="C462" s="3">
        <v>197.48</v>
      </c>
      <c r="D462" s="6">
        <v>44235</v>
      </c>
      <c r="E462" t="str">
        <f>"22288"</f>
        <v>22288</v>
      </c>
      <c r="F462" t="str">
        <f>"Online Service Credit"</f>
        <v>Online Service Credit</v>
      </c>
      <c r="G462" s="3">
        <v>197.48</v>
      </c>
      <c r="H462" t="str">
        <f>"Online Service Credit"</f>
        <v>Online Service Credit</v>
      </c>
    </row>
    <row r="463" spans="1:8" x14ac:dyDescent="0.25">
      <c r="A463" t="s">
        <v>127</v>
      </c>
      <c r="B463">
        <v>134698</v>
      </c>
      <c r="C463" s="3">
        <v>39461.800000000003</v>
      </c>
      <c r="D463" s="6">
        <v>44253</v>
      </c>
      <c r="E463" t="str">
        <f>"22393"</f>
        <v>22393</v>
      </c>
      <c r="F463" t="str">
        <f>"Esri Renewal"</f>
        <v>Esri Renewal</v>
      </c>
      <c r="G463" s="3">
        <v>39461.800000000003</v>
      </c>
      <c r="H463" t="str">
        <f>"Esri Renewal"</f>
        <v>Esri Renewal</v>
      </c>
    </row>
    <row r="464" spans="1:8" x14ac:dyDescent="0.25">
      <c r="E464" t="str">
        <f>""</f>
        <v/>
      </c>
      <c r="F464" t="str">
        <f>""</f>
        <v/>
      </c>
      <c r="H464" t="str">
        <f>"Esri Renewal"</f>
        <v>Esri Renewal</v>
      </c>
    </row>
    <row r="465" spans="1:8" x14ac:dyDescent="0.25">
      <c r="A465" t="s">
        <v>128</v>
      </c>
      <c r="B465">
        <v>4029</v>
      </c>
      <c r="C465" s="3">
        <v>154.99</v>
      </c>
      <c r="D465" s="6">
        <v>44254</v>
      </c>
      <c r="E465" t="str">
        <f>"3431301"</f>
        <v>3431301</v>
      </c>
      <c r="F465" t="str">
        <f>"CUST#00405/PCT#1"</f>
        <v>CUST#00405/PCT#1</v>
      </c>
      <c r="G465" s="3">
        <v>154.99</v>
      </c>
      <c r="H465" t="str">
        <f>"CUST#00405/PCT#1"</f>
        <v>CUST#00405/PCT#1</v>
      </c>
    </row>
    <row r="466" spans="1:8" x14ac:dyDescent="0.25">
      <c r="A466" t="s">
        <v>129</v>
      </c>
      <c r="B466">
        <v>134699</v>
      </c>
      <c r="C466" s="3">
        <v>100</v>
      </c>
      <c r="D466" s="6">
        <v>44253</v>
      </c>
      <c r="E466" t="str">
        <f>"13241"</f>
        <v>13241</v>
      </c>
      <c r="F466" t="str">
        <f>"SERVICE"</f>
        <v>SERVICE</v>
      </c>
      <c r="G466" s="3">
        <v>100</v>
      </c>
      <c r="H466" t="str">
        <f>"SERVICE"</f>
        <v>SERVICE</v>
      </c>
    </row>
    <row r="467" spans="1:8" x14ac:dyDescent="0.25">
      <c r="A467" t="s">
        <v>130</v>
      </c>
      <c r="B467">
        <v>134700</v>
      </c>
      <c r="C467" s="3">
        <v>25.7</v>
      </c>
      <c r="D467" s="6">
        <v>44253</v>
      </c>
      <c r="E467" t="str">
        <f>"7-281-30196"</f>
        <v>7-281-30196</v>
      </c>
      <c r="F467" t="str">
        <f>"INV 7-281-30169"</f>
        <v>INV 7-281-30169</v>
      </c>
      <c r="G467" s="3">
        <v>25.7</v>
      </c>
      <c r="H467" t="str">
        <f>"INV 7-281-30169"</f>
        <v>INV 7-281-30169</v>
      </c>
    </row>
    <row r="468" spans="1:8" x14ac:dyDescent="0.25">
      <c r="A468" t="s">
        <v>131</v>
      </c>
      <c r="B468">
        <v>134585</v>
      </c>
      <c r="C468" s="3">
        <v>558.12</v>
      </c>
      <c r="D468" s="6">
        <v>44235</v>
      </c>
      <c r="E468" t="str">
        <f>"8907503"</f>
        <v>8907503</v>
      </c>
      <c r="F468" t="str">
        <f>"INV 8907503"</f>
        <v>INV 8907503</v>
      </c>
      <c r="G468" s="3">
        <v>558.12</v>
      </c>
      <c r="H468" t="str">
        <f>"INV 8907503"</f>
        <v>INV 8907503</v>
      </c>
    </row>
    <row r="469" spans="1:8" x14ac:dyDescent="0.25">
      <c r="A469" t="s">
        <v>132</v>
      </c>
      <c r="B469">
        <v>134586</v>
      </c>
      <c r="C469" s="3">
        <v>49.76</v>
      </c>
      <c r="D469" s="6">
        <v>44235</v>
      </c>
      <c r="E469" t="str">
        <f>"67035485"</f>
        <v>67035485</v>
      </c>
      <c r="F469" t="str">
        <f>"ACCT#80975-001/PCT#3"</f>
        <v>ACCT#80975-001/PCT#3</v>
      </c>
      <c r="G469" s="3">
        <v>49.76</v>
      </c>
      <c r="H469" t="str">
        <f>"ACCT#80975-001/PCT#3"</f>
        <v>ACCT#80975-001/PCT#3</v>
      </c>
    </row>
    <row r="470" spans="1:8" x14ac:dyDescent="0.25">
      <c r="A470" t="s">
        <v>132</v>
      </c>
      <c r="B470">
        <v>134701</v>
      </c>
      <c r="C470" s="3">
        <v>550.35</v>
      </c>
      <c r="D470" s="6">
        <v>44253</v>
      </c>
      <c r="E470" t="str">
        <f>"68295709"</f>
        <v>68295709</v>
      </c>
      <c r="F470" t="str">
        <f>"ACCT#355.17"</f>
        <v>ACCT#355.17</v>
      </c>
      <c r="G470" s="3">
        <v>355.17</v>
      </c>
      <c r="H470" t="str">
        <f>"ACCT#355.17"</f>
        <v>ACCT#355.17</v>
      </c>
    </row>
    <row r="471" spans="1:8" x14ac:dyDescent="0.25">
      <c r="E471" t="str">
        <f>"68296846"</f>
        <v>68296846</v>
      </c>
      <c r="F471" t="str">
        <f>"ACCT#80975-001/PCT#3"</f>
        <v>ACCT#80975-001/PCT#3</v>
      </c>
      <c r="G471" s="3">
        <v>195.18</v>
      </c>
      <c r="H471" t="str">
        <f>"ACCT#80975-001/PCT#3"</f>
        <v>ACCT#80975-001/PCT#3</v>
      </c>
    </row>
    <row r="472" spans="1:8" x14ac:dyDescent="0.25">
      <c r="A472" t="s">
        <v>133</v>
      </c>
      <c r="B472">
        <v>4015</v>
      </c>
      <c r="C472" s="3">
        <v>800</v>
      </c>
      <c r="D472" s="6">
        <v>44254</v>
      </c>
      <c r="E472" t="str">
        <f>"202102111716"</f>
        <v>202102111716</v>
      </c>
      <c r="F472" t="str">
        <f>"16-238 16-239"</f>
        <v>16-238 16-239</v>
      </c>
      <c r="G472" s="3">
        <v>800</v>
      </c>
      <c r="H472" t="str">
        <f>"16-238 16-239"</f>
        <v>16-238 16-239</v>
      </c>
    </row>
    <row r="473" spans="1:8" x14ac:dyDescent="0.25">
      <c r="A473" t="s">
        <v>134</v>
      </c>
      <c r="B473">
        <v>4003</v>
      </c>
      <c r="C473" s="3">
        <v>95</v>
      </c>
      <c r="D473" s="6">
        <v>44254</v>
      </c>
      <c r="E473" t="str">
        <f>"202102221735"</f>
        <v>202102221735</v>
      </c>
      <c r="F473" t="str">
        <f>"TACVB REGISTRATION FEE"</f>
        <v>TACVB REGISTRATION FEE</v>
      </c>
      <c r="G473" s="3">
        <v>95</v>
      </c>
      <c r="H473" t="str">
        <f>"TACVB REGISTRATION FEE"</f>
        <v>TACVB REGISTRATION FEE</v>
      </c>
    </row>
    <row r="474" spans="1:8" x14ac:dyDescent="0.25">
      <c r="A474" t="s">
        <v>135</v>
      </c>
      <c r="B474">
        <v>3929</v>
      </c>
      <c r="C474" s="3">
        <v>366.05</v>
      </c>
      <c r="D474" s="6">
        <v>44236</v>
      </c>
      <c r="E474" t="str">
        <f>"CM59082AP"</f>
        <v>CM59082AP</v>
      </c>
      <c r="F474" t="str">
        <f>"ACCT#3325/PCT#2"</f>
        <v>ACCT#3325/PCT#2</v>
      </c>
      <c r="G474" s="3">
        <v>-253.11</v>
      </c>
      <c r="H474" t="str">
        <f>"ACCT#3325/PCT#2"</f>
        <v>ACCT#3325/PCT#2</v>
      </c>
    </row>
    <row r="475" spans="1:8" x14ac:dyDescent="0.25">
      <c r="E475" t="str">
        <f>"26886RP"</f>
        <v>26886RP</v>
      </c>
      <c r="F475" t="str">
        <f>"VENT PLUG/PCT#4"</f>
        <v>VENT PLUG/PCT#4</v>
      </c>
      <c r="G475" s="3">
        <v>5.4</v>
      </c>
      <c r="H475" t="str">
        <f>"VENT PLUG/PCT#4"</f>
        <v>VENT PLUG/PCT#4</v>
      </c>
    </row>
    <row r="476" spans="1:8" x14ac:dyDescent="0.25">
      <c r="E476" t="str">
        <f>"58443AP"</f>
        <v>58443AP</v>
      </c>
      <c r="F476" t="str">
        <f>"ACCT#3325/PCT#2"</f>
        <v>ACCT#3325/PCT#2</v>
      </c>
      <c r="G476" s="3">
        <v>41.91</v>
      </c>
      <c r="H476" t="str">
        <f>"ACCT#3325/PCT#2"</f>
        <v>ACCT#3325/PCT#2</v>
      </c>
    </row>
    <row r="477" spans="1:8" x14ac:dyDescent="0.25">
      <c r="E477" t="str">
        <f>"58848AP"</f>
        <v>58848AP</v>
      </c>
      <c r="F477" t="str">
        <f>"ORDER#F26836/PCT#3"</f>
        <v>ORDER#F26836/PCT#3</v>
      </c>
      <c r="G477" s="3">
        <v>39.880000000000003</v>
      </c>
      <c r="H477" t="str">
        <f>"ORDER#F26836/PCT#3"</f>
        <v>ORDER#F26836/PCT#3</v>
      </c>
    </row>
    <row r="478" spans="1:8" x14ac:dyDescent="0.25">
      <c r="E478" t="str">
        <f>"59072AP"</f>
        <v>59072AP</v>
      </c>
      <c r="F478" t="str">
        <f>"ACCT#3325/PCT#2"</f>
        <v>ACCT#3325/PCT#2</v>
      </c>
      <c r="G478" s="3">
        <v>34.270000000000003</v>
      </c>
      <c r="H478" t="str">
        <f>"ACCT#3325/PCT#2"</f>
        <v>ACCT#3325/PCT#2</v>
      </c>
    </row>
    <row r="479" spans="1:8" x14ac:dyDescent="0.25">
      <c r="E479" t="str">
        <f>"59082AP"</f>
        <v>59082AP</v>
      </c>
      <c r="F479" t="str">
        <f>"ACCT#3325/PCT#2"</f>
        <v>ACCT#3325/PCT#2</v>
      </c>
      <c r="G479" s="3">
        <v>253.11</v>
      </c>
      <c r="H479" t="str">
        <f>"ACCT#3325/PCT#2"</f>
        <v>ACCT#3325/PCT#2</v>
      </c>
    </row>
    <row r="480" spans="1:8" x14ac:dyDescent="0.25">
      <c r="E480" t="str">
        <f>"59083AP"</f>
        <v>59083AP</v>
      </c>
      <c r="F480" t="str">
        <f>"ACCT#3325/PCT#2"</f>
        <v>ACCT#3325/PCT#2</v>
      </c>
      <c r="G480" s="3">
        <v>244.59</v>
      </c>
      <c r="H480" t="str">
        <f>"ACCT#3325/PCT#2"</f>
        <v>ACCT#3325/PCT#2</v>
      </c>
    </row>
    <row r="481" spans="1:8" x14ac:dyDescent="0.25">
      <c r="A481" t="s">
        <v>135</v>
      </c>
      <c r="B481">
        <v>4008</v>
      </c>
      <c r="C481" s="3">
        <v>46.42</v>
      </c>
      <c r="D481" s="6">
        <v>44254</v>
      </c>
      <c r="E481" t="str">
        <f>"59501AP"</f>
        <v>59501AP</v>
      </c>
      <c r="F481" t="str">
        <f>"ACCT#3326/PCT#4"</f>
        <v>ACCT#3326/PCT#4</v>
      </c>
      <c r="G481" s="3">
        <v>21.54</v>
      </c>
      <c r="H481" t="str">
        <f>"ACCT#3326/PCT#4"</f>
        <v>ACCT#3326/PCT#4</v>
      </c>
    </row>
    <row r="482" spans="1:8" x14ac:dyDescent="0.25">
      <c r="E482" t="str">
        <f>"59506AP"</f>
        <v>59506AP</v>
      </c>
      <c r="F482" t="str">
        <f>"ACCT#3324/PCT#3"</f>
        <v>ACCT#3324/PCT#3</v>
      </c>
      <c r="G482" s="3">
        <v>24.88</v>
      </c>
      <c r="H482" t="str">
        <f>"ACCT#3324/PCT#3"</f>
        <v>ACCT#3324/PCT#3</v>
      </c>
    </row>
    <row r="483" spans="1:8" x14ac:dyDescent="0.25">
      <c r="A483" t="s">
        <v>136</v>
      </c>
      <c r="B483">
        <v>4016</v>
      </c>
      <c r="C483" s="3">
        <v>973.26</v>
      </c>
      <c r="D483" s="6">
        <v>44254</v>
      </c>
      <c r="E483" t="str">
        <f>"113420"</f>
        <v>113420</v>
      </c>
      <c r="F483" t="str">
        <f>"BUSINESS CARDS/PCT 4"</f>
        <v>BUSINESS CARDS/PCT 4</v>
      </c>
      <c r="G483" s="3">
        <v>109.87</v>
      </c>
      <c r="H483" t="str">
        <f>"BUSINESS CARDS/PCT 4"</f>
        <v>BUSINESS CARDS/PCT 4</v>
      </c>
    </row>
    <row r="484" spans="1:8" x14ac:dyDescent="0.25">
      <c r="E484" t="str">
        <f>"113475"</f>
        <v>113475</v>
      </c>
      <c r="F484" t="str">
        <f>"INV GC 113475"</f>
        <v>INV GC 113475</v>
      </c>
      <c r="G484" s="3">
        <v>40.96</v>
      </c>
      <c r="H484" t="str">
        <f>"INV GC 113475"</f>
        <v>INV GC 113475</v>
      </c>
    </row>
    <row r="485" spans="1:8" x14ac:dyDescent="0.25">
      <c r="E485" t="str">
        <f>"113476"</f>
        <v>113476</v>
      </c>
      <c r="F485" t="str">
        <f>"INV GC 113476"</f>
        <v>INV GC 113476</v>
      </c>
      <c r="G485" s="3">
        <v>40.96</v>
      </c>
      <c r="H485" t="str">
        <f>"INV GC 113476"</f>
        <v>INV GC 113476</v>
      </c>
    </row>
    <row r="486" spans="1:8" x14ac:dyDescent="0.25">
      <c r="E486" t="str">
        <f>"113482"</f>
        <v>113482</v>
      </c>
      <c r="F486" t="str">
        <f>"DISTRICT JUDGE"</f>
        <v>DISTRICT JUDGE</v>
      </c>
      <c r="G486" s="3">
        <v>308.98</v>
      </c>
      <c r="H486" t="str">
        <f>"DISTRICT JUDGE"</f>
        <v>DISTRICT JUDGE</v>
      </c>
    </row>
    <row r="487" spans="1:8" x14ac:dyDescent="0.25">
      <c r="E487" t="str">
        <f>"113503"</f>
        <v>113503</v>
      </c>
      <c r="F487" t="str">
        <f>"DEVELOPMENT SERVICES"</f>
        <v>DEVELOPMENT SERVICES</v>
      </c>
      <c r="G487" s="3">
        <v>173.43</v>
      </c>
      <c r="H487" t="str">
        <f>"DEVELOPMENT SERVICES"</f>
        <v>DEVELOPMENT SERVICES</v>
      </c>
    </row>
    <row r="488" spans="1:8" x14ac:dyDescent="0.25">
      <c r="E488" t="str">
        <f>"113562"</f>
        <v>113562</v>
      </c>
      <c r="F488" t="str">
        <f>"ENVIROMENTAL"</f>
        <v>ENVIROMENTAL</v>
      </c>
      <c r="G488" s="3">
        <v>30.76</v>
      </c>
      <c r="H488" t="str">
        <f>"ENVIROMENTAL"</f>
        <v>ENVIROMENTAL</v>
      </c>
    </row>
    <row r="489" spans="1:8" x14ac:dyDescent="0.25">
      <c r="E489" t="str">
        <f>"113563"</f>
        <v>113563</v>
      </c>
      <c r="F489" t="str">
        <f>"ANIMAL SHELTER"</f>
        <v>ANIMAL SHELTER</v>
      </c>
      <c r="G489" s="3">
        <v>268.3</v>
      </c>
      <c r="H489" t="str">
        <f>"ANIMAL SHELTER"</f>
        <v>ANIMAL SHELTER</v>
      </c>
    </row>
    <row r="490" spans="1:8" x14ac:dyDescent="0.25">
      <c r="A490" t="s">
        <v>137</v>
      </c>
      <c r="B490">
        <v>134587</v>
      </c>
      <c r="C490" s="3">
        <v>1169.5999999999999</v>
      </c>
      <c r="D490" s="6">
        <v>44235</v>
      </c>
      <c r="E490" t="str">
        <f>"017230644"</f>
        <v>017230644</v>
      </c>
      <c r="F490" t="str">
        <f>"INV 017230644/017541458"</f>
        <v>INV 017230644/017541458</v>
      </c>
      <c r="G490" s="3">
        <v>339.6</v>
      </c>
      <c r="H490" t="str">
        <f>"INV 017230644"</f>
        <v>INV 017230644</v>
      </c>
    </row>
    <row r="491" spans="1:8" x14ac:dyDescent="0.25">
      <c r="E491" t="str">
        <f>""</f>
        <v/>
      </c>
      <c r="F491" t="str">
        <f>""</f>
        <v/>
      </c>
      <c r="H491" t="str">
        <f>"INV 017541458"</f>
        <v>INV 017541458</v>
      </c>
    </row>
    <row r="492" spans="1:8" x14ac:dyDescent="0.25">
      <c r="E492" t="str">
        <f>"017452471"</f>
        <v>017452471</v>
      </c>
      <c r="F492" t="str">
        <f>"INV 017452471"</f>
        <v>INV 017452471</v>
      </c>
      <c r="G492" s="3">
        <v>153</v>
      </c>
      <c r="H492" t="str">
        <f>"INV 017452471"</f>
        <v>INV 017452471</v>
      </c>
    </row>
    <row r="493" spans="1:8" x14ac:dyDescent="0.25">
      <c r="E493" t="str">
        <f>"017452478"</f>
        <v>017452478</v>
      </c>
      <c r="F493" t="str">
        <f>"INV 017452478"</f>
        <v>INV 017452478</v>
      </c>
      <c r="G493" s="3">
        <v>208.5</v>
      </c>
      <c r="H493" t="str">
        <f>"INV 017452478"</f>
        <v>INV 017452478</v>
      </c>
    </row>
    <row r="494" spans="1:8" x14ac:dyDescent="0.25">
      <c r="E494" t="str">
        <f>"017452504"</f>
        <v>017452504</v>
      </c>
      <c r="F494" t="str">
        <f>"INV 017452504"</f>
        <v>INV 017452504</v>
      </c>
      <c r="G494" s="3">
        <v>36</v>
      </c>
      <c r="H494" t="str">
        <f>"INV 017452504"</f>
        <v>INV 017452504</v>
      </c>
    </row>
    <row r="495" spans="1:8" x14ac:dyDescent="0.25">
      <c r="E495" t="str">
        <f>"017484568"</f>
        <v>017484568</v>
      </c>
      <c r="F495" t="str">
        <f>"INV 017484568"</f>
        <v>INV 017484568</v>
      </c>
      <c r="G495" s="3">
        <v>76.5</v>
      </c>
      <c r="H495" t="str">
        <f>"INV 017484568"</f>
        <v>INV 017484568</v>
      </c>
    </row>
    <row r="496" spans="1:8" x14ac:dyDescent="0.25">
      <c r="E496" t="str">
        <f>"017484617"</f>
        <v>017484617</v>
      </c>
      <c r="F496" t="str">
        <f>"INV 017484617"</f>
        <v>INV 017484617</v>
      </c>
      <c r="G496" s="3">
        <v>24</v>
      </c>
      <c r="H496" t="str">
        <f>"INV 017484617"</f>
        <v>INV 017484617</v>
      </c>
    </row>
    <row r="497" spans="1:8" x14ac:dyDescent="0.25">
      <c r="E497" t="str">
        <f>"017541465"</f>
        <v>017541465</v>
      </c>
      <c r="F497" t="str">
        <f>"INV 017541465"</f>
        <v>INV 017541465</v>
      </c>
      <c r="G497" s="3">
        <v>332</v>
      </c>
      <c r="H497" t="str">
        <f>"INV 017541465"</f>
        <v>INV 017541465</v>
      </c>
    </row>
    <row r="498" spans="1:8" x14ac:dyDescent="0.25">
      <c r="A498" t="s">
        <v>137</v>
      </c>
      <c r="B498">
        <v>134702</v>
      </c>
      <c r="C498" s="3">
        <v>173</v>
      </c>
      <c r="D498" s="6">
        <v>44253</v>
      </c>
      <c r="E498" t="str">
        <f>"202102231768"</f>
        <v>202102231768</v>
      </c>
      <c r="F498" t="str">
        <f>"INV 017636575"</f>
        <v>INV 017636575</v>
      </c>
      <c r="G498" s="3">
        <v>173</v>
      </c>
      <c r="H498" t="str">
        <f>"INV 017636575"</f>
        <v>INV 017636575</v>
      </c>
    </row>
    <row r="499" spans="1:8" x14ac:dyDescent="0.25">
      <c r="A499" t="s">
        <v>138</v>
      </c>
      <c r="B499">
        <v>3919</v>
      </c>
      <c r="C499" s="3">
        <v>14791</v>
      </c>
      <c r="D499" s="6">
        <v>44236</v>
      </c>
      <c r="E499" t="str">
        <f>"4285233670"</f>
        <v>4285233670</v>
      </c>
      <c r="F499" t="str">
        <f>"Proposal #25-TX-200826"</f>
        <v>Proposal #25-TX-200826</v>
      </c>
      <c r="G499" s="3">
        <v>14791</v>
      </c>
      <c r="H499" t="str">
        <f>"Item #1 - Roof Drain"</f>
        <v>Item #1 - Roof Drain</v>
      </c>
    </row>
    <row r="500" spans="1:8" x14ac:dyDescent="0.25">
      <c r="E500" t="str">
        <f>""</f>
        <v/>
      </c>
      <c r="F500" t="str">
        <f>""</f>
        <v/>
      </c>
      <c r="H500" t="str">
        <f>"Item #2 - Flashing"</f>
        <v>Item #2 - Flashing</v>
      </c>
    </row>
    <row r="501" spans="1:8" x14ac:dyDescent="0.25">
      <c r="E501" t="str">
        <f>""</f>
        <v/>
      </c>
      <c r="F501" t="str">
        <f>""</f>
        <v/>
      </c>
      <c r="H501" t="str">
        <f>"Item #4 - Soffit Pan"</f>
        <v>Item #4 - Soffit Pan</v>
      </c>
    </row>
    <row r="502" spans="1:8" x14ac:dyDescent="0.25">
      <c r="E502" t="str">
        <f>""</f>
        <v/>
      </c>
      <c r="F502" t="str">
        <f>""</f>
        <v/>
      </c>
      <c r="H502" t="str">
        <f>"Item #3 - PM"</f>
        <v>Item #3 - PM</v>
      </c>
    </row>
    <row r="503" spans="1:8" x14ac:dyDescent="0.25">
      <c r="A503" t="s">
        <v>139</v>
      </c>
      <c r="B503">
        <v>134703</v>
      </c>
      <c r="C503" s="3">
        <v>675</v>
      </c>
      <c r="D503" s="6">
        <v>44253</v>
      </c>
      <c r="E503" t="str">
        <f>"1119"</f>
        <v>1119</v>
      </c>
      <c r="F503" t="str">
        <f>"TRANSPORT/A.BENNY"</f>
        <v>TRANSPORT/A.BENNY</v>
      </c>
      <c r="G503" s="3">
        <v>675</v>
      </c>
      <c r="H503" t="str">
        <f>"TRANSPORT/A.BENNY"</f>
        <v>TRANSPORT/A.BENNY</v>
      </c>
    </row>
    <row r="504" spans="1:8" x14ac:dyDescent="0.25">
      <c r="A504" t="s">
        <v>140</v>
      </c>
      <c r="B504">
        <v>134787</v>
      </c>
      <c r="C504" s="3">
        <v>1569.79</v>
      </c>
      <c r="D504" s="6">
        <v>44253</v>
      </c>
      <c r="E504" t="str">
        <f>"22194"</f>
        <v>22194</v>
      </c>
      <c r="F504" t="str">
        <f>"BCAS Sunstar Propane"</f>
        <v>BCAS Sunstar Propane</v>
      </c>
      <c r="G504" s="3">
        <v>1569.79</v>
      </c>
      <c r="H504" t="str">
        <f>"SunstarPropaneHeater"</f>
        <v>SunstarPropaneHeater</v>
      </c>
    </row>
    <row r="505" spans="1:8" x14ac:dyDescent="0.25">
      <c r="E505" t="str">
        <f>""</f>
        <v/>
      </c>
      <c r="F505" t="str">
        <f>""</f>
        <v/>
      </c>
      <c r="H505" t="str">
        <f>"BCAS Sunstar Propane"</f>
        <v>BCAS Sunstar Propane</v>
      </c>
    </row>
    <row r="506" spans="1:8" x14ac:dyDescent="0.25">
      <c r="A506" t="s">
        <v>141</v>
      </c>
      <c r="B506">
        <v>134704</v>
      </c>
      <c r="C506" s="3">
        <v>100</v>
      </c>
      <c r="D506" s="6">
        <v>44253</v>
      </c>
      <c r="E506" t="str">
        <f>"13241"</f>
        <v>13241</v>
      </c>
      <c r="F506" t="str">
        <f>"SERVICE"</f>
        <v>SERVICE</v>
      </c>
      <c r="G506" s="3">
        <v>100</v>
      </c>
      <c r="H506" t="str">
        <f>"SERVICE"</f>
        <v>SERVICE</v>
      </c>
    </row>
    <row r="507" spans="1:8" x14ac:dyDescent="0.25">
      <c r="A507" t="s">
        <v>142</v>
      </c>
      <c r="B507">
        <v>3896</v>
      </c>
      <c r="C507" s="3">
        <v>3930</v>
      </c>
      <c r="D507" s="6">
        <v>44236</v>
      </c>
      <c r="E507" t="str">
        <f>"460136"</f>
        <v>460136</v>
      </c>
      <c r="F507" t="str">
        <f>"CLIENT#3366 GASB VAL"</f>
        <v>CLIENT#3366 GASB VAL</v>
      </c>
      <c r="G507" s="3">
        <v>3930</v>
      </c>
      <c r="H507" t="str">
        <f>"CLIENT#3366 GASB VAL"</f>
        <v>CLIENT#3366 GASB VAL</v>
      </c>
    </row>
    <row r="508" spans="1:8" x14ac:dyDescent="0.25">
      <c r="A508" t="s">
        <v>143</v>
      </c>
      <c r="B508">
        <v>3937</v>
      </c>
      <c r="C508" s="3">
        <v>1380.25</v>
      </c>
      <c r="D508" s="6">
        <v>44236</v>
      </c>
      <c r="E508" t="str">
        <f>"0820391"</f>
        <v>0820391</v>
      </c>
      <c r="F508" t="str">
        <f>"INV 0820391/0822454"</f>
        <v>INV 0820391/0822454</v>
      </c>
      <c r="G508" s="3">
        <v>1331</v>
      </c>
      <c r="H508" t="str">
        <f>"INV 0820391"</f>
        <v>INV 0820391</v>
      </c>
    </row>
    <row r="509" spans="1:8" x14ac:dyDescent="0.25">
      <c r="E509" t="str">
        <f>""</f>
        <v/>
      </c>
      <c r="F509" t="str">
        <f>""</f>
        <v/>
      </c>
      <c r="H509" t="str">
        <f>"INV 0822454"</f>
        <v>INV 0822454</v>
      </c>
    </row>
    <row r="510" spans="1:8" x14ac:dyDescent="0.25">
      <c r="E510" t="str">
        <f>"INV0819527"</f>
        <v>INV0819527</v>
      </c>
      <c r="F510" t="str">
        <f>"INV0819527"</f>
        <v>INV0819527</v>
      </c>
      <c r="G510" s="3">
        <v>49.25</v>
      </c>
      <c r="H510" t="str">
        <f>"INV0819527"</f>
        <v>INV0819527</v>
      </c>
    </row>
    <row r="511" spans="1:8" x14ac:dyDescent="0.25">
      <c r="A511" t="s">
        <v>144</v>
      </c>
      <c r="B511">
        <v>3996</v>
      </c>
      <c r="C511" s="3">
        <v>213.37</v>
      </c>
      <c r="D511" s="6">
        <v>44254</v>
      </c>
      <c r="E511" t="str">
        <f>"0046414"</f>
        <v>0046414</v>
      </c>
      <c r="F511" t="str">
        <f>"INV 0046414"</f>
        <v>INV 0046414</v>
      </c>
      <c r="G511" s="3">
        <v>213.37</v>
      </c>
      <c r="H511" t="str">
        <f>"INV 0046414"</f>
        <v>INV 0046414</v>
      </c>
    </row>
    <row r="512" spans="1:8" x14ac:dyDescent="0.25">
      <c r="A512" t="s">
        <v>145</v>
      </c>
      <c r="B512">
        <v>3947</v>
      </c>
      <c r="C512" s="3">
        <v>4266.45</v>
      </c>
      <c r="D512" s="6">
        <v>44236</v>
      </c>
      <c r="E512" t="str">
        <f>"1992189"</f>
        <v>1992189</v>
      </c>
      <c r="F512" t="str">
        <f>"INV 1992189"</f>
        <v>INV 1992189</v>
      </c>
      <c r="G512" s="3">
        <v>4266.45</v>
      </c>
      <c r="H512" t="str">
        <f>"INV 1992189"</f>
        <v>INV 1992189</v>
      </c>
    </row>
    <row r="513" spans="1:8" x14ac:dyDescent="0.25">
      <c r="A513" t="s">
        <v>145</v>
      </c>
      <c r="B513">
        <v>4030</v>
      </c>
      <c r="C513" s="3">
        <v>480.2</v>
      </c>
      <c r="D513" s="6">
        <v>44254</v>
      </c>
      <c r="E513" t="str">
        <f>"1995676"</f>
        <v>1995676</v>
      </c>
      <c r="F513" t="str">
        <f>"Supplies"</f>
        <v>Supplies</v>
      </c>
      <c r="G513" s="3">
        <v>480.2</v>
      </c>
      <c r="H513" t="str">
        <f>"GP19371"</f>
        <v>GP19371</v>
      </c>
    </row>
    <row r="514" spans="1:8" x14ac:dyDescent="0.25">
      <c r="A514" t="s">
        <v>146</v>
      </c>
      <c r="B514">
        <v>134588</v>
      </c>
      <c r="C514" s="3">
        <v>85</v>
      </c>
      <c r="D514" s="6">
        <v>44235</v>
      </c>
      <c r="E514" t="str">
        <f>"1072141"</f>
        <v>1072141</v>
      </c>
      <c r="F514" t="str">
        <f>"ACCT#41985/PCT#3"</f>
        <v>ACCT#41985/PCT#3</v>
      </c>
      <c r="G514" s="3">
        <v>85</v>
      </c>
      <c r="H514" t="str">
        <f>"ACCT#41985/PCT#3"</f>
        <v>ACCT#41985/PCT#3</v>
      </c>
    </row>
    <row r="515" spans="1:8" x14ac:dyDescent="0.25">
      <c r="A515" t="s">
        <v>147</v>
      </c>
      <c r="B515">
        <v>4027</v>
      </c>
      <c r="C515" s="3">
        <v>9454.24</v>
      </c>
      <c r="D515" s="6">
        <v>44254</v>
      </c>
      <c r="E515" t="str">
        <f>"10048334"</f>
        <v>10048334</v>
      </c>
      <c r="F515" t="str">
        <f>"PROJECT#035837.001"</f>
        <v>PROJECT#035837.001</v>
      </c>
      <c r="G515" s="3">
        <v>9454.24</v>
      </c>
      <c r="H515" t="str">
        <f>"PROJECT#035837.001"</f>
        <v>PROJECT#035837.001</v>
      </c>
    </row>
    <row r="516" spans="1:8" x14ac:dyDescent="0.25">
      <c r="A516" t="s">
        <v>148</v>
      </c>
      <c r="B516">
        <v>134705</v>
      </c>
      <c r="C516" s="3">
        <v>75</v>
      </c>
      <c r="D516" s="6">
        <v>44253</v>
      </c>
      <c r="E516" t="str">
        <f>"13241"</f>
        <v>13241</v>
      </c>
      <c r="F516" t="str">
        <f>"SERVICE"</f>
        <v>SERVICE</v>
      </c>
      <c r="G516" s="3">
        <v>75</v>
      </c>
      <c r="H516" t="str">
        <f>"SERVICE"</f>
        <v>SERVICE</v>
      </c>
    </row>
    <row r="517" spans="1:8" x14ac:dyDescent="0.25">
      <c r="A517" t="s">
        <v>149</v>
      </c>
      <c r="B517">
        <v>3891</v>
      </c>
      <c r="C517" s="3">
        <v>75</v>
      </c>
      <c r="D517" s="6">
        <v>44229</v>
      </c>
      <c r="E517" t="str">
        <f>"202101301432"</f>
        <v>202101301432</v>
      </c>
      <c r="F517" t="str">
        <f>"REIMBURSE VIRTUAL CONVENTION"</f>
        <v>REIMBURSE VIRTUAL CONVENTION</v>
      </c>
      <c r="G517" s="3">
        <v>75</v>
      </c>
      <c r="H517" t="str">
        <f>"REIMBURSE VIRTUAL CONVENTION"</f>
        <v>REIMBURSE VIRTUAL CONVENTION</v>
      </c>
    </row>
    <row r="518" spans="1:8" x14ac:dyDescent="0.25">
      <c r="A518" t="s">
        <v>150</v>
      </c>
      <c r="B518">
        <v>134706</v>
      </c>
      <c r="C518" s="3">
        <v>75</v>
      </c>
      <c r="D518" s="6">
        <v>44253</v>
      </c>
      <c r="E518" t="str">
        <f>"13396"</f>
        <v>13396</v>
      </c>
      <c r="F518" t="str">
        <f>"SERVICE"</f>
        <v>SERVICE</v>
      </c>
      <c r="G518" s="3">
        <v>75</v>
      </c>
      <c r="H518" t="str">
        <f>"SERVICE"</f>
        <v>SERVICE</v>
      </c>
    </row>
    <row r="519" spans="1:8" x14ac:dyDescent="0.25">
      <c r="A519" t="s">
        <v>151</v>
      </c>
      <c r="B519">
        <v>134589</v>
      </c>
      <c r="C519" s="3">
        <v>141.87</v>
      </c>
      <c r="D519" s="6">
        <v>44235</v>
      </c>
      <c r="E519" t="str">
        <f>"10834473"</f>
        <v>10834473</v>
      </c>
      <c r="F519" t="str">
        <f>"ACCT#0083705/PCT#4"</f>
        <v>ACCT#0083705/PCT#4</v>
      </c>
      <c r="G519" s="3">
        <v>141.87</v>
      </c>
      <c r="H519" t="str">
        <f>"ACCT#0083705/PCT#4"</f>
        <v>ACCT#0083705/PCT#4</v>
      </c>
    </row>
    <row r="520" spans="1:8" x14ac:dyDescent="0.25">
      <c r="A520" t="s">
        <v>152</v>
      </c>
      <c r="B520">
        <v>4018</v>
      </c>
      <c r="C520" s="3">
        <v>650</v>
      </c>
      <c r="D520" s="6">
        <v>44254</v>
      </c>
      <c r="E520" t="str">
        <f>"202102231763"</f>
        <v>202102231763</v>
      </c>
      <c r="F520" t="str">
        <f>"BASCOM L HODGES JR"</f>
        <v>BASCOM L HODGES JR</v>
      </c>
      <c r="G520" s="3">
        <v>650</v>
      </c>
      <c r="H520" t="str">
        <f>""</f>
        <v/>
      </c>
    </row>
    <row r="521" spans="1:8" x14ac:dyDescent="0.25">
      <c r="A521" t="s">
        <v>153</v>
      </c>
      <c r="B521">
        <v>134707</v>
      </c>
      <c r="C521" s="3">
        <v>622.5</v>
      </c>
      <c r="D521" s="6">
        <v>44253</v>
      </c>
      <c r="E521" t="str">
        <f>"202102091668"</f>
        <v>202102091668</v>
      </c>
      <c r="F521" t="str">
        <f>"19-19849"</f>
        <v>19-19849</v>
      </c>
      <c r="G521" s="3">
        <v>347.5</v>
      </c>
      <c r="H521" t="str">
        <f>"19-19849"</f>
        <v>19-19849</v>
      </c>
    </row>
    <row r="522" spans="1:8" x14ac:dyDescent="0.25">
      <c r="E522" t="str">
        <f>"202102221725"</f>
        <v>202102221725</v>
      </c>
      <c r="F522" t="str">
        <f>"16-17992"</f>
        <v>16-17992</v>
      </c>
      <c r="G522" s="3">
        <v>100</v>
      </c>
      <c r="H522" t="str">
        <f>"16-17992"</f>
        <v>16-17992</v>
      </c>
    </row>
    <row r="523" spans="1:8" x14ac:dyDescent="0.25">
      <c r="E523" t="str">
        <f>"202102221726"</f>
        <v>202102221726</v>
      </c>
      <c r="F523" t="str">
        <f>"21-20565"</f>
        <v>21-20565</v>
      </c>
      <c r="G523" s="3">
        <v>175</v>
      </c>
      <c r="H523" t="str">
        <f>"21-20565"</f>
        <v>21-20565</v>
      </c>
    </row>
    <row r="524" spans="1:8" x14ac:dyDescent="0.25">
      <c r="A524" t="s">
        <v>154</v>
      </c>
      <c r="B524">
        <v>3938</v>
      </c>
      <c r="C524" s="3">
        <v>3751.46</v>
      </c>
      <c r="D524" s="6">
        <v>44236</v>
      </c>
      <c r="E524" t="str">
        <f>"PIM60046587"</f>
        <v>PIM60046587</v>
      </c>
      <c r="F524" t="str">
        <f>"CUST#0129050/PCT#1"</f>
        <v>CUST#0129050/PCT#1</v>
      </c>
      <c r="G524" s="3">
        <v>57.16</v>
      </c>
      <c r="H524" t="str">
        <f>"CUST#0129050/PCT#1"</f>
        <v>CUST#0129050/PCT#1</v>
      </c>
    </row>
    <row r="525" spans="1:8" x14ac:dyDescent="0.25">
      <c r="E525" t="str">
        <f>"WIMA0142873"</f>
        <v>WIMA0142873</v>
      </c>
      <c r="F525" t="str">
        <f>"CUST#0129150/PCT#3"</f>
        <v>CUST#0129150/PCT#3</v>
      </c>
      <c r="G525" s="3">
        <v>3694.3</v>
      </c>
      <c r="H525" t="str">
        <f>"CUST#0129150/PCT#3"</f>
        <v>CUST#0129150/PCT#3</v>
      </c>
    </row>
    <row r="526" spans="1:8" x14ac:dyDescent="0.25">
      <c r="A526" t="s">
        <v>154</v>
      </c>
      <c r="B526">
        <v>4017</v>
      </c>
      <c r="C526" s="3">
        <v>8597.51</v>
      </c>
      <c r="D526" s="6">
        <v>44254</v>
      </c>
      <c r="E526" t="str">
        <f>"PCM60014693"</f>
        <v>PCM60014693</v>
      </c>
      <c r="F526" t="str">
        <f>"CUST#0129050/PCT#1"</f>
        <v>CUST#0129050/PCT#1</v>
      </c>
      <c r="G526" s="3">
        <v>-24.77</v>
      </c>
      <c r="H526" t="str">
        <f>"CUST#0129050/PCT#1"</f>
        <v>CUST#0129050/PCT#1</v>
      </c>
    </row>
    <row r="527" spans="1:8" x14ac:dyDescent="0.25">
      <c r="E527" t="str">
        <f>"202102091645"</f>
        <v>202102091645</v>
      </c>
      <c r="F527" t="str">
        <f>"BD HOLT CO"</f>
        <v>BD HOLT CO</v>
      </c>
      <c r="G527" s="3">
        <v>7556</v>
      </c>
      <c r="H527" t="str">
        <f>"Arm Lift As."</f>
        <v>Arm Lift As.</v>
      </c>
    </row>
    <row r="528" spans="1:8" x14ac:dyDescent="0.25">
      <c r="E528" t="str">
        <f>""</f>
        <v/>
      </c>
      <c r="F528" t="str">
        <f>""</f>
        <v/>
      </c>
      <c r="H528" t="str">
        <f>"Freight"</f>
        <v>Freight</v>
      </c>
    </row>
    <row r="529" spans="1:8" x14ac:dyDescent="0.25">
      <c r="E529" t="str">
        <f>"60047155"</f>
        <v>60047155</v>
      </c>
      <c r="F529" t="str">
        <f>"CUST#0129050/PCT#1"</f>
        <v>CUST#0129050/PCT#1</v>
      </c>
      <c r="G529" s="3">
        <v>25.38</v>
      </c>
      <c r="H529" t="str">
        <f>"CUST#0129050/PCT#1"</f>
        <v>CUST#0129050/PCT#1</v>
      </c>
    </row>
    <row r="530" spans="1:8" x14ac:dyDescent="0.25">
      <c r="E530" t="str">
        <f>"PIM60045284"</f>
        <v>PIM60045284</v>
      </c>
      <c r="F530" t="str">
        <f>"CUST#0129050/PCT#1"</f>
        <v>CUST#0129050/PCT#1</v>
      </c>
      <c r="G530" s="3">
        <v>24.77</v>
      </c>
      <c r="H530" t="str">
        <f>"CUST#0129050/PCT#1"</f>
        <v>CUST#0129050/PCT#1</v>
      </c>
    </row>
    <row r="531" spans="1:8" x14ac:dyDescent="0.25">
      <c r="E531" t="str">
        <f>"PIM60045954"</f>
        <v>PIM60045954</v>
      </c>
      <c r="F531" t="str">
        <f>"CUST#0129200/PCT#4"</f>
        <v>CUST#0129200/PCT#4</v>
      </c>
      <c r="G531" s="3">
        <v>400.05</v>
      </c>
      <c r="H531" t="str">
        <f>"CUST#0129200/PCT#4"</f>
        <v>CUST#0129200/PCT#4</v>
      </c>
    </row>
    <row r="532" spans="1:8" x14ac:dyDescent="0.25">
      <c r="E532" t="str">
        <f>"PIM60046714"</f>
        <v>PIM60046714</v>
      </c>
      <c r="F532" t="str">
        <f>"CUST#10865/PCT#4"</f>
        <v>CUST#10865/PCT#4</v>
      </c>
      <c r="G532" s="3">
        <v>32.96</v>
      </c>
      <c r="H532" t="str">
        <f>"CUST#10865/PCT#4"</f>
        <v>CUST#10865/PCT#4</v>
      </c>
    </row>
    <row r="533" spans="1:8" x14ac:dyDescent="0.25">
      <c r="E533" t="str">
        <f>"PIMA0348496"</f>
        <v>PIMA0348496</v>
      </c>
      <c r="F533" t="str">
        <f>"CUST#0129100/PCT#2"</f>
        <v>CUST#0129100/PCT#2</v>
      </c>
      <c r="G533" s="3">
        <v>583.12</v>
      </c>
      <c r="H533" t="str">
        <f>"CUST#0129100/PCT#2"</f>
        <v>CUST#0129100/PCT#2</v>
      </c>
    </row>
    <row r="534" spans="1:8" x14ac:dyDescent="0.25">
      <c r="A534" t="s">
        <v>155</v>
      </c>
      <c r="B534">
        <v>4006</v>
      </c>
      <c r="C534" s="3">
        <v>305</v>
      </c>
      <c r="D534" s="6">
        <v>44254</v>
      </c>
      <c r="E534" t="str">
        <f>"0551937048"</f>
        <v>0551937048</v>
      </c>
      <c r="F534" t="str">
        <f>"CUST#212645"</f>
        <v>CUST#212645</v>
      </c>
      <c r="G534" s="3">
        <v>90</v>
      </c>
      <c r="H534" t="str">
        <f>"CUST#212645"</f>
        <v>CUST#212645</v>
      </c>
    </row>
    <row r="535" spans="1:8" x14ac:dyDescent="0.25">
      <c r="E535" t="str">
        <f>"055193989"</f>
        <v>055193989</v>
      </c>
      <c r="F535" t="str">
        <f>"CUST#212645"</f>
        <v>CUST#212645</v>
      </c>
      <c r="G535" s="3">
        <v>215</v>
      </c>
      <c r="H535" t="str">
        <f>"CUST#212645"</f>
        <v>CUST#212645</v>
      </c>
    </row>
    <row r="536" spans="1:8" x14ac:dyDescent="0.25">
      <c r="A536" t="s">
        <v>156</v>
      </c>
      <c r="B536">
        <v>134786</v>
      </c>
      <c r="C536" s="3">
        <v>329.92</v>
      </c>
      <c r="D536" s="6">
        <v>44253</v>
      </c>
      <c r="E536" t="str">
        <f>"202102261833"</f>
        <v>202102261833</v>
      </c>
      <c r="F536" t="str">
        <f>"JAIL MEDICAL"</f>
        <v>JAIL MEDICAL</v>
      </c>
      <c r="G536" s="3">
        <v>329.92</v>
      </c>
      <c r="H536" t="str">
        <f>"JAIL MEDICAL"</f>
        <v>JAIL MEDICAL</v>
      </c>
    </row>
    <row r="537" spans="1:8" x14ac:dyDescent="0.25">
      <c r="A537" t="s">
        <v>157</v>
      </c>
      <c r="B537">
        <v>134590</v>
      </c>
      <c r="C537" s="3">
        <v>848.18</v>
      </c>
      <c r="D537" s="6">
        <v>44235</v>
      </c>
      <c r="E537" t="str">
        <f>"202102031579"</f>
        <v>202102031579</v>
      </c>
      <c r="F537" t="str">
        <f>"JAIL MEDICAL"</f>
        <v>JAIL MEDICAL</v>
      </c>
      <c r="G537" s="3">
        <v>848.18</v>
      </c>
      <c r="H537" t="str">
        <f>"JAIL MEDICAL"</f>
        <v>JAIL MEDICAL</v>
      </c>
    </row>
    <row r="538" spans="1:8" x14ac:dyDescent="0.25">
      <c r="A538" t="s">
        <v>158</v>
      </c>
      <c r="B538">
        <v>4004</v>
      </c>
      <c r="C538" s="3">
        <v>467.5</v>
      </c>
      <c r="D538" s="6">
        <v>44254</v>
      </c>
      <c r="E538" t="str">
        <f>"SL2020-01-00361"</f>
        <v>SL2020-01-00361</v>
      </c>
      <c r="F538" t="str">
        <f>"SHELTERLUV SOFTWARE"</f>
        <v>SHELTERLUV SOFTWARE</v>
      </c>
      <c r="G538" s="3">
        <v>467.5</v>
      </c>
      <c r="H538" t="str">
        <f>"SHELTERLUV SOFTWARE"</f>
        <v>SHELTERLUV SOFTWARE</v>
      </c>
    </row>
    <row r="539" spans="1:8" x14ac:dyDescent="0.25">
      <c r="A539" t="s">
        <v>159</v>
      </c>
      <c r="B539">
        <v>134591</v>
      </c>
      <c r="C539" s="3">
        <v>2374</v>
      </c>
      <c r="D539" s="6">
        <v>44235</v>
      </c>
      <c r="E539" t="str">
        <f>"WI-29210-M8N2"</f>
        <v>WI-29210-M8N2</v>
      </c>
      <c r="F539" t="str">
        <f>"Mike Fisher"</f>
        <v>Mike Fisher</v>
      </c>
      <c r="G539" s="3">
        <v>2374</v>
      </c>
      <c r="H539" t="str">
        <f>"WI-29210-M8N2"</f>
        <v>WI-29210-M8N2</v>
      </c>
    </row>
    <row r="540" spans="1:8" x14ac:dyDescent="0.25">
      <c r="A540" t="s">
        <v>160</v>
      </c>
      <c r="B540">
        <v>3910</v>
      </c>
      <c r="C540" s="3">
        <v>750</v>
      </c>
      <c r="D540" s="6">
        <v>44236</v>
      </c>
      <c r="E540" t="str">
        <f>"205838"</f>
        <v>205838</v>
      </c>
      <c r="F540" t="str">
        <f>"HYDRAULIC CYL/PCT#3"</f>
        <v>HYDRAULIC CYL/PCT#3</v>
      </c>
      <c r="G540" s="3">
        <v>750</v>
      </c>
      <c r="H540" t="str">
        <f>"HYDRAULIC CYL/PCT#3"</f>
        <v>HYDRAULIC CYL/PCT#3</v>
      </c>
    </row>
    <row r="541" spans="1:8" x14ac:dyDescent="0.25">
      <c r="A541" t="s">
        <v>160</v>
      </c>
      <c r="B541">
        <v>3980</v>
      </c>
      <c r="C541" s="3">
        <v>490</v>
      </c>
      <c r="D541" s="6">
        <v>44254</v>
      </c>
      <c r="E541" t="str">
        <f>"206025"</f>
        <v>206025</v>
      </c>
      <c r="F541" t="str">
        <f>"HYDRAULIC CYL./PCT#3"</f>
        <v>HYDRAULIC CYL./PCT#3</v>
      </c>
      <c r="G541" s="3">
        <v>490</v>
      </c>
      <c r="H541" t="str">
        <f>"HYDRAULIC CYL./PCT#3"</f>
        <v>HYDRAULIC CYL./PCT#3</v>
      </c>
    </row>
    <row r="542" spans="1:8" x14ac:dyDescent="0.25">
      <c r="A542" t="s">
        <v>161</v>
      </c>
      <c r="B542">
        <v>134592</v>
      </c>
      <c r="C542" s="3">
        <v>5650</v>
      </c>
      <c r="D542" s="6">
        <v>44235</v>
      </c>
      <c r="E542" t="str">
        <f>"2021011503"</f>
        <v>2021011503</v>
      </c>
      <c r="F542" t="str">
        <f>"COLLECTIONS SOFTWARE JAN-FEB"</f>
        <v>COLLECTIONS SOFTWARE JAN-FEB</v>
      </c>
      <c r="G542" s="3">
        <v>5650</v>
      </c>
      <c r="H542" t="str">
        <f>"COLLECTIONS SOFTWARE JAN-FEB"</f>
        <v>COLLECTIONS SOFTWARE JAN-FEB</v>
      </c>
    </row>
    <row r="543" spans="1:8" x14ac:dyDescent="0.25">
      <c r="A543" t="s">
        <v>162</v>
      </c>
      <c r="B543">
        <v>3963</v>
      </c>
      <c r="C543" s="3">
        <v>813.16</v>
      </c>
      <c r="D543" s="6">
        <v>44254</v>
      </c>
      <c r="E543" t="str">
        <f>"W42456"</f>
        <v>W42456</v>
      </c>
      <c r="F543" t="str">
        <f>"INV W42456-00"</f>
        <v>INV W42456-00</v>
      </c>
      <c r="G543" s="3">
        <v>813.16</v>
      </c>
      <c r="H543" t="str">
        <f>"INV W42456-00"</f>
        <v>INV W42456-00</v>
      </c>
    </row>
    <row r="544" spans="1:8" x14ac:dyDescent="0.25">
      <c r="E544" t="str">
        <f>""</f>
        <v/>
      </c>
      <c r="F544" t="str">
        <f>""</f>
        <v/>
      </c>
      <c r="H544" t="str">
        <f>"INV W4245601"</f>
        <v>INV W4245601</v>
      </c>
    </row>
    <row r="545" spans="1:8" x14ac:dyDescent="0.25">
      <c r="A545" t="s">
        <v>163</v>
      </c>
      <c r="B545">
        <v>4023</v>
      </c>
      <c r="C545" s="3">
        <v>2430</v>
      </c>
      <c r="D545" s="6">
        <v>44254</v>
      </c>
      <c r="E545" t="str">
        <f>"71174"</f>
        <v>71174</v>
      </c>
      <c r="F545" t="str">
        <f>"PROFESSIONAL SVCS MARCH 2021"</f>
        <v>PROFESSIONAL SVCS MARCH 2021</v>
      </c>
      <c r="G545" s="3">
        <v>2430</v>
      </c>
      <c r="H545" t="str">
        <f>"PROFESSIONAL SVCS MARCH 2021"</f>
        <v>PROFESSIONAL SVCS MARCH 2021</v>
      </c>
    </row>
    <row r="546" spans="1:8" x14ac:dyDescent="0.25">
      <c r="E546" t="str">
        <f>""</f>
        <v/>
      </c>
      <c r="F546" t="str">
        <f>""</f>
        <v/>
      </c>
      <c r="H546" t="str">
        <f>"PROFESSIONAL SVCS MARCH 2021"</f>
        <v>PROFESSIONAL SVCS MARCH 2021</v>
      </c>
    </row>
    <row r="547" spans="1:8" x14ac:dyDescent="0.25">
      <c r="A547" t="s">
        <v>164</v>
      </c>
      <c r="B547">
        <v>134708</v>
      </c>
      <c r="C547" s="3">
        <v>171.23</v>
      </c>
      <c r="D547" s="6">
        <v>44253</v>
      </c>
      <c r="E547" t="str">
        <f>"4758*141*1"</f>
        <v>4758*141*1</v>
      </c>
      <c r="F547" t="str">
        <f>"JAIL MEDICAL"</f>
        <v>JAIL MEDICAL</v>
      </c>
      <c r="G547" s="3">
        <v>171.23</v>
      </c>
      <c r="H547" t="str">
        <f>"JAIL MEDICAL"</f>
        <v>JAIL MEDICAL</v>
      </c>
    </row>
    <row r="548" spans="1:8" x14ac:dyDescent="0.25">
      <c r="A548" t="s">
        <v>165</v>
      </c>
      <c r="B548">
        <v>134593</v>
      </c>
      <c r="C548" s="3">
        <v>171.04</v>
      </c>
      <c r="D548" s="6">
        <v>44235</v>
      </c>
      <c r="E548" t="str">
        <f>"DTHL870"</f>
        <v>DTHL870</v>
      </c>
      <c r="F548" t="str">
        <f>"CUST#AX773/COUNTY CLERK"</f>
        <v>CUST#AX773/COUNTY CLERK</v>
      </c>
      <c r="G548" s="3">
        <v>171.04</v>
      </c>
      <c r="H548" t="str">
        <f>"CUST#AX773/COUNTY CLERK"</f>
        <v>CUST#AX773/COUNTY CLERK</v>
      </c>
    </row>
    <row r="549" spans="1:8" x14ac:dyDescent="0.25">
      <c r="A549" t="s">
        <v>166</v>
      </c>
      <c r="B549">
        <v>134594</v>
      </c>
      <c r="C549" s="3">
        <v>7</v>
      </c>
      <c r="D549" s="6">
        <v>44235</v>
      </c>
      <c r="E549" t="str">
        <f>"73475"</f>
        <v>73475</v>
      </c>
      <c r="F549" t="str">
        <f>"STATE INSPECTION/PCT#4"</f>
        <v>STATE INSPECTION/PCT#4</v>
      </c>
      <c r="G549" s="3">
        <v>7</v>
      </c>
      <c r="H549" t="str">
        <f>"STATE INSPECTION/PCT#4"</f>
        <v>STATE INSPECTION/PCT#4</v>
      </c>
    </row>
    <row r="550" spans="1:8" x14ac:dyDescent="0.25">
      <c r="A550" t="s">
        <v>167</v>
      </c>
      <c r="B550">
        <v>3951</v>
      </c>
      <c r="C550" s="3">
        <v>250</v>
      </c>
      <c r="D550" s="6">
        <v>44236</v>
      </c>
      <c r="E550" t="str">
        <f>"202102021562"</f>
        <v>202102021562</v>
      </c>
      <c r="F550" t="str">
        <f>"56560"</f>
        <v>56560</v>
      </c>
      <c r="G550" s="3">
        <v>250</v>
      </c>
      <c r="H550" t="str">
        <f>"56560"</f>
        <v>56560</v>
      </c>
    </row>
    <row r="551" spans="1:8" x14ac:dyDescent="0.25">
      <c r="A551" t="s">
        <v>167</v>
      </c>
      <c r="B551">
        <v>4036</v>
      </c>
      <c r="C551" s="3">
        <v>2535</v>
      </c>
      <c r="D551" s="6">
        <v>44254</v>
      </c>
      <c r="E551" t="str">
        <f>"12978"</f>
        <v>12978</v>
      </c>
      <c r="F551" t="str">
        <f>"AD LITEM FEE"</f>
        <v>AD LITEM FEE</v>
      </c>
      <c r="G551" s="3">
        <v>150</v>
      </c>
      <c r="H551" t="str">
        <f>"AD LITEM FEE"</f>
        <v>AD LITEM FEE</v>
      </c>
    </row>
    <row r="552" spans="1:8" x14ac:dyDescent="0.25">
      <c r="E552" t="str">
        <f>"202102091669"</f>
        <v>202102091669</v>
      </c>
      <c r="F552" t="str">
        <f>"11-14658"</f>
        <v>11-14658</v>
      </c>
      <c r="G552" s="3">
        <v>2285</v>
      </c>
      <c r="H552" t="str">
        <f>"11-14658"</f>
        <v>11-14658</v>
      </c>
    </row>
    <row r="553" spans="1:8" x14ac:dyDescent="0.25">
      <c r="E553" t="str">
        <f>"202102231791"</f>
        <v>202102231791</v>
      </c>
      <c r="F553" t="str">
        <f>"20-20049"</f>
        <v>20-20049</v>
      </c>
      <c r="G553" s="3">
        <v>100</v>
      </c>
      <c r="H553" t="str">
        <f>"20-20049"</f>
        <v>20-20049</v>
      </c>
    </row>
    <row r="554" spans="1:8" x14ac:dyDescent="0.25">
      <c r="A554" t="s">
        <v>168</v>
      </c>
      <c r="B554">
        <v>134709</v>
      </c>
      <c r="C554" s="3">
        <v>97</v>
      </c>
      <c r="D554" s="6">
        <v>44253</v>
      </c>
      <c r="E554" t="str">
        <f>"202102231787"</f>
        <v>202102231787</v>
      </c>
      <c r="F554" t="str">
        <f>"REIMBURSEMENT/LICENSE"</f>
        <v>REIMBURSEMENT/LICENSE</v>
      </c>
      <c r="G554" s="3">
        <v>97</v>
      </c>
      <c r="H554" t="str">
        <f>"REIMBURSEMENT/LICENSE"</f>
        <v>REIMBURSEMENT/LICENSE</v>
      </c>
    </row>
    <row r="555" spans="1:8" x14ac:dyDescent="0.25">
      <c r="A555" t="s">
        <v>169</v>
      </c>
      <c r="B555">
        <v>134710</v>
      </c>
      <c r="C555" s="3">
        <v>57364.2</v>
      </c>
      <c r="D555" s="6">
        <v>44253</v>
      </c>
      <c r="E555" t="str">
        <f>"117027410"</f>
        <v>117027410</v>
      </c>
      <c r="F555" t="str">
        <f>"DEERE CREDIT SERVICES INC"</f>
        <v>DEERE CREDIT SERVICES INC</v>
      </c>
      <c r="G555" s="3">
        <v>57364.2</v>
      </c>
      <c r="H555" t="str">
        <f>"John Deere Tractor"</f>
        <v>John Deere Tractor</v>
      </c>
    </row>
    <row r="556" spans="1:8" x14ac:dyDescent="0.25">
      <c r="A556" t="s">
        <v>170</v>
      </c>
      <c r="B556">
        <v>134595</v>
      </c>
      <c r="C556" s="3">
        <v>3925</v>
      </c>
      <c r="D556" s="6">
        <v>44235</v>
      </c>
      <c r="E556" t="str">
        <f>"202102021539"</f>
        <v>202102021539</v>
      </c>
      <c r="F556" t="str">
        <f>"202008298"</f>
        <v>202008298</v>
      </c>
      <c r="G556" s="3">
        <v>225</v>
      </c>
      <c r="H556" t="str">
        <f>"202008298"</f>
        <v>202008298</v>
      </c>
    </row>
    <row r="557" spans="1:8" x14ac:dyDescent="0.25">
      <c r="E557" t="str">
        <f>"202102021540"</f>
        <v>202102021540</v>
      </c>
      <c r="F557" t="str">
        <f>"19-19994"</f>
        <v>19-19994</v>
      </c>
      <c r="G557" s="3">
        <v>375</v>
      </c>
      <c r="H557" t="str">
        <f>"19-19994"</f>
        <v>19-19994</v>
      </c>
    </row>
    <row r="558" spans="1:8" x14ac:dyDescent="0.25">
      <c r="E558" t="str">
        <f>"202102021541"</f>
        <v>202102021541</v>
      </c>
      <c r="F558" t="str">
        <f>"19-19864"</f>
        <v>19-19864</v>
      </c>
      <c r="G558" s="3">
        <v>700</v>
      </c>
      <c r="H558" t="str">
        <f>"19-19864"</f>
        <v>19-19864</v>
      </c>
    </row>
    <row r="559" spans="1:8" x14ac:dyDescent="0.25">
      <c r="E559" t="str">
        <f>"202102021542"</f>
        <v>202102021542</v>
      </c>
      <c r="F559" t="str">
        <f>"19-20022"</f>
        <v>19-20022</v>
      </c>
      <c r="G559" s="3">
        <v>412.5</v>
      </c>
      <c r="H559" t="str">
        <f>"19-20022"</f>
        <v>19-20022</v>
      </c>
    </row>
    <row r="560" spans="1:8" x14ac:dyDescent="0.25">
      <c r="E560" t="str">
        <f>"202102021543"</f>
        <v>202102021543</v>
      </c>
      <c r="F560" t="str">
        <f>"19-19889"</f>
        <v>19-19889</v>
      </c>
      <c r="G560" s="3">
        <v>337.5</v>
      </c>
      <c r="H560" t="str">
        <f>"19-19889"</f>
        <v>19-19889</v>
      </c>
    </row>
    <row r="561" spans="1:8" x14ac:dyDescent="0.25">
      <c r="E561" t="str">
        <f>"202102021544"</f>
        <v>202102021544</v>
      </c>
      <c r="F561" t="str">
        <f>"20-20514"</f>
        <v>20-20514</v>
      </c>
      <c r="G561" s="3">
        <v>300</v>
      </c>
      <c r="H561" t="str">
        <f>"20-20514"</f>
        <v>20-20514</v>
      </c>
    </row>
    <row r="562" spans="1:8" x14ac:dyDescent="0.25">
      <c r="E562" t="str">
        <f>"202102021545"</f>
        <v>202102021545</v>
      </c>
      <c r="F562" t="str">
        <f>"20-20110"</f>
        <v>20-20110</v>
      </c>
      <c r="G562" s="3">
        <v>300</v>
      </c>
      <c r="H562" t="str">
        <f>"20-20110"</f>
        <v>20-20110</v>
      </c>
    </row>
    <row r="563" spans="1:8" x14ac:dyDescent="0.25">
      <c r="E563" t="str">
        <f>"202102021546"</f>
        <v>202102021546</v>
      </c>
      <c r="F563" t="str">
        <f>"20-20403"</f>
        <v>20-20403</v>
      </c>
      <c r="G563" s="3">
        <v>225</v>
      </c>
      <c r="H563" t="str">
        <f>"20-20403"</f>
        <v>20-20403</v>
      </c>
    </row>
    <row r="564" spans="1:8" x14ac:dyDescent="0.25">
      <c r="E564" t="str">
        <f>"202102021547"</f>
        <v>202102021547</v>
      </c>
      <c r="F564" t="str">
        <f>"20-20215"</f>
        <v>20-20215</v>
      </c>
      <c r="G564" s="3">
        <v>375</v>
      </c>
      <c r="H564" t="str">
        <f>"20-20215"</f>
        <v>20-20215</v>
      </c>
    </row>
    <row r="565" spans="1:8" x14ac:dyDescent="0.25">
      <c r="E565" t="str">
        <f>"202102021548"</f>
        <v>202102021548</v>
      </c>
      <c r="F565" t="str">
        <f>"20-20291"</f>
        <v>20-20291</v>
      </c>
      <c r="G565" s="3">
        <v>375</v>
      </c>
      <c r="H565" t="str">
        <f>"20-20291"</f>
        <v>20-20291</v>
      </c>
    </row>
    <row r="566" spans="1:8" x14ac:dyDescent="0.25">
      <c r="E566" t="str">
        <f>"202102021549"</f>
        <v>202102021549</v>
      </c>
      <c r="F566" t="str">
        <f>"19-19862"</f>
        <v>19-19862</v>
      </c>
      <c r="G566" s="3">
        <v>300</v>
      </c>
      <c r="H566" t="str">
        <f>"19-19862"</f>
        <v>19-19862</v>
      </c>
    </row>
    <row r="567" spans="1:8" x14ac:dyDescent="0.25">
      <c r="A567" t="s">
        <v>171</v>
      </c>
      <c r="B567">
        <v>134596</v>
      </c>
      <c r="C567" s="3">
        <v>2482.5</v>
      </c>
      <c r="D567" s="6">
        <v>44235</v>
      </c>
      <c r="E567" t="str">
        <f>"202101271387"</f>
        <v>202101271387</v>
      </c>
      <c r="F567" t="str">
        <f>"19-136"</f>
        <v>19-136</v>
      </c>
      <c r="G567" s="3">
        <v>2482.5</v>
      </c>
      <c r="H567" t="str">
        <f>"19-136"</f>
        <v>19-136</v>
      </c>
    </row>
    <row r="568" spans="1:8" x14ac:dyDescent="0.25">
      <c r="A568" t="s">
        <v>172</v>
      </c>
      <c r="B568">
        <v>134711</v>
      </c>
      <c r="C568" s="3">
        <v>65</v>
      </c>
      <c r="D568" s="6">
        <v>44253</v>
      </c>
      <c r="E568" t="str">
        <f>"202102221739"</f>
        <v>202102221739</v>
      </c>
      <c r="F568" t="str">
        <f>"AC-2020-00251"</f>
        <v>AC-2020-00251</v>
      </c>
      <c r="G568" s="3">
        <v>65</v>
      </c>
      <c r="H568" t="str">
        <f>"AC-2020-00251"</f>
        <v>AC-2020-00251</v>
      </c>
    </row>
    <row r="569" spans="1:8" x14ac:dyDescent="0.25">
      <c r="A569" t="s">
        <v>173</v>
      </c>
      <c r="B569">
        <v>134712</v>
      </c>
      <c r="C569" s="3">
        <v>130</v>
      </c>
      <c r="D569" s="6">
        <v>44253</v>
      </c>
      <c r="E569" t="str">
        <f>"202102221738"</f>
        <v>202102221738</v>
      </c>
      <c r="F569" t="str">
        <f>"AC-2021-00182"</f>
        <v>AC-2021-00182</v>
      </c>
      <c r="G569" s="3">
        <v>130</v>
      </c>
      <c r="H569" t="str">
        <f>"AC-2021-00182"</f>
        <v>AC-2021-00182</v>
      </c>
    </row>
    <row r="570" spans="1:8" x14ac:dyDescent="0.25">
      <c r="A570" t="s">
        <v>174</v>
      </c>
      <c r="B570">
        <v>134713</v>
      </c>
      <c r="C570" s="3">
        <v>90</v>
      </c>
      <c r="D570" s="6">
        <v>44253</v>
      </c>
      <c r="E570" t="str">
        <f>"202102231766"</f>
        <v>202102231766</v>
      </c>
      <c r="F570" t="str">
        <f>"PER DIEM FOR TRAINING"</f>
        <v>PER DIEM FOR TRAINING</v>
      </c>
      <c r="G570" s="3">
        <v>90</v>
      </c>
      <c r="H570" t="str">
        <f>"PER DIEM FOR TRAINING"</f>
        <v>PER DIEM FOR TRAINING</v>
      </c>
    </row>
    <row r="571" spans="1:8" x14ac:dyDescent="0.25">
      <c r="A571" t="s">
        <v>175</v>
      </c>
      <c r="B571">
        <v>4028</v>
      </c>
      <c r="C571" s="3">
        <v>2000</v>
      </c>
      <c r="D571" s="6">
        <v>44254</v>
      </c>
      <c r="E571" t="str">
        <f>"202102091671"</f>
        <v>202102091671</v>
      </c>
      <c r="F571" t="str">
        <f>"403099-9"</f>
        <v>403099-9</v>
      </c>
      <c r="G571" s="3">
        <v>400</v>
      </c>
      <c r="H571" t="str">
        <f>"403099-9"</f>
        <v>403099-9</v>
      </c>
    </row>
    <row r="572" spans="1:8" x14ac:dyDescent="0.25">
      <c r="E572" t="str">
        <f>"202102091672"</f>
        <v>202102091672</v>
      </c>
      <c r="F572" t="str">
        <f>"16004-16005"</f>
        <v>16004-16005</v>
      </c>
      <c r="G572" s="3">
        <v>900</v>
      </c>
      <c r="H572" t="str">
        <f>"16004-16005"</f>
        <v>16004-16005</v>
      </c>
    </row>
    <row r="573" spans="1:8" x14ac:dyDescent="0.25">
      <c r="E573" t="str">
        <f>"202102091673"</f>
        <v>202102091673</v>
      </c>
      <c r="F573" t="str">
        <f>"16593"</f>
        <v>16593</v>
      </c>
      <c r="G573" s="3">
        <v>700</v>
      </c>
      <c r="H573" t="str">
        <f>"16593"</f>
        <v>16593</v>
      </c>
    </row>
    <row r="574" spans="1:8" x14ac:dyDescent="0.25">
      <c r="A574" t="s">
        <v>176</v>
      </c>
      <c r="B574">
        <v>134597</v>
      </c>
      <c r="C574" s="3">
        <v>3869.65</v>
      </c>
      <c r="D574" s="6">
        <v>44235</v>
      </c>
      <c r="E574" t="str">
        <f>"202102021550"</f>
        <v>202102021550</v>
      </c>
      <c r="F574" t="str">
        <f>"JP1053020205"</f>
        <v>JP1053020205</v>
      </c>
      <c r="G574" s="3">
        <v>125</v>
      </c>
      <c r="H574" t="str">
        <f>"JP1053020205"</f>
        <v>JP1053020205</v>
      </c>
    </row>
    <row r="575" spans="1:8" x14ac:dyDescent="0.25">
      <c r="E575" t="str">
        <f>"202102021551"</f>
        <v>202102021551</v>
      </c>
      <c r="F575" t="str">
        <f>"02-07035"</f>
        <v>02-07035</v>
      </c>
      <c r="G575" s="3">
        <v>125</v>
      </c>
      <c r="H575" t="str">
        <f>"02-07035"</f>
        <v>02-07035</v>
      </c>
    </row>
    <row r="576" spans="1:8" x14ac:dyDescent="0.25">
      <c r="E576" t="str">
        <f>"202102021552"</f>
        <v>202102021552</v>
      </c>
      <c r="F576" t="str">
        <f>"02-07034"</f>
        <v>02-07034</v>
      </c>
      <c r="G576" s="3">
        <v>125</v>
      </c>
      <c r="H576" t="str">
        <f>"02-07034"</f>
        <v>02-07034</v>
      </c>
    </row>
    <row r="577" spans="1:8" x14ac:dyDescent="0.25">
      <c r="E577" t="str">
        <f>"202102021553"</f>
        <v>202102021553</v>
      </c>
      <c r="F577" t="str">
        <f>"07-07035"</f>
        <v>07-07035</v>
      </c>
      <c r="G577" s="3">
        <v>125</v>
      </c>
      <c r="H577" t="str">
        <f>"07-07035"</f>
        <v>07-07035</v>
      </c>
    </row>
    <row r="578" spans="1:8" x14ac:dyDescent="0.25">
      <c r="E578" t="str">
        <f>"202102021554"</f>
        <v>202102021554</v>
      </c>
      <c r="F578" t="str">
        <f>"423-2327"</f>
        <v>423-2327</v>
      </c>
      <c r="G578" s="3">
        <v>351</v>
      </c>
      <c r="H578" t="str">
        <f>"423-2327"</f>
        <v>423-2327</v>
      </c>
    </row>
    <row r="579" spans="1:8" x14ac:dyDescent="0.25">
      <c r="E579" t="str">
        <f>"202102021555"</f>
        <v>202102021555</v>
      </c>
      <c r="F579" t="str">
        <f>"0207034/20503490"</f>
        <v>0207034/20503490</v>
      </c>
      <c r="G579" s="3">
        <v>125</v>
      </c>
      <c r="H579" t="str">
        <f>"0207034/20503490"</f>
        <v>0207034/20503490</v>
      </c>
    </row>
    <row r="580" spans="1:8" x14ac:dyDescent="0.25">
      <c r="E580" t="str">
        <f>"202102021556"</f>
        <v>202102021556</v>
      </c>
      <c r="F580" t="str">
        <f>"JP1053020205"</f>
        <v>JP1053020205</v>
      </c>
      <c r="G580" s="3">
        <v>125</v>
      </c>
      <c r="H580" t="str">
        <f>"JP1053020205"</f>
        <v>JP1053020205</v>
      </c>
    </row>
    <row r="581" spans="1:8" x14ac:dyDescent="0.25">
      <c r="E581" t="str">
        <f>"202102021557"</f>
        <v>202102021557</v>
      </c>
      <c r="F581" t="str">
        <f>"18-18836"</f>
        <v>18-18836</v>
      </c>
      <c r="G581" s="3">
        <v>694.15</v>
      </c>
      <c r="H581" t="str">
        <f>"18-18836"</f>
        <v>18-18836</v>
      </c>
    </row>
    <row r="582" spans="1:8" x14ac:dyDescent="0.25">
      <c r="E582" t="str">
        <f>"202102021558"</f>
        <v>202102021558</v>
      </c>
      <c r="F582" t="str">
        <f>"20-20454"</f>
        <v>20-20454</v>
      </c>
      <c r="G582" s="3">
        <v>1025.5</v>
      </c>
      <c r="H582" t="str">
        <f>"20-20454"</f>
        <v>20-20454</v>
      </c>
    </row>
    <row r="583" spans="1:8" x14ac:dyDescent="0.25">
      <c r="E583" t="str">
        <f>"202102021559"</f>
        <v>202102021559</v>
      </c>
      <c r="F583" t="str">
        <f>"20-20482"</f>
        <v>20-20482</v>
      </c>
      <c r="G583" s="3">
        <v>673.25</v>
      </c>
      <c r="H583" t="str">
        <f>"20-20482"</f>
        <v>20-20482</v>
      </c>
    </row>
    <row r="584" spans="1:8" x14ac:dyDescent="0.25">
      <c r="E584" t="str">
        <f>"202102021560"</f>
        <v>202102021560</v>
      </c>
      <c r="F584" t="str">
        <f>"19-20022"</f>
        <v>19-20022</v>
      </c>
      <c r="G584" s="3">
        <v>236.25</v>
      </c>
      <c r="H584" t="str">
        <f>"19-20022"</f>
        <v>19-20022</v>
      </c>
    </row>
    <row r="585" spans="1:8" x14ac:dyDescent="0.25">
      <c r="E585" t="str">
        <f>"202102021561"</f>
        <v>202102021561</v>
      </c>
      <c r="F585" t="str">
        <f>"20-20060"</f>
        <v>20-20060</v>
      </c>
      <c r="G585" s="3">
        <v>139.5</v>
      </c>
      <c r="H585" t="str">
        <f>"20-20060"</f>
        <v>20-20060</v>
      </c>
    </row>
    <row r="586" spans="1:8" x14ac:dyDescent="0.25">
      <c r="A586" t="s">
        <v>177</v>
      </c>
      <c r="B586">
        <v>3939</v>
      </c>
      <c r="C586" s="3">
        <v>2717</v>
      </c>
      <c r="D586" s="6">
        <v>44236</v>
      </c>
      <c r="E586" t="str">
        <f>"401"</f>
        <v>401</v>
      </c>
      <c r="F586" t="str">
        <f>"TOWER RENTAL"</f>
        <v>TOWER RENTAL</v>
      </c>
      <c r="G586" s="3">
        <v>2717</v>
      </c>
      <c r="H586" t="str">
        <f>"TOWER RENTAL"</f>
        <v>TOWER RENTAL</v>
      </c>
    </row>
    <row r="587" spans="1:8" x14ac:dyDescent="0.25">
      <c r="A587" t="s">
        <v>178</v>
      </c>
      <c r="B587">
        <v>3913</v>
      </c>
      <c r="C587" s="3">
        <v>48</v>
      </c>
      <c r="D587" s="6">
        <v>44236</v>
      </c>
      <c r="E587" t="str">
        <f>"202101271371"</f>
        <v>202101271371</v>
      </c>
      <c r="F587" t="str">
        <f>"REIMBURSEMENT/KEVIN UNGER"</f>
        <v>REIMBURSEMENT/KEVIN UNGER</v>
      </c>
      <c r="G587" s="3">
        <v>48</v>
      </c>
      <c r="H587" t="str">
        <f>"REIMBURSEMENT/KEVIN UNGER"</f>
        <v>REIMBURSEMENT/KEVIN UNGER</v>
      </c>
    </row>
    <row r="588" spans="1:8" x14ac:dyDescent="0.25">
      <c r="A588" t="s">
        <v>179</v>
      </c>
      <c r="B588">
        <v>134598</v>
      </c>
      <c r="C588" s="3">
        <v>509.54</v>
      </c>
      <c r="D588" s="6">
        <v>44235</v>
      </c>
      <c r="E588" t="str">
        <f>"271096"</f>
        <v>271096</v>
      </c>
      <c r="F588" t="str">
        <f>"ACCT#BASC01/PCT#1"</f>
        <v>ACCT#BASC01/PCT#1</v>
      </c>
      <c r="G588" s="3">
        <v>509.54</v>
      </c>
      <c r="H588" t="str">
        <f>"ACCT#BASC01/PCT#1"</f>
        <v>ACCT#BASC01/PCT#1</v>
      </c>
    </row>
    <row r="589" spans="1:8" x14ac:dyDescent="0.25">
      <c r="A589" t="s">
        <v>179</v>
      </c>
      <c r="B589">
        <v>134714</v>
      </c>
      <c r="C589" s="3">
        <v>125.81</v>
      </c>
      <c r="D589" s="6">
        <v>44253</v>
      </c>
      <c r="E589" t="str">
        <f>"271223"</f>
        <v>271223</v>
      </c>
      <c r="F589" t="str">
        <f>"CREDIT FOR KIT RETURN/PCT#1"</f>
        <v>CREDIT FOR KIT RETURN/PCT#1</v>
      </c>
      <c r="G589" s="3">
        <v>-50.4</v>
      </c>
      <c r="H589" t="str">
        <f>"CREDIT FOR KIT RETURN/PCT#1"</f>
        <v>CREDIT FOR KIT RETURN/PCT#1</v>
      </c>
    </row>
    <row r="590" spans="1:8" x14ac:dyDescent="0.25">
      <c r="E590" t="str">
        <f>"271147"</f>
        <v>271147</v>
      </c>
      <c r="F590" t="str">
        <f>"ACCT#BASCO1/PCT#1"</f>
        <v>ACCT#BASCO1/PCT#1</v>
      </c>
      <c r="G590" s="3">
        <v>88.76</v>
      </c>
      <c r="H590" t="str">
        <f>"ACCT#BASCO1/PCT#1"</f>
        <v>ACCT#BASCO1/PCT#1</v>
      </c>
    </row>
    <row r="591" spans="1:8" x14ac:dyDescent="0.25">
      <c r="E591" t="str">
        <f>"W099559"</f>
        <v>W099559</v>
      </c>
      <c r="F591" t="str">
        <f>"BASCO1/PCT#1"</f>
        <v>BASCO1/PCT#1</v>
      </c>
      <c r="G591" s="3">
        <v>87.45</v>
      </c>
      <c r="H591" t="str">
        <f>"BASCO1/PCT#1"</f>
        <v>BASCO1/PCT#1</v>
      </c>
    </row>
    <row r="592" spans="1:8" x14ac:dyDescent="0.25">
      <c r="A592" t="s">
        <v>180</v>
      </c>
      <c r="B592">
        <v>3903</v>
      </c>
      <c r="C592" s="3">
        <v>257.83</v>
      </c>
      <c r="D592" s="6">
        <v>44236</v>
      </c>
      <c r="E592" t="str">
        <f>"822793"</f>
        <v>822793</v>
      </c>
      <c r="F592" t="str">
        <f>"CUST#101517/JOB#88928"</f>
        <v>CUST#101517/JOB#88928</v>
      </c>
      <c r="G592" s="3">
        <v>257.83</v>
      </c>
      <c r="H592" t="str">
        <f>"CUST#101517/JOB#88928"</f>
        <v>CUST#101517/JOB#88928</v>
      </c>
    </row>
    <row r="593" spans="1:8" x14ac:dyDescent="0.25">
      <c r="A593" t="s">
        <v>181</v>
      </c>
      <c r="B593">
        <v>134715</v>
      </c>
      <c r="C593" s="3">
        <v>10497.97</v>
      </c>
      <c r="D593" s="6">
        <v>44253</v>
      </c>
      <c r="E593" t="str">
        <f>"202102111700"</f>
        <v>202102111700</v>
      </c>
      <c r="F593" t="str">
        <f>"LABOR/PCT#1"</f>
        <v>LABOR/PCT#1</v>
      </c>
      <c r="G593" s="3">
        <v>37.799999999999997</v>
      </c>
      <c r="H593" t="str">
        <f>"LABOR/PCT#1"</f>
        <v>LABOR/PCT#1</v>
      </c>
    </row>
    <row r="594" spans="1:8" x14ac:dyDescent="0.25">
      <c r="E594" t="str">
        <f>"R301014156"</f>
        <v>R301014156</v>
      </c>
      <c r="F594" t="str">
        <f>"ENGINE SERVICE/PCT#1"</f>
        <v>ENGINE SERVICE/PCT#1</v>
      </c>
      <c r="G594" s="3">
        <v>10460.17</v>
      </c>
      <c r="H594" t="str">
        <f>"ENGINE SERVICE/PCT#1"</f>
        <v>ENGINE SERVICE/PCT#1</v>
      </c>
    </row>
    <row r="595" spans="1:8" x14ac:dyDescent="0.25">
      <c r="A595" t="s">
        <v>182</v>
      </c>
      <c r="B595">
        <v>134716</v>
      </c>
      <c r="C595" s="3">
        <v>1534.14</v>
      </c>
      <c r="D595" s="6">
        <v>44253</v>
      </c>
      <c r="E595" t="str">
        <f>"195331863"</f>
        <v>195331863</v>
      </c>
      <c r="F595" t="str">
        <f>"ACCT#1645"</f>
        <v>ACCT#1645</v>
      </c>
      <c r="G595" s="3">
        <v>68.81</v>
      </c>
      <c r="H595" t="str">
        <f>"ACCT#1645"</f>
        <v>ACCT#1645</v>
      </c>
    </row>
    <row r="596" spans="1:8" x14ac:dyDescent="0.25">
      <c r="E596" t="str">
        <f>"202102091652"</f>
        <v>202102091652</v>
      </c>
      <c r="F596" t="str">
        <f>"ACCT#1800/PCT#4"</f>
        <v>ACCT#1800/PCT#4</v>
      </c>
      <c r="G596" s="3">
        <v>629.35</v>
      </c>
      <c r="H596" t="str">
        <f>"ACCT#1800/PCT#4"</f>
        <v>ACCT#1800/PCT#4</v>
      </c>
    </row>
    <row r="597" spans="1:8" x14ac:dyDescent="0.25">
      <c r="E597" t="str">
        <f>"202102101696"</f>
        <v>202102101696</v>
      </c>
      <c r="F597" t="str">
        <f>"ACCT#1750/PCT#3"</f>
        <v>ACCT#1750/PCT#3</v>
      </c>
      <c r="G597" s="3">
        <v>99.26</v>
      </c>
      <c r="H597" t="str">
        <f>"ACCT#1750/PCT#3"</f>
        <v>ACCT#1750/PCT#3</v>
      </c>
    </row>
    <row r="598" spans="1:8" x14ac:dyDescent="0.25">
      <c r="E598" t="str">
        <f>"202102101697"</f>
        <v>202102101697</v>
      </c>
      <c r="F598" t="str">
        <f>"ACCT#1650/PCT#1"</f>
        <v>ACCT#1650/PCT#1</v>
      </c>
      <c r="G598" s="3">
        <v>736.72</v>
      </c>
      <c r="H598" t="str">
        <f>"ACCT#1650/PCT#1"</f>
        <v>ACCT#1650/PCT#1</v>
      </c>
    </row>
    <row r="599" spans="1:8" x14ac:dyDescent="0.25">
      <c r="A599" t="s">
        <v>183</v>
      </c>
      <c r="B599">
        <v>3898</v>
      </c>
      <c r="C599" s="3">
        <v>1991.84</v>
      </c>
      <c r="D599" s="6">
        <v>44236</v>
      </c>
      <c r="E599" t="str">
        <f>"01209877"</f>
        <v>01209877</v>
      </c>
      <c r="F599" t="str">
        <f>"INV 01209877"</f>
        <v>INV 01209877</v>
      </c>
      <c r="G599" s="3">
        <v>1991.84</v>
      </c>
      <c r="H599" t="str">
        <f>"INV 01209877"</f>
        <v>INV 01209877</v>
      </c>
    </row>
    <row r="600" spans="1:8" x14ac:dyDescent="0.25">
      <c r="E600" t="str">
        <f>""</f>
        <v/>
      </c>
      <c r="F600" t="str">
        <f>""</f>
        <v/>
      </c>
      <c r="H600" t="str">
        <f>"INV 01279503"</f>
        <v>INV 01279503</v>
      </c>
    </row>
    <row r="601" spans="1:8" x14ac:dyDescent="0.25">
      <c r="A601" t="s">
        <v>183</v>
      </c>
      <c r="B601">
        <v>3971</v>
      </c>
      <c r="C601" s="3">
        <v>1917.67</v>
      </c>
      <c r="D601" s="6">
        <v>44254</v>
      </c>
      <c r="E601" t="str">
        <f>"02038547"</f>
        <v>02038547</v>
      </c>
      <c r="F601" t="str">
        <f>"INV 02038547"</f>
        <v>INV 02038547</v>
      </c>
      <c r="G601" s="3">
        <v>1917.67</v>
      </c>
      <c r="H601" t="str">
        <f>"INV 02038547"</f>
        <v>INV 02038547</v>
      </c>
    </row>
    <row r="602" spans="1:8" x14ac:dyDescent="0.25">
      <c r="E602" t="str">
        <f>""</f>
        <v/>
      </c>
      <c r="F602" t="str">
        <f>""</f>
        <v/>
      </c>
      <c r="H602" t="str">
        <f>"INV 02107436"</f>
        <v>INV 02107436</v>
      </c>
    </row>
    <row r="603" spans="1:8" x14ac:dyDescent="0.25">
      <c r="A603" t="s">
        <v>184</v>
      </c>
      <c r="B603">
        <v>3927</v>
      </c>
      <c r="C603" s="3">
        <v>150</v>
      </c>
      <c r="D603" s="6">
        <v>44236</v>
      </c>
      <c r="E603" t="str">
        <f>"156908"</f>
        <v>156908</v>
      </c>
      <c r="F603" t="str">
        <f>"CLEANING/ L. ROBERTSON/PCT#2"</f>
        <v>CLEANING/ L. ROBERTSON/PCT#2</v>
      </c>
      <c r="G603" s="3">
        <v>150</v>
      </c>
      <c r="H603" t="str">
        <f>"CLEANING/ L. ROBERTSON/PCT#2"</f>
        <v>CLEANING/ L. ROBERTSON/PCT#2</v>
      </c>
    </row>
    <row r="604" spans="1:8" x14ac:dyDescent="0.25">
      <c r="A604" t="s">
        <v>185</v>
      </c>
      <c r="B604">
        <v>134599</v>
      </c>
      <c r="C604" s="3">
        <v>590</v>
      </c>
      <c r="D604" s="6">
        <v>44235</v>
      </c>
      <c r="E604" t="str">
        <f>"202102031586"</f>
        <v>202102031586</v>
      </c>
      <c r="F604" t="str">
        <f>"TRAINING INV 213074"</f>
        <v>TRAINING INV 213074</v>
      </c>
      <c r="G604" s="3">
        <v>590</v>
      </c>
      <c r="H604" t="str">
        <f>"JUSTIN LOSOYA"</f>
        <v>JUSTIN LOSOYA</v>
      </c>
    </row>
    <row r="605" spans="1:8" x14ac:dyDescent="0.25">
      <c r="E605" t="str">
        <f>""</f>
        <v/>
      </c>
      <c r="F605" t="str">
        <f>""</f>
        <v/>
      </c>
      <c r="H605" t="str">
        <f>"ELISEO SANCHEZ"</f>
        <v>ELISEO SANCHEZ</v>
      </c>
    </row>
    <row r="606" spans="1:8" x14ac:dyDescent="0.25">
      <c r="A606" t="s">
        <v>186</v>
      </c>
      <c r="B606">
        <v>134717</v>
      </c>
      <c r="C606" s="3">
        <v>75</v>
      </c>
      <c r="D606" s="6">
        <v>44253</v>
      </c>
      <c r="E606" t="str">
        <f>"12852"</f>
        <v>12852</v>
      </c>
      <c r="F606" t="str">
        <f>"SERVICE"</f>
        <v>SERVICE</v>
      </c>
      <c r="G606" s="3">
        <v>75</v>
      </c>
      <c r="H606" t="str">
        <f>"SERVICE"</f>
        <v>SERVICE</v>
      </c>
    </row>
    <row r="607" spans="1:8" x14ac:dyDescent="0.25">
      <c r="A607" t="s">
        <v>187</v>
      </c>
      <c r="B607">
        <v>134527</v>
      </c>
      <c r="C607" s="3">
        <v>50.25</v>
      </c>
      <c r="D607" s="6">
        <v>44231</v>
      </c>
      <c r="E607" t="str">
        <f>"202102031607"</f>
        <v>202102031607</v>
      </c>
      <c r="F607" t="str">
        <f>"ACCT#1-09-00072-02  / 01252021"</f>
        <v>ACCT#1-09-00072-02  / 01252021</v>
      </c>
      <c r="G607" s="3">
        <v>50.25</v>
      </c>
      <c r="H607" t="str">
        <f>"ACCT#1-09-00072-02  / 01252021"</f>
        <v>ACCT#1-09-00072-02  / 01252021</v>
      </c>
    </row>
    <row r="608" spans="1:8" x14ac:dyDescent="0.25">
      <c r="A608" t="s">
        <v>188</v>
      </c>
      <c r="B608">
        <v>134718</v>
      </c>
      <c r="C608" s="3">
        <v>766.7</v>
      </c>
      <c r="D608" s="6">
        <v>44253</v>
      </c>
      <c r="E608" t="str">
        <f>"1211621"</f>
        <v>1211621</v>
      </c>
      <c r="F608" t="str">
        <f>"BILL ID#1211621"</f>
        <v>BILL ID#1211621</v>
      </c>
      <c r="G608" s="3">
        <v>208.5</v>
      </c>
      <c r="H608" t="str">
        <f>"BILL ID#1211621"</f>
        <v>BILL ID#1211621</v>
      </c>
    </row>
    <row r="609" spans="1:8" x14ac:dyDescent="0.25">
      <c r="E609" t="str">
        <f>"1361725-202210131"</f>
        <v>1361725-202210131</v>
      </c>
      <c r="F609" t="str">
        <f>"BILL ID#1361725/INDIGENT HEALT"</f>
        <v>BILL ID#1361725/INDIGENT HEALT</v>
      </c>
      <c r="G609" s="3">
        <v>150</v>
      </c>
      <c r="H609" t="str">
        <f>"BILL ID#1361725/INDIGENT HEALT"</f>
        <v>BILL ID#1361725/INDIGENT HEALT</v>
      </c>
    </row>
    <row r="610" spans="1:8" x14ac:dyDescent="0.25">
      <c r="E610" t="str">
        <f>"1394645-20210131"</f>
        <v>1394645-20210131</v>
      </c>
      <c r="F610" t="str">
        <f>"BILL ID#1394645"</f>
        <v>BILL ID#1394645</v>
      </c>
      <c r="G610" s="3">
        <v>50</v>
      </c>
      <c r="H610" t="str">
        <f>"BILL ID#1394645"</f>
        <v>BILL ID#1394645</v>
      </c>
    </row>
    <row r="611" spans="1:8" x14ac:dyDescent="0.25">
      <c r="E611" t="str">
        <f>"1420944-20211031"</f>
        <v>1420944-20211031</v>
      </c>
      <c r="F611" t="str">
        <f>"BILL ID#1420944"</f>
        <v>BILL ID#1420944</v>
      </c>
      <c r="G611" s="3">
        <v>308.2</v>
      </c>
      <c r="H611" t="str">
        <f>"BILL ID#1420944"</f>
        <v>BILL ID#1420944</v>
      </c>
    </row>
    <row r="612" spans="1:8" x14ac:dyDescent="0.25">
      <c r="E612" t="str">
        <f>"1489870-20210131"</f>
        <v>1489870-20210131</v>
      </c>
      <c r="F612" t="str">
        <f>"BILL ID:1489870/DISTRICT CLERK"</f>
        <v>BILL ID:1489870/DISTRICT CLERK</v>
      </c>
      <c r="G612" s="3">
        <v>50</v>
      </c>
      <c r="H612" t="str">
        <f>"BILL ID:1489870/DISTRICT CLERK"</f>
        <v>BILL ID:1489870/DISTRICT CLERK</v>
      </c>
    </row>
    <row r="613" spans="1:8" x14ac:dyDescent="0.25">
      <c r="A613" t="s">
        <v>189</v>
      </c>
      <c r="B613">
        <v>134719</v>
      </c>
      <c r="C613" s="3">
        <v>361.12</v>
      </c>
      <c r="D613" s="6">
        <v>44253</v>
      </c>
      <c r="E613" t="str">
        <f>"1981402"</f>
        <v>1981402</v>
      </c>
      <c r="F613" t="str">
        <f>"ACCT#15717"</f>
        <v>ACCT#15717</v>
      </c>
      <c r="G613" s="3">
        <v>361.12</v>
      </c>
      <c r="H613" t="str">
        <f>"ACCT#15717"</f>
        <v>ACCT#15717</v>
      </c>
    </row>
    <row r="614" spans="1:8" x14ac:dyDescent="0.25">
      <c r="A614" t="s">
        <v>190</v>
      </c>
      <c r="B614">
        <v>3993</v>
      </c>
      <c r="C614" s="3">
        <v>207.17</v>
      </c>
      <c r="D614" s="6">
        <v>44254</v>
      </c>
      <c r="E614" t="str">
        <f>"202102221750"</f>
        <v>202102221750</v>
      </c>
      <c r="F614" t="str">
        <f>"INDIGENT HEALTH"</f>
        <v>INDIGENT HEALTH</v>
      </c>
      <c r="G614" s="3">
        <v>207.17</v>
      </c>
      <c r="H614" t="str">
        <f>"INDIGENT HEALTH"</f>
        <v>INDIGENT HEALTH</v>
      </c>
    </row>
    <row r="615" spans="1:8" x14ac:dyDescent="0.25">
      <c r="E615" t="str">
        <f>""</f>
        <v/>
      </c>
      <c r="F615" t="str">
        <f>""</f>
        <v/>
      </c>
      <c r="H615" t="str">
        <f>"INDIGENT HEALTH"</f>
        <v>INDIGENT HEALTH</v>
      </c>
    </row>
    <row r="616" spans="1:8" x14ac:dyDescent="0.25">
      <c r="E616" t="str">
        <f>""</f>
        <v/>
      </c>
      <c r="F616" t="str">
        <f>""</f>
        <v/>
      </c>
      <c r="H616" t="str">
        <f>"INDIGENT HEALTH"</f>
        <v>INDIGENT HEALTH</v>
      </c>
    </row>
    <row r="617" spans="1:8" x14ac:dyDescent="0.25">
      <c r="A617" t="s">
        <v>191</v>
      </c>
      <c r="B617">
        <v>3990</v>
      </c>
      <c r="C617" s="3">
        <v>1698.62</v>
      </c>
      <c r="D617" s="6">
        <v>44254</v>
      </c>
      <c r="E617" t="str">
        <f>"2021-1034"</f>
        <v>2021-1034</v>
      </c>
      <c r="F617" t="str">
        <f>"INV 2021-1034"</f>
        <v>INV 2021-1034</v>
      </c>
      <c r="G617" s="3">
        <v>1000</v>
      </c>
      <c r="H617" t="str">
        <f>"INV 2021-1034"</f>
        <v>INV 2021-1034</v>
      </c>
    </row>
    <row r="618" spans="1:8" x14ac:dyDescent="0.25">
      <c r="E618" t="str">
        <f>"GL-2014EXPLORER"</f>
        <v>GL-2014EXPLORER</v>
      </c>
      <c r="F618" t="str">
        <f>"INV GL-2014EXPLORER-BCSO"</f>
        <v>INV GL-2014EXPLORER-BCSO</v>
      </c>
      <c r="G618" s="3">
        <v>698.62</v>
      </c>
      <c r="H618" t="str">
        <f>"INV GL-2014EXPLORER-BCSO"</f>
        <v>INV GL-2014EXPLORER-BCSO</v>
      </c>
    </row>
    <row r="619" spans="1:8" x14ac:dyDescent="0.25">
      <c r="A619" t="s">
        <v>192</v>
      </c>
      <c r="B619">
        <v>134600</v>
      </c>
      <c r="C619" s="3">
        <v>79.62</v>
      </c>
      <c r="D619" s="6">
        <v>44235</v>
      </c>
      <c r="E619" t="str">
        <f>"202102031575"</f>
        <v>202102031575</v>
      </c>
      <c r="F619" t="str">
        <f>"JAIL MEDICAL"</f>
        <v>JAIL MEDICAL</v>
      </c>
      <c r="G619" s="3">
        <v>79.62</v>
      </c>
      <c r="H619" t="str">
        <f>"JAIL MEDICAL"</f>
        <v>JAIL MEDICAL</v>
      </c>
    </row>
    <row r="620" spans="1:8" x14ac:dyDescent="0.25">
      <c r="A620" t="s">
        <v>193</v>
      </c>
      <c r="B620">
        <v>3923</v>
      </c>
      <c r="C620" s="3">
        <v>663</v>
      </c>
      <c r="D620" s="6">
        <v>44236</v>
      </c>
      <c r="E620" t="str">
        <f>"202102031597"</f>
        <v>202102031597</v>
      </c>
      <c r="F620" t="str">
        <f>"TRASH REMOVAL 02/01-02/07/P4"</f>
        <v>TRASH REMOVAL 02/01-02/07/P4</v>
      </c>
      <c r="G620" s="3">
        <v>390</v>
      </c>
      <c r="H620" t="str">
        <f>"TRASH REMOVAL 02/01-02/07/P4"</f>
        <v>TRASH REMOVAL 02/01-02/07/P4</v>
      </c>
    </row>
    <row r="621" spans="1:8" x14ac:dyDescent="0.25">
      <c r="E621" t="str">
        <f>"202102031598"</f>
        <v>202102031598</v>
      </c>
      <c r="F621" t="str">
        <f>"TRASH REMOVAL 01/25-01/31/P4"</f>
        <v>TRASH REMOVAL 01/25-01/31/P4</v>
      </c>
      <c r="G621" s="3">
        <v>273</v>
      </c>
      <c r="H621" t="str">
        <f>"TRASH REMOVAL 01/25-01/31/P4"</f>
        <v>TRASH REMOVAL 01/25-01/31/P4</v>
      </c>
    </row>
    <row r="622" spans="1:8" x14ac:dyDescent="0.25">
      <c r="A622" t="s">
        <v>194</v>
      </c>
      <c r="B622">
        <v>134720</v>
      </c>
      <c r="C622" s="3">
        <v>1046.3900000000001</v>
      </c>
      <c r="D622" s="6">
        <v>44253</v>
      </c>
      <c r="E622" t="str">
        <f>"17332336"</f>
        <v>17332336</v>
      </c>
      <c r="F622" t="str">
        <f>"Invoices"</f>
        <v>Invoices</v>
      </c>
      <c r="G622" s="3">
        <v>1046.3900000000001</v>
      </c>
      <c r="H622" t="str">
        <f>"910286"</f>
        <v>910286</v>
      </c>
    </row>
    <row r="623" spans="1:8" x14ac:dyDescent="0.25">
      <c r="E623" t="str">
        <f>""</f>
        <v/>
      </c>
      <c r="F623" t="str">
        <f>""</f>
        <v/>
      </c>
      <c r="H623" t="str">
        <f>"908446"</f>
        <v>908446</v>
      </c>
    </row>
    <row r="624" spans="1:8" x14ac:dyDescent="0.25">
      <c r="E624" t="str">
        <f>""</f>
        <v/>
      </c>
      <c r="F624" t="str">
        <f>""</f>
        <v/>
      </c>
      <c r="H624" t="str">
        <f>"919092"</f>
        <v>919092</v>
      </c>
    </row>
    <row r="625" spans="1:8" x14ac:dyDescent="0.25">
      <c r="E625" t="str">
        <f>""</f>
        <v/>
      </c>
      <c r="F625" t="str">
        <f>""</f>
        <v/>
      </c>
      <c r="H625" t="str">
        <f>"919465"</f>
        <v>919465</v>
      </c>
    </row>
    <row r="626" spans="1:8" x14ac:dyDescent="0.25">
      <c r="E626" t="str">
        <f>""</f>
        <v/>
      </c>
      <c r="F626" t="str">
        <f>""</f>
        <v/>
      </c>
      <c r="H626" t="str">
        <f>"910874"</f>
        <v>910874</v>
      </c>
    </row>
    <row r="627" spans="1:8" x14ac:dyDescent="0.25">
      <c r="E627" t="str">
        <f>""</f>
        <v/>
      </c>
      <c r="F627" t="str">
        <f>""</f>
        <v/>
      </c>
      <c r="H627" t="str">
        <f>"912809"</f>
        <v>912809</v>
      </c>
    </row>
    <row r="628" spans="1:8" x14ac:dyDescent="0.25">
      <c r="A628" t="s">
        <v>195</v>
      </c>
      <c r="B628">
        <v>134601</v>
      </c>
      <c r="C628" s="3">
        <v>500</v>
      </c>
      <c r="D628" s="6">
        <v>44235</v>
      </c>
      <c r="E628" t="str">
        <f>"202102031606"</f>
        <v>202102031606</v>
      </c>
      <c r="F628" t="str">
        <f>"MEMBERSHIP RENEWAL"</f>
        <v>MEMBERSHIP RENEWAL</v>
      </c>
      <c r="G628" s="3">
        <v>500</v>
      </c>
      <c r="H628" t="str">
        <f>"MEMBERSHIP RENEWAL"</f>
        <v>MEMBERSHIP RENEWAL</v>
      </c>
    </row>
    <row r="629" spans="1:8" x14ac:dyDescent="0.25">
      <c r="A629" t="s">
        <v>196</v>
      </c>
      <c r="B629">
        <v>3984</v>
      </c>
      <c r="C629" s="3">
        <v>425</v>
      </c>
      <c r="D629" s="6">
        <v>44254</v>
      </c>
      <c r="E629" t="str">
        <f>"202102091680"</f>
        <v>202102091680</v>
      </c>
      <c r="F629" t="str">
        <f>"2022021"</f>
        <v>2022021</v>
      </c>
      <c r="G629" s="3">
        <v>112.5</v>
      </c>
      <c r="H629" t="str">
        <f>"2022021"</f>
        <v>2022021</v>
      </c>
    </row>
    <row r="630" spans="1:8" x14ac:dyDescent="0.25">
      <c r="E630" t="str">
        <f>"202102091681"</f>
        <v>202102091681</v>
      </c>
      <c r="F630" t="str">
        <f>"2022021"</f>
        <v>2022021</v>
      </c>
      <c r="G630" s="3">
        <v>112.5</v>
      </c>
      <c r="H630" t="str">
        <f>"2022021"</f>
        <v>2022021</v>
      </c>
    </row>
    <row r="631" spans="1:8" x14ac:dyDescent="0.25">
      <c r="E631" t="str">
        <f>"202102111715"</f>
        <v>202102111715</v>
      </c>
      <c r="F631" t="str">
        <f>"2092021"</f>
        <v>2092021</v>
      </c>
      <c r="G631" s="3">
        <v>200</v>
      </c>
      <c r="H631" t="str">
        <f>"2092021"</f>
        <v>2092021</v>
      </c>
    </row>
    <row r="632" spans="1:8" x14ac:dyDescent="0.25">
      <c r="A632" t="s">
        <v>197</v>
      </c>
      <c r="B632">
        <v>3918</v>
      </c>
      <c r="C632" s="3">
        <v>120</v>
      </c>
      <c r="D632" s="6">
        <v>44236</v>
      </c>
      <c r="E632" t="str">
        <f>"202102031594"</f>
        <v>202102031594</v>
      </c>
      <c r="F632" t="str">
        <f>"ARCIT MEMBERSHIP/MARK MEUTH"</f>
        <v>ARCIT MEMBERSHIP/MARK MEUTH</v>
      </c>
      <c r="G632" s="3">
        <v>120</v>
      </c>
      <c r="H632" t="str">
        <f>"ARCIT MEMBERSHIP/MARK MEUTH"</f>
        <v>ARCIT MEMBERSHIP/MARK MEUTH</v>
      </c>
    </row>
    <row r="633" spans="1:8" x14ac:dyDescent="0.25">
      <c r="A633" t="s">
        <v>198</v>
      </c>
      <c r="B633">
        <v>134602</v>
      </c>
      <c r="C633" s="3">
        <v>800</v>
      </c>
      <c r="D633" s="6">
        <v>44235</v>
      </c>
      <c r="E633" t="str">
        <f>"202101271388"</f>
        <v>202101271388</v>
      </c>
      <c r="F633" t="str">
        <f>"423-7331"</f>
        <v>423-7331</v>
      </c>
      <c r="G633" s="3">
        <v>800</v>
      </c>
      <c r="H633" t="str">
        <f>"423-7331"</f>
        <v>423-7331</v>
      </c>
    </row>
    <row r="634" spans="1:8" x14ac:dyDescent="0.25">
      <c r="A634" t="s">
        <v>199</v>
      </c>
      <c r="B634">
        <v>3914</v>
      </c>
      <c r="C634" s="3">
        <v>2618.75</v>
      </c>
      <c r="D634" s="6">
        <v>44236</v>
      </c>
      <c r="E634" t="str">
        <f>"202102021569"</f>
        <v>202102021569</v>
      </c>
      <c r="F634" t="str">
        <f>"20-20056"</f>
        <v>20-20056</v>
      </c>
      <c r="G634" s="3">
        <v>1143.75</v>
      </c>
      <c r="H634" t="str">
        <f>"20-20056"</f>
        <v>20-20056</v>
      </c>
    </row>
    <row r="635" spans="1:8" x14ac:dyDescent="0.25">
      <c r="E635" t="str">
        <f>"202102021570"</f>
        <v>202102021570</v>
      </c>
      <c r="F635" t="str">
        <f>"20-20482"</f>
        <v>20-20482</v>
      </c>
      <c r="G635" s="3">
        <v>775</v>
      </c>
      <c r="H635" t="str">
        <f>"20-20482"</f>
        <v>20-20482</v>
      </c>
    </row>
    <row r="636" spans="1:8" x14ac:dyDescent="0.25">
      <c r="E636" t="str">
        <f>"202102021571"</f>
        <v>202102021571</v>
      </c>
      <c r="F636" t="str">
        <f>"19-19847"</f>
        <v>19-19847</v>
      </c>
      <c r="G636" s="3">
        <v>700</v>
      </c>
      <c r="H636" t="str">
        <f>"19-19847"</f>
        <v>19-19847</v>
      </c>
    </row>
    <row r="637" spans="1:8" x14ac:dyDescent="0.25">
      <c r="A637" t="s">
        <v>200</v>
      </c>
      <c r="B637">
        <v>134603</v>
      </c>
      <c r="C637" s="3">
        <v>95.5</v>
      </c>
      <c r="D637" s="6">
        <v>44235</v>
      </c>
      <c r="E637" t="str">
        <f>"22921677"</f>
        <v>22921677</v>
      </c>
      <c r="F637" t="str">
        <f>"ACCT#S9549/PCT#1"</f>
        <v>ACCT#S9549/PCT#1</v>
      </c>
      <c r="G637" s="3">
        <v>95.5</v>
      </c>
      <c r="H637" t="str">
        <f>"ACCT#S9549/PCT#1"</f>
        <v>ACCT#S9549/PCT#1</v>
      </c>
    </row>
    <row r="638" spans="1:8" x14ac:dyDescent="0.25">
      <c r="A638" t="s">
        <v>200</v>
      </c>
      <c r="B638">
        <v>134721</v>
      </c>
      <c r="C638" s="3">
        <v>329.08</v>
      </c>
      <c r="D638" s="6">
        <v>44253</v>
      </c>
      <c r="E638" t="str">
        <f>"230008258"</f>
        <v>230008258</v>
      </c>
      <c r="F638" t="str">
        <f>"CUST#S9549/PCT#1"</f>
        <v>CUST#S9549/PCT#1</v>
      </c>
      <c r="G638" s="3">
        <v>180</v>
      </c>
      <c r="H638" t="str">
        <f>"CUST#S9549/PCT#1"</f>
        <v>CUST#S9549/PCT#1</v>
      </c>
    </row>
    <row r="639" spans="1:8" x14ac:dyDescent="0.25">
      <c r="E639" t="str">
        <f>"23000877"</f>
        <v>23000877</v>
      </c>
      <c r="F639" t="str">
        <f>"CUST#41472/PCT#1"</f>
        <v>CUST#41472/PCT#1</v>
      </c>
      <c r="G639" s="3">
        <v>29.73</v>
      </c>
      <c r="H639" t="str">
        <f>"CUST#41472/PCT#1"</f>
        <v>CUST#41472/PCT#1</v>
      </c>
    </row>
    <row r="640" spans="1:8" x14ac:dyDescent="0.25">
      <c r="E640" t="str">
        <f>"23000947"</f>
        <v>23000947</v>
      </c>
      <c r="F640" t="str">
        <f>"CUST#45057/PCT#4"</f>
        <v>CUST#45057/PCT#4</v>
      </c>
      <c r="G640" s="3">
        <v>54.73</v>
      </c>
      <c r="H640" t="str">
        <f>"CUST#45057/PCT#4"</f>
        <v>CUST#45057/PCT#4</v>
      </c>
    </row>
    <row r="641" spans="1:8" x14ac:dyDescent="0.25">
      <c r="E641" t="str">
        <f>"23000992"</f>
        <v>23000992</v>
      </c>
      <c r="F641" t="str">
        <f>"INV 23000992"</f>
        <v>INV 23000992</v>
      </c>
      <c r="G641" s="3">
        <v>64.62</v>
      </c>
      <c r="H641" t="str">
        <f>"INV 23000992"</f>
        <v>INV 23000992</v>
      </c>
    </row>
    <row r="642" spans="1:8" x14ac:dyDescent="0.25">
      <c r="A642" t="s">
        <v>201</v>
      </c>
      <c r="B642">
        <v>4019</v>
      </c>
      <c r="C642" s="3">
        <v>17.72</v>
      </c>
      <c r="D642" s="6">
        <v>44254</v>
      </c>
      <c r="E642" t="str">
        <f>"602647"</f>
        <v>602647</v>
      </c>
      <c r="F642" t="str">
        <f>"ORDER#434355/PCT#3"</f>
        <v>ORDER#434355/PCT#3</v>
      </c>
      <c r="G642" s="3">
        <v>17.72</v>
      </c>
      <c r="H642" t="str">
        <f>"ORDER#434355/PCT#3"</f>
        <v>ORDER#434355/PCT#3</v>
      </c>
    </row>
    <row r="643" spans="1:8" x14ac:dyDescent="0.25">
      <c r="A643" t="s">
        <v>202</v>
      </c>
      <c r="B643">
        <v>134604</v>
      </c>
      <c r="C643" s="3">
        <v>13730.53</v>
      </c>
      <c r="D643" s="6">
        <v>44235</v>
      </c>
      <c r="E643" t="str">
        <f>"12552"</f>
        <v>12552</v>
      </c>
      <c r="F643" t="str">
        <f>"ABST FEE"</f>
        <v>ABST FEE</v>
      </c>
      <c r="G643" s="3">
        <v>175</v>
      </c>
      <c r="H643" t="str">
        <f>"ABST FEE"</f>
        <v>ABST FEE</v>
      </c>
    </row>
    <row r="644" spans="1:8" x14ac:dyDescent="0.25">
      <c r="E644" t="str">
        <f>"13570"</f>
        <v>13570</v>
      </c>
      <c r="F644" t="str">
        <f>"ABST FEE/SERVICE FEE"</f>
        <v>ABST FEE/SERVICE FEE</v>
      </c>
      <c r="G644" s="3">
        <v>280</v>
      </c>
      <c r="H644" t="str">
        <f>"ABST FEE/SERVICE FEE"</f>
        <v>ABST FEE/SERVICE FEE</v>
      </c>
    </row>
    <row r="645" spans="1:8" x14ac:dyDescent="0.25">
      <c r="E645" t="str">
        <f>"202102021441"</f>
        <v>202102021441</v>
      </c>
      <c r="F645" t="str">
        <f>"DELONQUENT TAXES JAN2021"</f>
        <v>DELONQUENT TAXES JAN2021</v>
      </c>
      <c r="G645" s="3">
        <v>13275.53</v>
      </c>
      <c r="H645" t="str">
        <f>"DELONQUENT TAXES JAN2021"</f>
        <v>DELONQUENT TAXES JAN2021</v>
      </c>
    </row>
    <row r="646" spans="1:8" x14ac:dyDescent="0.25">
      <c r="A646" t="s">
        <v>202</v>
      </c>
      <c r="B646">
        <v>134722</v>
      </c>
      <c r="C646" s="3">
        <v>1383</v>
      </c>
      <c r="D646" s="6">
        <v>44253</v>
      </c>
      <c r="E646" t="str">
        <f>"12852"</f>
        <v>12852</v>
      </c>
      <c r="F646" t="str">
        <f t="shared" ref="F646:F652" si="7">"ABST FEE"</f>
        <v>ABST FEE</v>
      </c>
      <c r="G646" s="3">
        <v>225</v>
      </c>
      <c r="H646" t="str">
        <f t="shared" ref="H646:H652" si="8">"ABST FEE"</f>
        <v>ABST FEE</v>
      </c>
    </row>
    <row r="647" spans="1:8" x14ac:dyDescent="0.25">
      <c r="E647" t="str">
        <f>"12978"</f>
        <v>12978</v>
      </c>
      <c r="F647" t="str">
        <f t="shared" si="7"/>
        <v>ABST FEE</v>
      </c>
      <c r="G647" s="3">
        <v>225</v>
      </c>
      <c r="H647" t="str">
        <f t="shared" si="8"/>
        <v>ABST FEE</v>
      </c>
    </row>
    <row r="648" spans="1:8" x14ac:dyDescent="0.25">
      <c r="E648" t="str">
        <f>"13176"</f>
        <v>13176</v>
      </c>
      <c r="F648" t="str">
        <f t="shared" si="7"/>
        <v>ABST FEE</v>
      </c>
      <c r="G648" s="3">
        <v>100</v>
      </c>
      <c r="H648" t="str">
        <f t="shared" si="8"/>
        <v>ABST FEE</v>
      </c>
    </row>
    <row r="649" spans="1:8" x14ac:dyDescent="0.25">
      <c r="E649" t="str">
        <f>"13241"</f>
        <v>13241</v>
      </c>
      <c r="F649" t="str">
        <f t="shared" si="7"/>
        <v>ABST FEE</v>
      </c>
      <c r="G649" s="3">
        <v>158</v>
      </c>
      <c r="H649" t="str">
        <f t="shared" si="8"/>
        <v>ABST FEE</v>
      </c>
    </row>
    <row r="650" spans="1:8" x14ac:dyDescent="0.25">
      <c r="E650" t="str">
        <f>"13294"</f>
        <v>13294</v>
      </c>
      <c r="F650" t="str">
        <f t="shared" si="7"/>
        <v>ABST FEE</v>
      </c>
      <c r="G650" s="3">
        <v>225</v>
      </c>
      <c r="H650" t="str">
        <f t="shared" si="8"/>
        <v>ABST FEE</v>
      </c>
    </row>
    <row r="651" spans="1:8" x14ac:dyDescent="0.25">
      <c r="E651" t="str">
        <f>"13396"</f>
        <v>13396</v>
      </c>
      <c r="F651" t="str">
        <f t="shared" si="7"/>
        <v>ABST FEE</v>
      </c>
      <c r="G651" s="3">
        <v>225</v>
      </c>
      <c r="H651" t="str">
        <f t="shared" si="8"/>
        <v>ABST FEE</v>
      </c>
    </row>
    <row r="652" spans="1:8" x14ac:dyDescent="0.25">
      <c r="E652" t="str">
        <f>"13584"</f>
        <v>13584</v>
      </c>
      <c r="F652" t="str">
        <f t="shared" si="7"/>
        <v>ABST FEE</v>
      </c>
      <c r="G652" s="3">
        <v>225</v>
      </c>
      <c r="H652" t="str">
        <f t="shared" si="8"/>
        <v>ABST FEE</v>
      </c>
    </row>
    <row r="653" spans="1:8" x14ac:dyDescent="0.25">
      <c r="A653" t="s">
        <v>203</v>
      </c>
      <c r="B653">
        <v>134723</v>
      </c>
      <c r="C653" s="3">
        <v>1763.72</v>
      </c>
      <c r="D653" s="6">
        <v>44253</v>
      </c>
      <c r="E653" t="str">
        <f>"202102221743"</f>
        <v>202102221743</v>
      </c>
      <c r="F653" t="str">
        <f>"INDIGENT HEALTH"</f>
        <v>INDIGENT HEALTH</v>
      </c>
      <c r="G653" s="3">
        <v>1763.72</v>
      </c>
      <c r="H653" t="str">
        <f>"INDIGENT HEALTH"</f>
        <v>INDIGENT HEALTH</v>
      </c>
    </row>
    <row r="654" spans="1:8" x14ac:dyDescent="0.25">
      <c r="A654" t="s">
        <v>204</v>
      </c>
      <c r="B654">
        <v>3994</v>
      </c>
      <c r="C654" s="3">
        <v>636.65</v>
      </c>
      <c r="D654" s="6">
        <v>44254</v>
      </c>
      <c r="E654" t="str">
        <f>"202102221734"</f>
        <v>202102221734</v>
      </c>
      <c r="F654" t="str">
        <f>"REIMBURSEMENT/MEL HAMNER"</f>
        <v>REIMBURSEMENT/MEL HAMNER</v>
      </c>
      <c r="G654" s="3">
        <v>636.65</v>
      </c>
      <c r="H654" t="str">
        <f>"REIMBURSEMENT/MEL HAMNER"</f>
        <v>REIMBURSEMENT/MEL HAMNER</v>
      </c>
    </row>
    <row r="655" spans="1:8" x14ac:dyDescent="0.25">
      <c r="A655" t="s">
        <v>205</v>
      </c>
      <c r="B655">
        <v>3940</v>
      </c>
      <c r="C655" s="3">
        <v>108</v>
      </c>
      <c r="D655" s="6">
        <v>44236</v>
      </c>
      <c r="E655" t="str">
        <f>"21-002"</f>
        <v>21-002</v>
      </c>
      <c r="F655" t="str">
        <f>"17-176"</f>
        <v>17-176</v>
      </c>
      <c r="G655" s="3">
        <v>108</v>
      </c>
      <c r="H655" t="str">
        <f>"17-176"</f>
        <v>17-176</v>
      </c>
    </row>
    <row r="656" spans="1:8" x14ac:dyDescent="0.25">
      <c r="A656" t="s">
        <v>206</v>
      </c>
      <c r="B656">
        <v>3906</v>
      </c>
      <c r="C656" s="3">
        <v>4254.8500000000004</v>
      </c>
      <c r="D656" s="6">
        <v>44236</v>
      </c>
      <c r="E656" t="str">
        <f>"23868"</f>
        <v>23868</v>
      </c>
      <c r="F656" t="str">
        <f>"FREIGHT/PCT#2"</f>
        <v>FREIGHT/PCT#2</v>
      </c>
      <c r="G656" s="3">
        <v>1536</v>
      </c>
      <c r="H656" t="str">
        <f>"FREIGHT/PCT#2"</f>
        <v>FREIGHT/PCT#2</v>
      </c>
    </row>
    <row r="657" spans="1:8" x14ac:dyDescent="0.25">
      <c r="E657" t="str">
        <f>"23906"</f>
        <v>23906</v>
      </c>
      <c r="F657" t="str">
        <f>"FREIGHT SALES/PCT#2"</f>
        <v>FREIGHT SALES/PCT#2</v>
      </c>
      <c r="G657" s="3">
        <v>1400.9</v>
      </c>
      <c r="H657" t="str">
        <f>"FREIGHT SALES/PCT#2"</f>
        <v>FREIGHT SALES/PCT#2</v>
      </c>
    </row>
    <row r="658" spans="1:8" x14ac:dyDescent="0.25">
      <c r="E658" t="str">
        <f>"23956"</f>
        <v>23956</v>
      </c>
      <c r="F658" t="str">
        <f>"FREIGHT SALES/PCT#2"</f>
        <v>FREIGHT SALES/PCT#2</v>
      </c>
      <c r="G658" s="3">
        <v>1317.95</v>
      </c>
      <c r="H658" t="str">
        <f>"FREIGHT SALES/PCT#2"</f>
        <v>FREIGHT SALES/PCT#2</v>
      </c>
    </row>
    <row r="659" spans="1:8" x14ac:dyDescent="0.25">
      <c r="A659" t="s">
        <v>206</v>
      </c>
      <c r="B659">
        <v>3974</v>
      </c>
      <c r="C659" s="3">
        <v>2144.65</v>
      </c>
      <c r="D659" s="6">
        <v>44254</v>
      </c>
      <c r="E659" t="str">
        <f>"24004"</f>
        <v>24004</v>
      </c>
      <c r="F659" t="str">
        <f>"FREIGHT SALES/PCT#2"</f>
        <v>FREIGHT SALES/PCT#2</v>
      </c>
      <c r="G659" s="3">
        <v>2144.65</v>
      </c>
      <c r="H659" t="str">
        <f>"FREIGHT SALES/PCT#2"</f>
        <v>FREIGHT SALES/PCT#2</v>
      </c>
    </row>
    <row r="660" spans="1:8" x14ac:dyDescent="0.25">
      <c r="A660" t="s">
        <v>207</v>
      </c>
      <c r="B660">
        <v>134724</v>
      </c>
      <c r="C660" s="3">
        <v>252.86</v>
      </c>
      <c r="D660" s="6">
        <v>44253</v>
      </c>
      <c r="E660" t="str">
        <f>"202102221751"</f>
        <v>202102221751</v>
      </c>
      <c r="F660" t="str">
        <f>"INDIGENT HEALTH"</f>
        <v>INDIGENT HEALTH</v>
      </c>
      <c r="G660" s="3">
        <v>252.86</v>
      </c>
      <c r="H660" t="str">
        <f>"INDIGENT HEALTH"</f>
        <v>INDIGENT HEALTH</v>
      </c>
    </row>
    <row r="661" spans="1:8" x14ac:dyDescent="0.25">
      <c r="A661" t="s">
        <v>208</v>
      </c>
      <c r="B661">
        <v>3988</v>
      </c>
      <c r="C661" s="3">
        <v>408.06</v>
      </c>
      <c r="D661" s="6">
        <v>44254</v>
      </c>
      <c r="E661" t="str">
        <f>"PART5480153"</f>
        <v>PART5480153</v>
      </c>
      <c r="F661" t="str">
        <f>"ACCT#1006635"</f>
        <v>ACCT#1006635</v>
      </c>
      <c r="G661" s="3">
        <v>408.06</v>
      </c>
      <c r="H661" t="str">
        <f>"ACCT#1006635"</f>
        <v>ACCT#1006635</v>
      </c>
    </row>
    <row r="662" spans="1:8" x14ac:dyDescent="0.25">
      <c r="A662" t="s">
        <v>209</v>
      </c>
      <c r="B662">
        <v>134605</v>
      </c>
      <c r="C662" s="3">
        <v>957.12</v>
      </c>
      <c r="D662" s="6">
        <v>44235</v>
      </c>
      <c r="E662" t="str">
        <f>"6670004922"</f>
        <v>6670004922</v>
      </c>
      <c r="F662" t="str">
        <f>"PAYER#150344157"</f>
        <v>PAYER#150344157</v>
      </c>
      <c r="G662" s="3">
        <v>957.12</v>
      </c>
      <c r="H662" t="str">
        <f>"PAYER#150344157"</f>
        <v>PAYER#150344157</v>
      </c>
    </row>
    <row r="663" spans="1:8" x14ac:dyDescent="0.25">
      <c r="A663" t="s">
        <v>210</v>
      </c>
      <c r="B663">
        <v>134606</v>
      </c>
      <c r="C663" s="3">
        <v>297.5</v>
      </c>
      <c r="D663" s="6">
        <v>44235</v>
      </c>
      <c r="E663" t="str">
        <f>"202102031584"</f>
        <v>202102031584</v>
      </c>
      <c r="F663" t="str">
        <f>"JOB 12-22-20-1"</f>
        <v>JOB 12-22-20-1</v>
      </c>
      <c r="G663" s="3">
        <v>297.5</v>
      </c>
      <c r="H663" t="str">
        <f>"JOB 12-22-20-1"</f>
        <v>JOB 12-22-20-1</v>
      </c>
    </row>
    <row r="664" spans="1:8" x14ac:dyDescent="0.25">
      <c r="A664" t="s">
        <v>211</v>
      </c>
      <c r="B664">
        <v>3893</v>
      </c>
      <c r="C664" s="3">
        <v>3810.7</v>
      </c>
      <c r="D664" s="6">
        <v>44236</v>
      </c>
      <c r="E664" t="str">
        <f>"IN0852926"</f>
        <v>IN0852926</v>
      </c>
      <c r="F664" t="str">
        <f>"INV IN0852926"</f>
        <v>INV IN0852926</v>
      </c>
      <c r="G664" s="3">
        <v>3810.7</v>
      </c>
      <c r="H664" t="str">
        <f>"INV IN0852926"</f>
        <v>INV IN0852926</v>
      </c>
    </row>
    <row r="665" spans="1:8" x14ac:dyDescent="0.25">
      <c r="E665" t="str">
        <f>""</f>
        <v/>
      </c>
      <c r="F665" t="str">
        <f>""</f>
        <v/>
      </c>
      <c r="H665" t="str">
        <f>"CM0912515"</f>
        <v>CM0912515</v>
      </c>
    </row>
    <row r="666" spans="1:8" x14ac:dyDescent="0.25">
      <c r="A666" t="s">
        <v>211</v>
      </c>
      <c r="B666">
        <v>3965</v>
      </c>
      <c r="C666" s="3">
        <v>2725.6</v>
      </c>
      <c r="D666" s="6">
        <v>44254</v>
      </c>
      <c r="E666" t="str">
        <f>"0854552"</f>
        <v>0854552</v>
      </c>
      <c r="F666" t="str">
        <f>"INV IN0854552"</f>
        <v>INV IN0854552</v>
      </c>
      <c r="G666" s="3">
        <v>2725.6</v>
      </c>
      <c r="H666" t="str">
        <f>"INV IN0854552"</f>
        <v>INV IN0854552</v>
      </c>
    </row>
    <row r="667" spans="1:8" x14ac:dyDescent="0.25">
      <c r="A667" t="s">
        <v>212</v>
      </c>
      <c r="B667">
        <v>134607</v>
      </c>
      <c r="C667" s="3">
        <v>174</v>
      </c>
      <c r="D667" s="6">
        <v>44235</v>
      </c>
      <c r="E667" t="str">
        <f>"202102011433"</f>
        <v>202102011433</v>
      </c>
      <c r="F667" t="str">
        <f>"NOTARY LYNDSEY SCHROEDER"</f>
        <v>NOTARY LYNDSEY SCHROEDER</v>
      </c>
      <c r="G667" s="3">
        <v>174</v>
      </c>
      <c r="H667" t="str">
        <f>"NOTARY LYNDSEY SCHROEDER"</f>
        <v>NOTARY LYNDSEY SCHROEDER</v>
      </c>
    </row>
    <row r="668" spans="1:8" x14ac:dyDescent="0.25">
      <c r="A668" t="s">
        <v>213</v>
      </c>
      <c r="B668">
        <v>3949</v>
      </c>
      <c r="C668" s="3">
        <v>59.95</v>
      </c>
      <c r="D668" s="6">
        <v>44236</v>
      </c>
      <c r="E668" t="str">
        <f>"0581-248187"</f>
        <v>0581-248187</v>
      </c>
      <c r="F668" t="str">
        <f>"INV 0581-248187"</f>
        <v>INV 0581-248187</v>
      </c>
      <c r="G668" s="3">
        <v>6.99</v>
      </c>
      <c r="H668" t="str">
        <f>"INV 0581-248187"</f>
        <v>INV 0581-248187</v>
      </c>
    </row>
    <row r="669" spans="1:8" x14ac:dyDescent="0.25">
      <c r="E669" t="str">
        <f>"0581-249983"</f>
        <v>0581-249983</v>
      </c>
      <c r="F669" t="str">
        <f>"INV 0581-249983"</f>
        <v>INV 0581-249983</v>
      </c>
      <c r="G669" s="3">
        <v>17.98</v>
      </c>
      <c r="H669" t="str">
        <f>"INV 0581-249983"</f>
        <v>INV 0581-249983</v>
      </c>
    </row>
    <row r="670" spans="1:8" x14ac:dyDescent="0.25">
      <c r="E670" t="str">
        <f>"0605-405431"</f>
        <v>0605-405431</v>
      </c>
      <c r="F670" t="str">
        <f>"CUST#99088/PCT#4"</f>
        <v>CUST#99088/PCT#4</v>
      </c>
      <c r="G670" s="3">
        <v>34.979999999999997</v>
      </c>
      <c r="H670" t="str">
        <f>"CUST#99088/PCT#4"</f>
        <v>CUST#99088/PCT#4</v>
      </c>
    </row>
    <row r="671" spans="1:8" x14ac:dyDescent="0.25">
      <c r="A671" t="s">
        <v>213</v>
      </c>
      <c r="B671">
        <v>4033</v>
      </c>
      <c r="C671" s="3">
        <v>192.24</v>
      </c>
      <c r="D671" s="6">
        <v>44254</v>
      </c>
      <c r="E671" t="str">
        <f>"0581-252370"</f>
        <v>0581-252370</v>
      </c>
      <c r="F671" t="str">
        <f>"INV MULTIPLE INVOICES"</f>
        <v>INV MULTIPLE INVOICES</v>
      </c>
      <c r="G671" s="3">
        <v>192.24</v>
      </c>
      <c r="H671" t="str">
        <f>"0581-252370"</f>
        <v>0581-252370</v>
      </c>
    </row>
    <row r="672" spans="1:8" x14ac:dyDescent="0.25">
      <c r="E672" t="str">
        <f>""</f>
        <v/>
      </c>
      <c r="F672" t="str">
        <f>""</f>
        <v/>
      </c>
      <c r="H672" t="str">
        <f>"0581-241922"</f>
        <v>0581-241922</v>
      </c>
    </row>
    <row r="673" spans="1:8" x14ac:dyDescent="0.25">
      <c r="E673" t="str">
        <f>""</f>
        <v/>
      </c>
      <c r="F673" t="str">
        <f>""</f>
        <v/>
      </c>
      <c r="H673" t="str">
        <f>"0581-245916"</f>
        <v>0581-245916</v>
      </c>
    </row>
    <row r="674" spans="1:8" x14ac:dyDescent="0.25">
      <c r="E674" t="str">
        <f>""</f>
        <v/>
      </c>
      <c r="F674" t="str">
        <f>""</f>
        <v/>
      </c>
      <c r="H674" t="str">
        <f>"0581-246735"</f>
        <v>0581-246735</v>
      </c>
    </row>
    <row r="675" spans="1:8" x14ac:dyDescent="0.25">
      <c r="A675" t="s">
        <v>214</v>
      </c>
      <c r="B675">
        <v>134725</v>
      </c>
      <c r="C675" s="3">
        <v>1552.6</v>
      </c>
      <c r="D675" s="6">
        <v>44253</v>
      </c>
      <c r="E675" t="str">
        <f>"17332336"</f>
        <v>17332336</v>
      </c>
      <c r="F675" t="str">
        <f>"Statement"</f>
        <v>Statement</v>
      </c>
      <c r="G675" s="3">
        <v>714.11</v>
      </c>
      <c r="H675" t="str">
        <f>"155266202001"</f>
        <v>155266202001</v>
      </c>
    </row>
    <row r="676" spans="1:8" x14ac:dyDescent="0.25">
      <c r="E676" t="str">
        <f>""</f>
        <v/>
      </c>
      <c r="F676" t="str">
        <f>""</f>
        <v/>
      </c>
      <c r="H676" t="str">
        <f>"155151233001"</f>
        <v>155151233001</v>
      </c>
    </row>
    <row r="677" spans="1:8" x14ac:dyDescent="0.25">
      <c r="E677" t="str">
        <f>""</f>
        <v/>
      </c>
      <c r="F677" t="str">
        <f>""</f>
        <v/>
      </c>
      <c r="H677" t="str">
        <f>"149244201001"</f>
        <v>149244201001</v>
      </c>
    </row>
    <row r="678" spans="1:8" x14ac:dyDescent="0.25">
      <c r="E678" t="str">
        <f>""</f>
        <v/>
      </c>
      <c r="F678" t="str">
        <f>""</f>
        <v/>
      </c>
      <c r="H678" t="str">
        <f>"150595733001"</f>
        <v>150595733001</v>
      </c>
    </row>
    <row r="679" spans="1:8" x14ac:dyDescent="0.25">
      <c r="E679" t="str">
        <f>""</f>
        <v/>
      </c>
      <c r="F679" t="str">
        <f>""</f>
        <v/>
      </c>
      <c r="H679" t="str">
        <f>"155563152001"</f>
        <v>155563152001</v>
      </c>
    </row>
    <row r="680" spans="1:8" x14ac:dyDescent="0.25">
      <c r="E680" t="str">
        <f>"17461520"</f>
        <v>17461520</v>
      </c>
      <c r="F680" t="str">
        <f>"Office Depot PO"</f>
        <v>Office Depot PO</v>
      </c>
      <c r="G680" s="3">
        <v>838.49</v>
      </c>
      <c r="H680" t="str">
        <f>"152297011001"</f>
        <v>152297011001</v>
      </c>
    </row>
    <row r="681" spans="1:8" x14ac:dyDescent="0.25">
      <c r="E681" t="str">
        <f>""</f>
        <v/>
      </c>
      <c r="F681" t="str">
        <f>""</f>
        <v/>
      </c>
      <c r="H681" t="str">
        <f>"152105580001"</f>
        <v>152105580001</v>
      </c>
    </row>
    <row r="682" spans="1:8" x14ac:dyDescent="0.25">
      <c r="E682" t="str">
        <f>""</f>
        <v/>
      </c>
      <c r="F682" t="str">
        <f>""</f>
        <v/>
      </c>
      <c r="H682" t="str">
        <f>"155914626001"</f>
        <v>155914626001</v>
      </c>
    </row>
    <row r="683" spans="1:8" x14ac:dyDescent="0.25">
      <c r="E683" t="str">
        <f>""</f>
        <v/>
      </c>
      <c r="F683" t="str">
        <f>""</f>
        <v/>
      </c>
      <c r="H683" t="str">
        <f>"155914626002"</f>
        <v>155914626002</v>
      </c>
    </row>
    <row r="684" spans="1:8" x14ac:dyDescent="0.25">
      <c r="E684" t="str">
        <f>""</f>
        <v/>
      </c>
      <c r="F684" t="str">
        <f>""</f>
        <v/>
      </c>
      <c r="H684" t="str">
        <f>"155915673001"</f>
        <v>155915673001</v>
      </c>
    </row>
    <row r="685" spans="1:8" x14ac:dyDescent="0.25">
      <c r="A685" t="s">
        <v>215</v>
      </c>
      <c r="B685">
        <v>134608</v>
      </c>
      <c r="C685" s="3">
        <v>834</v>
      </c>
      <c r="D685" s="6">
        <v>44235</v>
      </c>
      <c r="E685" t="str">
        <f>"420-001011"</f>
        <v>420-001011</v>
      </c>
      <c r="F685" t="str">
        <f>"4TH QTR ACTIVITY/PCT#1"</f>
        <v>4TH QTR ACTIVITY/PCT#1</v>
      </c>
      <c r="G685" s="3">
        <v>834</v>
      </c>
      <c r="H685" t="str">
        <f>"4TH QTR ACTIVITY/PCT#1"</f>
        <v>4TH QTR ACTIVITY/PCT#1</v>
      </c>
    </row>
    <row r="686" spans="1:8" x14ac:dyDescent="0.25">
      <c r="A686" t="s">
        <v>216</v>
      </c>
      <c r="B686">
        <v>134726</v>
      </c>
      <c r="C686" s="3">
        <v>510</v>
      </c>
      <c r="D686" s="6">
        <v>44253</v>
      </c>
      <c r="E686" t="str">
        <f>"288507"</f>
        <v>288507</v>
      </c>
      <c r="F686" t="str">
        <f>"JAN DRUG TESTING"</f>
        <v>JAN DRUG TESTING</v>
      </c>
      <c r="G686" s="3">
        <v>510</v>
      </c>
      <c r="H686" t="str">
        <f>"JAN DRUG TESTING"</f>
        <v>JAN DRUG TESTING</v>
      </c>
    </row>
    <row r="687" spans="1:8" x14ac:dyDescent="0.25">
      <c r="E687" t="str">
        <f>""</f>
        <v/>
      </c>
      <c r="F687" t="str">
        <f>""</f>
        <v/>
      </c>
      <c r="H687" t="str">
        <f>"JAN DRUG TESTING"</f>
        <v>JAN DRUG TESTING</v>
      </c>
    </row>
    <row r="688" spans="1:8" x14ac:dyDescent="0.25">
      <c r="E688" t="str">
        <f>""</f>
        <v/>
      </c>
      <c r="F688" t="str">
        <f>""</f>
        <v/>
      </c>
      <c r="H688" t="str">
        <f>"JAN DRUG TESTING"</f>
        <v>JAN DRUG TESTING</v>
      </c>
    </row>
    <row r="689" spans="1:8" x14ac:dyDescent="0.25">
      <c r="A689" t="s">
        <v>217</v>
      </c>
      <c r="B689">
        <v>3942</v>
      </c>
      <c r="C689" s="3">
        <v>300</v>
      </c>
      <c r="D689" s="6">
        <v>44236</v>
      </c>
      <c r="E689" t="str">
        <f>"2618"</f>
        <v>2618</v>
      </c>
      <c r="F689" t="str">
        <f>"INV 2618"</f>
        <v>INV 2618</v>
      </c>
      <c r="G689" s="3">
        <v>300</v>
      </c>
      <c r="H689" t="str">
        <f>"INV 2618"</f>
        <v>INV 2618</v>
      </c>
    </row>
    <row r="690" spans="1:8" x14ac:dyDescent="0.25">
      <c r="A690" t="s">
        <v>218</v>
      </c>
      <c r="B690">
        <v>134727</v>
      </c>
      <c r="C690" s="3">
        <v>944</v>
      </c>
      <c r="D690" s="6">
        <v>44253</v>
      </c>
      <c r="E690" t="str">
        <f>"22361"</f>
        <v>22361</v>
      </c>
      <c r="F690" t="str">
        <f>"OSBURN ASSOCIATES INC."</f>
        <v>OSBURN ASSOCIATES INC.</v>
      </c>
      <c r="G690" s="3">
        <v>590</v>
      </c>
      <c r="H690" t="str">
        <f>"4  x 8  Delineators"</f>
        <v>4  x 8  Delineators</v>
      </c>
    </row>
    <row r="691" spans="1:8" x14ac:dyDescent="0.25">
      <c r="E691" t="str">
        <f>"22419"</f>
        <v>22419</v>
      </c>
      <c r="F691" t="str">
        <f>"OSBURN ASSOCIATES INC."</f>
        <v>OSBURN ASSOCIATES INC.</v>
      </c>
      <c r="G691" s="3">
        <v>354</v>
      </c>
      <c r="H691" t="str">
        <f>"Delineators"</f>
        <v>Delineators</v>
      </c>
    </row>
    <row r="692" spans="1:8" x14ac:dyDescent="0.25">
      <c r="A692" t="s">
        <v>219</v>
      </c>
      <c r="B692">
        <v>4007</v>
      </c>
      <c r="C692" s="3">
        <v>145</v>
      </c>
      <c r="D692" s="6">
        <v>44254</v>
      </c>
      <c r="E692" t="str">
        <f>"0000055855"</f>
        <v>0000055855</v>
      </c>
      <c r="F692" t="str">
        <f>"INV 0000055855"</f>
        <v>INV 0000055855</v>
      </c>
      <c r="G692" s="3">
        <v>145</v>
      </c>
      <c r="H692" t="str">
        <f>"INV 0000055855"</f>
        <v>INV 0000055855</v>
      </c>
    </row>
    <row r="693" spans="1:8" x14ac:dyDescent="0.25">
      <c r="A693" t="s">
        <v>220</v>
      </c>
      <c r="B693">
        <v>134728</v>
      </c>
      <c r="C693" s="3">
        <v>56.98</v>
      </c>
      <c r="D693" s="6">
        <v>44253</v>
      </c>
      <c r="E693" t="str">
        <f>"202102101690"</f>
        <v>202102101690</v>
      </c>
      <c r="F693" t="str">
        <f>"ACCT#1137/PCT#4"</f>
        <v>ACCT#1137/PCT#4</v>
      </c>
      <c r="G693" s="3">
        <v>56.98</v>
      </c>
      <c r="H693" t="str">
        <f>"ACCT#1137/PCT#4"</f>
        <v>ACCT#1137/PCT#4</v>
      </c>
    </row>
    <row r="694" spans="1:8" x14ac:dyDescent="0.25">
      <c r="A694" t="s">
        <v>221</v>
      </c>
      <c r="B694">
        <v>3976</v>
      </c>
      <c r="C694" s="3">
        <v>524.5</v>
      </c>
      <c r="D694" s="6">
        <v>44254</v>
      </c>
      <c r="E694" t="str">
        <f>"2008459"</f>
        <v>2008459</v>
      </c>
      <c r="F694" t="str">
        <f>"CC PARK PUMP INSTALL"</f>
        <v>CC PARK PUMP INSTALL</v>
      </c>
      <c r="G694" s="3">
        <v>524.5</v>
      </c>
      <c r="H694" t="str">
        <f>"CC PARK PUMP INSTALL"</f>
        <v>CC PARK PUMP INSTALL</v>
      </c>
    </row>
    <row r="695" spans="1:8" x14ac:dyDescent="0.25">
      <c r="A695" t="s">
        <v>222</v>
      </c>
      <c r="B695">
        <v>134609</v>
      </c>
      <c r="C695" s="3">
        <v>557.42999999999995</v>
      </c>
      <c r="D695" s="6">
        <v>44235</v>
      </c>
      <c r="E695" t="str">
        <f>"202102021509"</f>
        <v>202102021509</v>
      </c>
      <c r="F695" t="str">
        <f>"ACCT#0200140783"</f>
        <v>ACCT#0200140783</v>
      </c>
      <c r="G695" s="3">
        <v>557.42999999999995</v>
      </c>
      <c r="H695" t="str">
        <f>"ACCT#0200140783"</f>
        <v>ACCT#0200140783</v>
      </c>
    </row>
    <row r="696" spans="1:8" x14ac:dyDescent="0.25">
      <c r="E696" t="str">
        <f>""</f>
        <v/>
      </c>
      <c r="F696" t="str">
        <f>""</f>
        <v/>
      </c>
      <c r="H696" t="str">
        <f>"ACCT#0200140783"</f>
        <v>ACCT#0200140783</v>
      </c>
    </row>
    <row r="697" spans="1:8" x14ac:dyDescent="0.25">
      <c r="E697" t="str">
        <f>""</f>
        <v/>
      </c>
      <c r="F697" t="str">
        <f>""</f>
        <v/>
      </c>
      <c r="H697" t="str">
        <f>"ACCT#0200140783"</f>
        <v>ACCT#0200140783</v>
      </c>
    </row>
    <row r="698" spans="1:8" x14ac:dyDescent="0.25">
      <c r="A698" t="s">
        <v>223</v>
      </c>
      <c r="B698">
        <v>134729</v>
      </c>
      <c r="C698" s="3">
        <v>31500</v>
      </c>
      <c r="D698" s="6">
        <v>44253</v>
      </c>
      <c r="E698" t="str">
        <f>"429600"</f>
        <v>429600</v>
      </c>
      <c r="F698" t="str">
        <f>"CLIENT#20442"</f>
        <v>CLIENT#20442</v>
      </c>
      <c r="G698" s="3">
        <v>31500</v>
      </c>
      <c r="H698" t="str">
        <f>"CLIENT#20442"</f>
        <v>CLIENT#20442</v>
      </c>
    </row>
    <row r="699" spans="1:8" x14ac:dyDescent="0.25">
      <c r="A699" t="s">
        <v>224</v>
      </c>
      <c r="B699">
        <v>3900</v>
      </c>
      <c r="C699" s="3">
        <v>455</v>
      </c>
      <c r="D699" s="6">
        <v>44236</v>
      </c>
      <c r="E699" t="str">
        <f>"202102021514"</f>
        <v>202102021514</v>
      </c>
      <c r="F699" t="str">
        <f>"TRASH REMOVAL/PCT#4"</f>
        <v>TRASH REMOVAL/PCT#4</v>
      </c>
      <c r="G699" s="3">
        <v>234</v>
      </c>
      <c r="H699" t="str">
        <f>"TRASH REMOVAL/PCT#4"</f>
        <v>TRASH REMOVAL/PCT#4</v>
      </c>
    </row>
    <row r="700" spans="1:8" x14ac:dyDescent="0.25">
      <c r="E700" t="str">
        <f>"202102021515"</f>
        <v>202102021515</v>
      </c>
      <c r="F700" t="str">
        <f>"TRASH REMOVAL/PCT#4"</f>
        <v>TRASH REMOVAL/PCT#4</v>
      </c>
      <c r="G700" s="3">
        <v>221</v>
      </c>
      <c r="H700" t="str">
        <f>"TRASH REMOVAL/PCT#4"</f>
        <v>TRASH REMOVAL/PCT#4</v>
      </c>
    </row>
    <row r="701" spans="1:8" x14ac:dyDescent="0.25">
      <c r="A701" t="s">
        <v>225</v>
      </c>
      <c r="B701">
        <v>134730</v>
      </c>
      <c r="C701" s="3">
        <v>7536.48</v>
      </c>
      <c r="D701" s="6">
        <v>44253</v>
      </c>
      <c r="E701" t="str">
        <f>"ivc00056546"</f>
        <v>ivc00056546</v>
      </c>
      <c r="F701" t="str">
        <f>"OCT-DEC ATTORNEY FEES/PCT1"</f>
        <v>OCT-DEC ATTORNEY FEES/PCT1</v>
      </c>
      <c r="G701" s="3">
        <v>7536.48</v>
      </c>
      <c r="H701" t="str">
        <f>"OCT-DEC ATTORNEY FEES/PCT1"</f>
        <v>OCT-DEC ATTORNEY FEES/PCT1</v>
      </c>
    </row>
    <row r="702" spans="1:8" x14ac:dyDescent="0.25">
      <c r="A702" t="s">
        <v>226</v>
      </c>
      <c r="B702">
        <v>4021</v>
      </c>
      <c r="C702" s="3">
        <v>992.5</v>
      </c>
      <c r="D702" s="6">
        <v>44254</v>
      </c>
      <c r="E702" t="str">
        <f>"202102241792"</f>
        <v>202102241792</v>
      </c>
      <c r="F702" t="str">
        <f>"20-20527"</f>
        <v>20-20527</v>
      </c>
      <c r="G702" s="3">
        <v>182.5</v>
      </c>
      <c r="H702" t="str">
        <f>"20-20527"</f>
        <v>20-20527</v>
      </c>
    </row>
    <row r="703" spans="1:8" x14ac:dyDescent="0.25">
      <c r="E703" t="str">
        <f>"202102241793"</f>
        <v>202102241793</v>
      </c>
      <c r="F703" t="str">
        <f>"20-20508"</f>
        <v>20-20508</v>
      </c>
      <c r="G703" s="3">
        <v>250</v>
      </c>
      <c r="H703" t="str">
        <f>"20-20508"</f>
        <v>20-20508</v>
      </c>
    </row>
    <row r="704" spans="1:8" x14ac:dyDescent="0.25">
      <c r="E704" t="str">
        <f>"202102241794"</f>
        <v>202102241794</v>
      </c>
      <c r="F704" t="str">
        <f>"20-20337"</f>
        <v>20-20337</v>
      </c>
      <c r="G704" s="3">
        <v>310</v>
      </c>
      <c r="H704" t="str">
        <f>"20-20337"</f>
        <v>20-20337</v>
      </c>
    </row>
    <row r="705" spans="1:8" x14ac:dyDescent="0.25">
      <c r="E705" t="str">
        <f>"202102241795"</f>
        <v>202102241795</v>
      </c>
      <c r="F705" t="str">
        <f>"19-19948"</f>
        <v>19-19948</v>
      </c>
      <c r="G705" s="3">
        <v>250</v>
      </c>
      <c r="H705" t="str">
        <f>"19-19948"</f>
        <v>19-19948</v>
      </c>
    </row>
    <row r="706" spans="1:8" x14ac:dyDescent="0.25">
      <c r="A706" t="s">
        <v>227</v>
      </c>
      <c r="B706">
        <v>134610</v>
      </c>
      <c r="C706" s="3">
        <v>376</v>
      </c>
      <c r="D706" s="6">
        <v>44235</v>
      </c>
      <c r="E706" t="str">
        <f>"003204"</f>
        <v>003204</v>
      </c>
      <c r="F706" t="str">
        <f>"STATE INSPECTIONS/PCT#3"</f>
        <v>STATE INSPECTIONS/PCT#3</v>
      </c>
      <c r="G706" s="3">
        <v>376</v>
      </c>
      <c r="H706" t="str">
        <f>"STATE INSPECTIONS/PCT#3"</f>
        <v>STATE INSPECTIONS/PCT#3</v>
      </c>
    </row>
    <row r="707" spans="1:8" x14ac:dyDescent="0.25">
      <c r="A707" t="s">
        <v>228</v>
      </c>
      <c r="B707">
        <v>3998</v>
      </c>
      <c r="C707" s="3">
        <v>423.05</v>
      </c>
      <c r="D707" s="6">
        <v>44254</v>
      </c>
      <c r="E707" t="str">
        <f>"202102091650"</f>
        <v>202102091650</v>
      </c>
      <c r="F707" t="str">
        <f>"ACE HARDWARE/PCT#4"</f>
        <v>ACE HARDWARE/PCT#4</v>
      </c>
      <c r="G707" s="3">
        <v>423.05</v>
      </c>
      <c r="H707" t="str">
        <f>"ACE HARDWARE/PCT#4"</f>
        <v>ACE HARDWARE/PCT#4</v>
      </c>
    </row>
    <row r="708" spans="1:8" x14ac:dyDescent="0.25">
      <c r="E708" t="str">
        <f>""</f>
        <v/>
      </c>
      <c r="F708" t="str">
        <f>""</f>
        <v/>
      </c>
      <c r="H708" t="str">
        <f>"ACE HARDWARE/PCT#4"</f>
        <v>ACE HARDWARE/PCT#4</v>
      </c>
    </row>
    <row r="709" spans="1:8" x14ac:dyDescent="0.25">
      <c r="A709" t="s">
        <v>229</v>
      </c>
      <c r="B709">
        <v>134731</v>
      </c>
      <c r="C709" s="3">
        <v>56</v>
      </c>
      <c r="D709" s="6">
        <v>44253</v>
      </c>
      <c r="E709" t="str">
        <f>"202102091648"</f>
        <v>202102091648</v>
      </c>
      <c r="F709" t="str">
        <f>"PO BOX/ RAYMAH DAVIS"</f>
        <v>PO BOX/ RAYMAH DAVIS</v>
      </c>
      <c r="G709" s="3">
        <v>56</v>
      </c>
      <c r="H709" t="str">
        <f>"PO BOX/ RAYMAH DAVIS"</f>
        <v>PO BOX/ RAYMAH DAVIS</v>
      </c>
    </row>
    <row r="710" spans="1:8" x14ac:dyDescent="0.25">
      <c r="A710" t="s">
        <v>230</v>
      </c>
      <c r="B710">
        <v>134732</v>
      </c>
      <c r="C710" s="3">
        <v>787.19</v>
      </c>
      <c r="D710" s="6">
        <v>44253</v>
      </c>
      <c r="E710" t="str">
        <f>"202102231784"</f>
        <v>202102231784</v>
      </c>
      <c r="F710" t="str">
        <f>"ACCT#8850283308/PCT#1"</f>
        <v>ACCT#8850283308/PCT#1</v>
      </c>
      <c r="G710" s="3">
        <v>47.18</v>
      </c>
      <c r="H710" t="str">
        <f>"ACCT#8850283308/PCT#1"</f>
        <v>ACCT#8850283308/PCT#1</v>
      </c>
    </row>
    <row r="711" spans="1:8" x14ac:dyDescent="0.25">
      <c r="E711" t="str">
        <f>"202102231785"</f>
        <v>202102231785</v>
      </c>
      <c r="F711" t="str">
        <f>"ACCT#8850283308/PCT#2"</f>
        <v>ACCT#8850283308/PCT#2</v>
      </c>
      <c r="G711" s="3">
        <v>740.01</v>
      </c>
      <c r="H711" t="str">
        <f>"ACCT#8850283308/PCT#2"</f>
        <v>ACCT#8850283308/PCT#2</v>
      </c>
    </row>
    <row r="712" spans="1:8" x14ac:dyDescent="0.25">
      <c r="A712" t="s">
        <v>231</v>
      </c>
      <c r="B712">
        <v>134654</v>
      </c>
      <c r="C712" s="3">
        <v>2880</v>
      </c>
      <c r="D712" s="6">
        <v>44236</v>
      </c>
      <c r="E712" t="str">
        <f>"2020-CONTRACT-1"</f>
        <v>2020-CONTRACT-1</v>
      </c>
      <c r="F712" t="str">
        <f>"ACCT#10-4300-273048"</f>
        <v>ACCT#10-4300-273048</v>
      </c>
      <c r="G712" s="3">
        <v>2880</v>
      </c>
      <c r="H712" t="str">
        <f>"ACCT#10-4300-273048"</f>
        <v>ACCT#10-4300-273048</v>
      </c>
    </row>
    <row r="713" spans="1:8" x14ac:dyDescent="0.25">
      <c r="A713" t="s">
        <v>232</v>
      </c>
      <c r="B713">
        <v>134733</v>
      </c>
      <c r="C713" s="3">
        <v>368.5</v>
      </c>
      <c r="D713" s="6">
        <v>44253</v>
      </c>
      <c r="E713" t="str">
        <f>"336652"</f>
        <v>336652</v>
      </c>
      <c r="F713" t="str">
        <f>"ANNUAL MAINTENANCE/PCT#2"</f>
        <v>ANNUAL MAINTENANCE/PCT#2</v>
      </c>
      <c r="G713" s="3">
        <v>368.5</v>
      </c>
      <c r="H713" t="str">
        <f>"ANNUAL MAINTENANCE/PCT#2"</f>
        <v>ANNUAL MAINTENANCE/PCT#2</v>
      </c>
    </row>
    <row r="714" spans="1:8" x14ac:dyDescent="0.25">
      <c r="A714" t="s">
        <v>233</v>
      </c>
      <c r="B714">
        <v>134734</v>
      </c>
      <c r="C714" s="3">
        <v>30.68</v>
      </c>
      <c r="D714" s="6">
        <v>44253</v>
      </c>
      <c r="E714" t="str">
        <f>"202102221752"</f>
        <v>202102221752</v>
      </c>
      <c r="F714" t="str">
        <f>"INDIGENT HEALTH"</f>
        <v>INDIGENT HEALTH</v>
      </c>
      <c r="G714" s="3">
        <v>30.68</v>
      </c>
      <c r="H714" t="str">
        <f>"INDIGENT HEALTH"</f>
        <v>INDIGENT HEALTH</v>
      </c>
    </row>
    <row r="715" spans="1:8" x14ac:dyDescent="0.25">
      <c r="A715" t="s">
        <v>234</v>
      </c>
      <c r="B715">
        <v>134611</v>
      </c>
      <c r="C715" s="3">
        <v>292</v>
      </c>
      <c r="D715" s="6">
        <v>44235</v>
      </c>
      <c r="E715" t="str">
        <f>"047585"</f>
        <v>047585</v>
      </c>
      <c r="F715" t="str">
        <f>"INV 047585"</f>
        <v>INV 047585</v>
      </c>
      <c r="G715" s="3">
        <v>292</v>
      </c>
      <c r="H715" t="str">
        <f>"INV 047585"</f>
        <v>INV 047585</v>
      </c>
    </row>
    <row r="716" spans="1:8" x14ac:dyDescent="0.25">
      <c r="A716" t="s">
        <v>235</v>
      </c>
      <c r="B716">
        <v>134612</v>
      </c>
      <c r="C716" s="3">
        <v>35.700000000000003</v>
      </c>
      <c r="D716" s="6">
        <v>44235</v>
      </c>
      <c r="E716" t="str">
        <f>"202102031603"</f>
        <v>202102031603</v>
      </c>
      <c r="F716" t="str">
        <f>"REIMBURSE INK"</f>
        <v>REIMBURSE INK</v>
      </c>
      <c r="G716" s="3">
        <v>35.700000000000003</v>
      </c>
      <c r="H716" t="str">
        <f>"REIMBURSE INK"</f>
        <v>REIMBURSE INK</v>
      </c>
    </row>
    <row r="717" spans="1:8" x14ac:dyDescent="0.25">
      <c r="A717" t="s">
        <v>236</v>
      </c>
      <c r="B717">
        <v>134735</v>
      </c>
      <c r="C717" s="3">
        <v>40.17</v>
      </c>
      <c r="D717" s="6">
        <v>44253</v>
      </c>
      <c r="E717" t="str">
        <f>"202102231767"</f>
        <v>202102231767</v>
      </c>
      <c r="F717" t="str">
        <f>"REIMBURSEMENT FOR FUEL"</f>
        <v>REIMBURSEMENT FOR FUEL</v>
      </c>
      <c r="G717" s="3">
        <v>40.17</v>
      </c>
      <c r="H717" t="str">
        <f>"REIMBURSEMENT FOR FUEL"</f>
        <v>REIMBURSEMENT FOR FUEL</v>
      </c>
    </row>
    <row r="718" spans="1:8" x14ac:dyDescent="0.25">
      <c r="A718" t="s">
        <v>237</v>
      </c>
      <c r="B718">
        <v>134613</v>
      </c>
      <c r="C718" s="3">
        <v>109</v>
      </c>
      <c r="D718" s="6">
        <v>44235</v>
      </c>
      <c r="E718" t="str">
        <f>"133847"</f>
        <v>133847</v>
      </c>
      <c r="F718" t="str">
        <f>"7 WAY RV PLUG/PCT#4"</f>
        <v>7 WAY RV PLUG/PCT#4</v>
      </c>
      <c r="G718" s="3">
        <v>109</v>
      </c>
      <c r="H718" t="str">
        <f>"7 WAY RV PLUG/PCT#4"</f>
        <v>7 WAY RV PLUG/PCT#4</v>
      </c>
    </row>
    <row r="719" spans="1:8" x14ac:dyDescent="0.25">
      <c r="A719" t="s">
        <v>237</v>
      </c>
      <c r="B719">
        <v>134736</v>
      </c>
      <c r="C719" s="3">
        <v>130</v>
      </c>
      <c r="D719" s="6">
        <v>44253</v>
      </c>
      <c r="E719" t="str">
        <f>"133875"</f>
        <v>133875</v>
      </c>
      <c r="F719" t="str">
        <f>"WEATHERTECH/PCT#4"</f>
        <v>WEATHERTECH/PCT#4</v>
      </c>
      <c r="G719" s="3">
        <v>130</v>
      </c>
      <c r="H719" t="str">
        <f>"WEATHERTECH/PCT#4"</f>
        <v>WEATHERTECH/PCT#4</v>
      </c>
    </row>
    <row r="720" spans="1:8" x14ac:dyDescent="0.25">
      <c r="A720" t="s">
        <v>238</v>
      </c>
      <c r="B720">
        <v>3894</v>
      </c>
      <c r="C720" s="3">
        <v>80.180000000000007</v>
      </c>
      <c r="D720" s="6">
        <v>44236</v>
      </c>
      <c r="E720" t="str">
        <f>"11A0121587851"</f>
        <v>11A0121587851</v>
      </c>
      <c r="F720" t="str">
        <f>"ACCT#0121587851/PCT#4"</f>
        <v>ACCT#0121587851/PCT#4</v>
      </c>
      <c r="G720" s="3">
        <v>80.180000000000007</v>
      </c>
      <c r="H720" t="str">
        <f>"ACCT#0121587851/PCT#4"</f>
        <v>ACCT#0121587851/PCT#4</v>
      </c>
    </row>
    <row r="721" spans="1:8" x14ac:dyDescent="0.25">
      <c r="A721" t="s">
        <v>238</v>
      </c>
      <c r="B721">
        <v>3966</v>
      </c>
      <c r="C721" s="3">
        <v>206.77</v>
      </c>
      <c r="D721" s="6">
        <v>44254</v>
      </c>
      <c r="E721" t="str">
        <f>"11B0121569859"</f>
        <v>11B0121569859</v>
      </c>
      <c r="F721" t="str">
        <f>"ACCT#0121569859"</f>
        <v>ACCT#0121569859</v>
      </c>
      <c r="G721" s="3">
        <v>180.84</v>
      </c>
      <c r="H721" t="str">
        <f>"ACCT#0121569859"</f>
        <v>ACCT#0121569859</v>
      </c>
    </row>
    <row r="722" spans="1:8" x14ac:dyDescent="0.25">
      <c r="E722" t="str">
        <f>"11B0121587851"</f>
        <v>11B0121587851</v>
      </c>
      <c r="F722" t="str">
        <f>"ACCT#0121587851/PCT#4"</f>
        <v>ACCT#0121587851/PCT#4</v>
      </c>
      <c r="G722" s="3">
        <v>25.93</v>
      </c>
      <c r="H722" t="str">
        <f>"ACCT#0121587851/PCT#4"</f>
        <v>ACCT#0121587851/PCT#4</v>
      </c>
    </row>
    <row r="723" spans="1:8" x14ac:dyDescent="0.25">
      <c r="A723" t="s">
        <v>239</v>
      </c>
      <c r="B723">
        <v>3924</v>
      </c>
      <c r="C723" s="3">
        <v>2160</v>
      </c>
      <c r="D723" s="6">
        <v>44236</v>
      </c>
      <c r="E723" t="str">
        <f>"35"</f>
        <v>35</v>
      </c>
      <c r="F723" t="str">
        <f>"SPAY/NEUTER SERVICES JAN2021"</f>
        <v>SPAY/NEUTER SERVICES JAN2021</v>
      </c>
      <c r="G723" s="3">
        <v>2160</v>
      </c>
      <c r="H723" t="str">
        <f>"SPAY/NEUTER SERVICES JAN2021"</f>
        <v>SPAY/NEUTER SERVICES JAN2021</v>
      </c>
    </row>
    <row r="724" spans="1:8" x14ac:dyDescent="0.25">
      <c r="E724" t="str">
        <f>""</f>
        <v/>
      </c>
      <c r="F724" t="str">
        <f>""</f>
        <v/>
      </c>
      <c r="H724" t="str">
        <f>"SPAY/NEUTER SERVICES JAN2021"</f>
        <v>SPAY/NEUTER SERVICES JAN2021</v>
      </c>
    </row>
    <row r="725" spans="1:8" x14ac:dyDescent="0.25">
      <c r="A725" t="s">
        <v>239</v>
      </c>
      <c r="B725">
        <v>4000</v>
      </c>
      <c r="C725" s="3">
        <v>2000</v>
      </c>
      <c r="D725" s="6">
        <v>44254</v>
      </c>
      <c r="E725" t="str">
        <f>"37"</f>
        <v>37</v>
      </c>
      <c r="F725" t="str">
        <f>"SPAY/NEUTER"</f>
        <v>SPAY/NEUTER</v>
      </c>
      <c r="G725" s="3">
        <v>2000</v>
      </c>
      <c r="H725" t="str">
        <f>"SPAY/NEUTER"</f>
        <v>SPAY/NEUTER</v>
      </c>
    </row>
    <row r="726" spans="1:8" x14ac:dyDescent="0.25">
      <c r="A726" t="s">
        <v>240</v>
      </c>
      <c r="B726">
        <v>134614</v>
      </c>
      <c r="C726" s="3">
        <v>10</v>
      </c>
      <c r="D726" s="6">
        <v>44235</v>
      </c>
      <c r="E726" t="str">
        <f>"384450"</f>
        <v>384450</v>
      </c>
      <c r="F726" t="str">
        <f>"GAS/PCT#2"</f>
        <v>GAS/PCT#2</v>
      </c>
      <c r="G726" s="3">
        <v>10</v>
      </c>
      <c r="H726" t="str">
        <f>"GAS/PCT#2"</f>
        <v>GAS/PCT#2</v>
      </c>
    </row>
    <row r="727" spans="1:8" x14ac:dyDescent="0.25">
      <c r="A727" t="s">
        <v>241</v>
      </c>
      <c r="B727">
        <v>134737</v>
      </c>
      <c r="C727" s="3">
        <v>847.96</v>
      </c>
      <c r="D727" s="6">
        <v>44253</v>
      </c>
      <c r="E727" t="str">
        <f>"179-71469"</f>
        <v>179-71469</v>
      </c>
      <c r="F727" t="str">
        <f>"CUST#19610"</f>
        <v>CUST#19610</v>
      </c>
      <c r="G727" s="3">
        <v>245.98</v>
      </c>
      <c r="H727" t="str">
        <f>"CUST#19610"</f>
        <v>CUST#19610</v>
      </c>
    </row>
    <row r="728" spans="1:8" x14ac:dyDescent="0.25">
      <c r="E728" t="str">
        <f>"202102231783"</f>
        <v>202102231783</v>
      </c>
      <c r="F728" t="str">
        <f>"CUST#19610"</f>
        <v>CUST#19610</v>
      </c>
      <c r="G728" s="3">
        <v>601.98</v>
      </c>
      <c r="H728" t="str">
        <f>"CUST#19610"</f>
        <v>CUST#19610</v>
      </c>
    </row>
    <row r="729" spans="1:8" x14ac:dyDescent="0.25">
      <c r="A729" t="s">
        <v>242</v>
      </c>
      <c r="B729">
        <v>134528</v>
      </c>
      <c r="C729" s="3">
        <v>1449.54</v>
      </c>
      <c r="D729" s="6">
        <v>44231</v>
      </c>
      <c r="E729" t="str">
        <f>"111 031 904 130 3"</f>
        <v>111 031 904 130 3</v>
      </c>
      <c r="F729" t="str">
        <f>"ACCT#15 070 712-3 / 01292021"</f>
        <v>ACCT#15 070 712-3 / 01292021</v>
      </c>
      <c r="G729" s="3">
        <v>18.14</v>
      </c>
      <c r="H729" t="str">
        <f>"ACCT#15 070 712-3 / 01292021"</f>
        <v>ACCT#15 070 712-3 / 01292021</v>
      </c>
    </row>
    <row r="730" spans="1:8" x14ac:dyDescent="0.25">
      <c r="E730" t="str">
        <f>"111 031 904 131 1"</f>
        <v>111 031 904 131 1</v>
      </c>
      <c r="F730" t="str">
        <f>"ACCT#15 070 713-1 / 01292021"</f>
        <v>ACCT#15 070 713-1 / 01292021</v>
      </c>
      <c r="G730" s="3">
        <v>21.83</v>
      </c>
      <c r="H730" t="str">
        <f>"ACCT#15 070 713-1 / 01292021"</f>
        <v>ACCT#15 070 713-1 / 01292021</v>
      </c>
    </row>
    <row r="731" spans="1:8" x14ac:dyDescent="0.25">
      <c r="E731" t="str">
        <f>"111 031 904 132 9"</f>
        <v>111 031 904 132 9</v>
      </c>
      <c r="F731" t="str">
        <f>"ACCT#15 072 199-1 / 01292021"</f>
        <v>ACCT#15 072 199-1 / 01292021</v>
      </c>
      <c r="G731" s="3">
        <v>100.73</v>
      </c>
      <c r="H731" t="str">
        <f>"ACCT#15 072 199-1 / 01292021"</f>
        <v>ACCT#15 072 199-1 / 01292021</v>
      </c>
    </row>
    <row r="732" spans="1:8" x14ac:dyDescent="0.25">
      <c r="E732" t="str">
        <f>"111 031 904 133 7"</f>
        <v>111 031 904 133 7</v>
      </c>
      <c r="F732" t="str">
        <f>"ACCT#15 072 200-7 / 01292021"</f>
        <v>ACCT#15 072 200-7 / 01292021</v>
      </c>
      <c r="G732" s="3">
        <v>374.14</v>
      </c>
      <c r="H732" t="str">
        <f>"ACCT#15 072 200-7 / 01292021"</f>
        <v>ACCT#15 072 200-7 / 01292021</v>
      </c>
    </row>
    <row r="733" spans="1:8" x14ac:dyDescent="0.25">
      <c r="E733" t="str">
        <f>"111 031 904 134 5"</f>
        <v>111 031 904 134 5</v>
      </c>
      <c r="F733" t="str">
        <f>"ACCT#15 072 201-5 / 01292021"</f>
        <v>ACCT#15 072 201-5 / 01292021</v>
      </c>
      <c r="G733" s="3">
        <v>297.94</v>
      </c>
      <c r="H733" t="str">
        <f>"ACCT#15 072 201-5 / 01292021"</f>
        <v>ACCT#15 072 201-5 / 01292021</v>
      </c>
    </row>
    <row r="734" spans="1:8" x14ac:dyDescent="0.25">
      <c r="E734" t="str">
        <f>"111 031 904 135 2"</f>
        <v>111 031 904 135 2</v>
      </c>
      <c r="F734" t="str">
        <f>"ACCT#15 072 202-3 / 01292021"</f>
        <v>ACCT#15 072 202-3 / 01292021</v>
      </c>
      <c r="G734" s="3">
        <v>27.88</v>
      </c>
      <c r="H734" t="str">
        <f>"ACCT#15 072 202-3 / 01292021"</f>
        <v>ACCT#15 072 202-3 / 01292021</v>
      </c>
    </row>
    <row r="735" spans="1:8" x14ac:dyDescent="0.25">
      <c r="E735" t="str">
        <f>"111 031 904 136 0"</f>
        <v>111 031 904 136 0</v>
      </c>
      <c r="F735" t="str">
        <f>"ACCT#15 072 203-1 / 01292021"</f>
        <v>ACCT#15 072 203-1 / 01292021</v>
      </c>
      <c r="G735" s="3">
        <v>14.34</v>
      </c>
      <c r="H735" t="str">
        <f>"ACCT#15 072 203-1 / 01292021"</f>
        <v>ACCT#15 072 203-1 / 01292021</v>
      </c>
    </row>
    <row r="736" spans="1:8" x14ac:dyDescent="0.25">
      <c r="E736" t="str">
        <f>"111 031 904 137 8"</f>
        <v>111 031 904 137 8</v>
      </c>
      <c r="F736" t="str">
        <f>"ACCT#15 072 204-9 / 01292021"</f>
        <v>ACCT#15 072 204-9 / 01292021</v>
      </c>
      <c r="G736" s="3">
        <v>234.79</v>
      </c>
      <c r="H736" t="str">
        <f>"ACCT#15 072 204-9 / 01292021"</f>
        <v>ACCT#15 072 204-9 / 01292021</v>
      </c>
    </row>
    <row r="737" spans="1:8" x14ac:dyDescent="0.25">
      <c r="E737" t="str">
        <f>"306 000 700 190 3"</f>
        <v>306 000 700 190 3</v>
      </c>
      <c r="F737" t="str">
        <f>"ACCT#15 069 451-1 / 01292021"</f>
        <v>ACCT#15 069 451-1 / 01292021</v>
      </c>
      <c r="G737" s="3">
        <v>359.75</v>
      </c>
      <c r="H737" t="str">
        <f>"ACCT#15 069 451-1 / 01292021"</f>
        <v>ACCT#15 069 451-1 / 01292021</v>
      </c>
    </row>
    <row r="738" spans="1:8" x14ac:dyDescent="0.25">
      <c r="A738" t="s">
        <v>243</v>
      </c>
      <c r="B738">
        <v>3992</v>
      </c>
      <c r="C738" s="3">
        <v>1295.8399999999999</v>
      </c>
      <c r="D738" s="6">
        <v>44254</v>
      </c>
      <c r="E738" t="str">
        <f>"17457"</f>
        <v>17457</v>
      </c>
      <c r="F738" t="str">
        <f>"ORDER#17966/PCT#4"</f>
        <v>ORDER#17966/PCT#4</v>
      </c>
      <c r="G738" s="3">
        <v>1295.8399999999999</v>
      </c>
      <c r="H738" t="str">
        <f>"ORDER#17966/PCT#4"</f>
        <v>ORDER#17966/PCT#4</v>
      </c>
    </row>
    <row r="739" spans="1:8" x14ac:dyDescent="0.25">
      <c r="A739" t="s">
        <v>244</v>
      </c>
      <c r="B739">
        <v>134615</v>
      </c>
      <c r="C739" s="3">
        <v>66</v>
      </c>
      <c r="D739" s="6">
        <v>44235</v>
      </c>
      <c r="E739" t="str">
        <f>"2020-8553"</f>
        <v>2020-8553</v>
      </c>
      <c r="F739" t="str">
        <f>"REFUND RECORDING FEE"</f>
        <v>REFUND RECORDING FEE</v>
      </c>
      <c r="G739" s="3">
        <v>66</v>
      </c>
      <c r="H739" t="str">
        <f>"REFUND RECORDING FEE"</f>
        <v>REFUND RECORDING FEE</v>
      </c>
    </row>
    <row r="740" spans="1:8" x14ac:dyDescent="0.25">
      <c r="A740" t="s">
        <v>245</v>
      </c>
      <c r="B740">
        <v>3969</v>
      </c>
      <c r="C740" s="3">
        <v>7948.12</v>
      </c>
      <c r="D740" s="6">
        <v>44254</v>
      </c>
      <c r="E740" t="str">
        <f>" 5061324366"</f>
        <v xml:space="preserve"> 5061324366</v>
      </c>
      <c r="F740" t="str">
        <f>"CUST#12847097/CONT#4896380"</f>
        <v>CUST#12847097/CONT#4896380</v>
      </c>
      <c r="G740" s="3">
        <v>7801.32</v>
      </c>
      <c r="H740" t="str">
        <f t="shared" ref="H740:H768" si="9">"CUST#12847097/CONT#4896380"</f>
        <v>CUST#12847097/CONT#4896380</v>
      </c>
    </row>
    <row r="741" spans="1:8" x14ac:dyDescent="0.25">
      <c r="E741" t="str">
        <f>""</f>
        <v/>
      </c>
      <c r="F741" t="str">
        <f>""</f>
        <v/>
      </c>
      <c r="H741" t="str">
        <f t="shared" si="9"/>
        <v>CUST#12847097/CONT#4896380</v>
      </c>
    </row>
    <row r="742" spans="1:8" x14ac:dyDescent="0.25">
      <c r="E742" t="str">
        <f>""</f>
        <v/>
      </c>
      <c r="F742" t="str">
        <f>""</f>
        <v/>
      </c>
      <c r="H742" t="str">
        <f t="shared" si="9"/>
        <v>CUST#12847097/CONT#4896380</v>
      </c>
    </row>
    <row r="743" spans="1:8" x14ac:dyDescent="0.25">
      <c r="E743" t="str">
        <f>""</f>
        <v/>
      </c>
      <c r="F743" t="str">
        <f>""</f>
        <v/>
      </c>
      <c r="H743" t="str">
        <f t="shared" si="9"/>
        <v>CUST#12847097/CONT#4896380</v>
      </c>
    </row>
    <row r="744" spans="1:8" x14ac:dyDescent="0.25">
      <c r="E744" t="str">
        <f>""</f>
        <v/>
      </c>
      <c r="F744" t="str">
        <f>""</f>
        <v/>
      </c>
      <c r="H744" t="str">
        <f t="shared" si="9"/>
        <v>CUST#12847097/CONT#4896380</v>
      </c>
    </row>
    <row r="745" spans="1:8" x14ac:dyDescent="0.25">
      <c r="E745" t="str">
        <f>""</f>
        <v/>
      </c>
      <c r="F745" t="str">
        <f>""</f>
        <v/>
      </c>
      <c r="H745" t="str">
        <f t="shared" si="9"/>
        <v>CUST#12847097/CONT#4896380</v>
      </c>
    </row>
    <row r="746" spans="1:8" x14ac:dyDescent="0.25">
      <c r="E746" t="str">
        <f>""</f>
        <v/>
      </c>
      <c r="F746" t="str">
        <f>""</f>
        <v/>
      </c>
      <c r="H746" t="str">
        <f t="shared" si="9"/>
        <v>CUST#12847097/CONT#4896380</v>
      </c>
    </row>
    <row r="747" spans="1:8" x14ac:dyDescent="0.25">
      <c r="E747" t="str">
        <f>""</f>
        <v/>
      </c>
      <c r="F747" t="str">
        <f>""</f>
        <v/>
      </c>
      <c r="H747" t="str">
        <f t="shared" si="9"/>
        <v>CUST#12847097/CONT#4896380</v>
      </c>
    </row>
    <row r="748" spans="1:8" x14ac:dyDescent="0.25">
      <c r="E748" t="str">
        <f>""</f>
        <v/>
      </c>
      <c r="F748" t="str">
        <f>""</f>
        <v/>
      </c>
      <c r="H748" t="str">
        <f t="shared" si="9"/>
        <v>CUST#12847097/CONT#4896380</v>
      </c>
    </row>
    <row r="749" spans="1:8" x14ac:dyDescent="0.25">
      <c r="E749" t="str">
        <f>""</f>
        <v/>
      </c>
      <c r="F749" t="str">
        <f>""</f>
        <v/>
      </c>
      <c r="H749" t="str">
        <f t="shared" si="9"/>
        <v>CUST#12847097/CONT#4896380</v>
      </c>
    </row>
    <row r="750" spans="1:8" x14ac:dyDescent="0.25">
      <c r="E750" t="str">
        <f>""</f>
        <v/>
      </c>
      <c r="F750" t="str">
        <f>""</f>
        <v/>
      </c>
      <c r="H750" t="str">
        <f t="shared" si="9"/>
        <v>CUST#12847097/CONT#4896380</v>
      </c>
    </row>
    <row r="751" spans="1:8" x14ac:dyDescent="0.25">
      <c r="E751" t="str">
        <f>""</f>
        <v/>
      </c>
      <c r="F751" t="str">
        <f>""</f>
        <v/>
      </c>
      <c r="H751" t="str">
        <f t="shared" si="9"/>
        <v>CUST#12847097/CONT#4896380</v>
      </c>
    </row>
    <row r="752" spans="1:8" x14ac:dyDescent="0.25">
      <c r="E752" t="str">
        <f>""</f>
        <v/>
      </c>
      <c r="F752" t="str">
        <f>""</f>
        <v/>
      </c>
      <c r="H752" t="str">
        <f t="shared" si="9"/>
        <v>CUST#12847097/CONT#4896380</v>
      </c>
    </row>
    <row r="753" spans="5:8" x14ac:dyDescent="0.25">
      <c r="E753" t="str">
        <f>""</f>
        <v/>
      </c>
      <c r="F753" t="str">
        <f>""</f>
        <v/>
      </c>
      <c r="H753" t="str">
        <f t="shared" si="9"/>
        <v>CUST#12847097/CONT#4896380</v>
      </c>
    </row>
    <row r="754" spans="5:8" x14ac:dyDescent="0.25">
      <c r="E754" t="str">
        <f>""</f>
        <v/>
      </c>
      <c r="F754" t="str">
        <f>""</f>
        <v/>
      </c>
      <c r="H754" t="str">
        <f t="shared" si="9"/>
        <v>CUST#12847097/CONT#4896380</v>
      </c>
    </row>
    <row r="755" spans="5:8" x14ac:dyDescent="0.25">
      <c r="E755" t="str">
        <f>""</f>
        <v/>
      </c>
      <c r="F755" t="str">
        <f>""</f>
        <v/>
      </c>
      <c r="H755" t="str">
        <f t="shared" si="9"/>
        <v>CUST#12847097/CONT#4896380</v>
      </c>
    </row>
    <row r="756" spans="5:8" x14ac:dyDescent="0.25">
      <c r="E756" t="str">
        <f>""</f>
        <v/>
      </c>
      <c r="F756" t="str">
        <f>""</f>
        <v/>
      </c>
      <c r="H756" t="str">
        <f t="shared" si="9"/>
        <v>CUST#12847097/CONT#4896380</v>
      </c>
    </row>
    <row r="757" spans="5:8" x14ac:dyDescent="0.25">
      <c r="E757" t="str">
        <f>""</f>
        <v/>
      </c>
      <c r="F757" t="str">
        <f>""</f>
        <v/>
      </c>
      <c r="H757" t="str">
        <f t="shared" si="9"/>
        <v>CUST#12847097/CONT#4896380</v>
      </c>
    </row>
    <row r="758" spans="5:8" x14ac:dyDescent="0.25">
      <c r="E758" t="str">
        <f>""</f>
        <v/>
      </c>
      <c r="F758" t="str">
        <f>""</f>
        <v/>
      </c>
      <c r="H758" t="str">
        <f t="shared" si="9"/>
        <v>CUST#12847097/CONT#4896380</v>
      </c>
    </row>
    <row r="759" spans="5:8" x14ac:dyDescent="0.25">
      <c r="E759" t="str">
        <f>""</f>
        <v/>
      </c>
      <c r="F759" t="str">
        <f>""</f>
        <v/>
      </c>
      <c r="H759" t="str">
        <f t="shared" si="9"/>
        <v>CUST#12847097/CONT#4896380</v>
      </c>
    </row>
    <row r="760" spans="5:8" x14ac:dyDescent="0.25">
      <c r="E760" t="str">
        <f>""</f>
        <v/>
      </c>
      <c r="F760" t="str">
        <f>""</f>
        <v/>
      </c>
      <c r="H760" t="str">
        <f t="shared" si="9"/>
        <v>CUST#12847097/CONT#4896380</v>
      </c>
    </row>
    <row r="761" spans="5:8" x14ac:dyDescent="0.25">
      <c r="E761" t="str">
        <f>""</f>
        <v/>
      </c>
      <c r="F761" t="str">
        <f>""</f>
        <v/>
      </c>
      <c r="H761" t="str">
        <f t="shared" si="9"/>
        <v>CUST#12847097/CONT#4896380</v>
      </c>
    </row>
    <row r="762" spans="5:8" x14ac:dyDescent="0.25">
      <c r="E762" t="str">
        <f>""</f>
        <v/>
      </c>
      <c r="F762" t="str">
        <f>""</f>
        <v/>
      </c>
      <c r="H762" t="str">
        <f t="shared" si="9"/>
        <v>CUST#12847097/CONT#4896380</v>
      </c>
    </row>
    <row r="763" spans="5:8" x14ac:dyDescent="0.25">
      <c r="E763" t="str">
        <f>""</f>
        <v/>
      </c>
      <c r="F763" t="str">
        <f>""</f>
        <v/>
      </c>
      <c r="H763" t="str">
        <f t="shared" si="9"/>
        <v>CUST#12847097/CONT#4896380</v>
      </c>
    </row>
    <row r="764" spans="5:8" x14ac:dyDescent="0.25">
      <c r="E764" t="str">
        <f>""</f>
        <v/>
      </c>
      <c r="F764" t="str">
        <f>""</f>
        <v/>
      </c>
      <c r="H764" t="str">
        <f t="shared" si="9"/>
        <v>CUST#12847097/CONT#4896380</v>
      </c>
    </row>
    <row r="765" spans="5:8" x14ac:dyDescent="0.25">
      <c r="E765" t="str">
        <f>""</f>
        <v/>
      </c>
      <c r="F765" t="str">
        <f>""</f>
        <v/>
      </c>
      <c r="H765" t="str">
        <f t="shared" si="9"/>
        <v>CUST#12847097/CONT#4896380</v>
      </c>
    </row>
    <row r="766" spans="5:8" x14ac:dyDescent="0.25">
      <c r="E766" t="str">
        <f>""</f>
        <v/>
      </c>
      <c r="F766" t="str">
        <f>""</f>
        <v/>
      </c>
      <c r="H766" t="str">
        <f t="shared" si="9"/>
        <v>CUST#12847097/CONT#4896380</v>
      </c>
    </row>
    <row r="767" spans="5:8" x14ac:dyDescent="0.25">
      <c r="E767" t="str">
        <f>""</f>
        <v/>
      </c>
      <c r="F767" t="str">
        <f>""</f>
        <v/>
      </c>
      <c r="H767" t="str">
        <f t="shared" si="9"/>
        <v>CUST#12847097/CONT#4896380</v>
      </c>
    </row>
    <row r="768" spans="5:8" x14ac:dyDescent="0.25">
      <c r="E768" t="str">
        <f>""</f>
        <v/>
      </c>
      <c r="F768" t="str">
        <f>""</f>
        <v/>
      </c>
      <c r="H768" t="str">
        <f t="shared" si="9"/>
        <v>CUST#12847097/CONT#4896380</v>
      </c>
    </row>
    <row r="769" spans="1:8" x14ac:dyDescent="0.25">
      <c r="E769" t="str">
        <f>"5061324366"</f>
        <v>5061324366</v>
      </c>
      <c r="F769" t="str">
        <f>"RICOH/PCT# 2 FLOOD"</f>
        <v>RICOH/PCT# 2 FLOOD</v>
      </c>
      <c r="G769" s="3">
        <v>146.80000000000001</v>
      </c>
      <c r="H769" t="str">
        <f>"RICOH/PCT# 2 FLOOD"</f>
        <v>RICOH/PCT# 2 FLOOD</v>
      </c>
    </row>
    <row r="770" spans="1:8" x14ac:dyDescent="0.25">
      <c r="A770" t="s">
        <v>246</v>
      </c>
      <c r="B770">
        <v>134616</v>
      </c>
      <c r="C770" s="3">
        <v>18473.259999999998</v>
      </c>
      <c r="D770" s="6">
        <v>44235</v>
      </c>
      <c r="E770" t="str">
        <f>"36544294"</f>
        <v>36544294</v>
      </c>
      <c r="F770" t="str">
        <f>"CUST#2000172616"</f>
        <v>CUST#2000172616</v>
      </c>
      <c r="G770" s="3">
        <v>9236.6299999999992</v>
      </c>
      <c r="H770" t="str">
        <f t="shared" ref="H770:H801" si="10">"CUST#2000172616"</f>
        <v>CUST#2000172616</v>
      </c>
    </row>
    <row r="771" spans="1:8" x14ac:dyDescent="0.25">
      <c r="E771" t="str">
        <f>""</f>
        <v/>
      </c>
      <c r="F771" t="str">
        <f>""</f>
        <v/>
      </c>
      <c r="H771" t="str">
        <f t="shared" si="10"/>
        <v>CUST#2000172616</v>
      </c>
    </row>
    <row r="772" spans="1:8" x14ac:dyDescent="0.25">
      <c r="E772" t="str">
        <f>""</f>
        <v/>
      </c>
      <c r="F772" t="str">
        <f>""</f>
        <v/>
      </c>
      <c r="H772" t="str">
        <f t="shared" si="10"/>
        <v>CUST#2000172616</v>
      </c>
    </row>
    <row r="773" spans="1:8" x14ac:dyDescent="0.25">
      <c r="E773" t="str">
        <f>""</f>
        <v/>
      </c>
      <c r="F773" t="str">
        <f>""</f>
        <v/>
      </c>
      <c r="H773" t="str">
        <f t="shared" si="10"/>
        <v>CUST#2000172616</v>
      </c>
    </row>
    <row r="774" spans="1:8" x14ac:dyDescent="0.25">
      <c r="E774" t="str">
        <f>""</f>
        <v/>
      </c>
      <c r="F774" t="str">
        <f>""</f>
        <v/>
      </c>
      <c r="H774" t="str">
        <f t="shared" si="10"/>
        <v>CUST#2000172616</v>
      </c>
    </row>
    <row r="775" spans="1:8" x14ac:dyDescent="0.25">
      <c r="E775" t="str">
        <f>""</f>
        <v/>
      </c>
      <c r="F775" t="str">
        <f>""</f>
        <v/>
      </c>
      <c r="H775" t="str">
        <f t="shared" si="10"/>
        <v>CUST#2000172616</v>
      </c>
    </row>
    <row r="776" spans="1:8" x14ac:dyDescent="0.25">
      <c r="E776" t="str">
        <f>""</f>
        <v/>
      </c>
      <c r="F776" t="str">
        <f>""</f>
        <v/>
      </c>
      <c r="H776" t="str">
        <f t="shared" si="10"/>
        <v>CUST#2000172616</v>
      </c>
    </row>
    <row r="777" spans="1:8" x14ac:dyDescent="0.25">
      <c r="E777" t="str">
        <f>""</f>
        <v/>
      </c>
      <c r="F777" t="str">
        <f>""</f>
        <v/>
      </c>
      <c r="H777" t="str">
        <f t="shared" si="10"/>
        <v>CUST#2000172616</v>
      </c>
    </row>
    <row r="778" spans="1:8" x14ac:dyDescent="0.25">
      <c r="E778" t="str">
        <f>""</f>
        <v/>
      </c>
      <c r="F778" t="str">
        <f>""</f>
        <v/>
      </c>
      <c r="H778" t="str">
        <f t="shared" si="10"/>
        <v>CUST#2000172616</v>
      </c>
    </row>
    <row r="779" spans="1:8" x14ac:dyDescent="0.25">
      <c r="E779" t="str">
        <f>""</f>
        <v/>
      </c>
      <c r="F779" t="str">
        <f>""</f>
        <v/>
      </c>
      <c r="H779" t="str">
        <f t="shared" si="10"/>
        <v>CUST#2000172616</v>
      </c>
    </row>
    <row r="780" spans="1:8" x14ac:dyDescent="0.25">
      <c r="E780" t="str">
        <f>""</f>
        <v/>
      </c>
      <c r="F780" t="str">
        <f>""</f>
        <v/>
      </c>
      <c r="H780" t="str">
        <f t="shared" si="10"/>
        <v>CUST#2000172616</v>
      </c>
    </row>
    <row r="781" spans="1:8" x14ac:dyDescent="0.25">
      <c r="E781" t="str">
        <f>""</f>
        <v/>
      </c>
      <c r="F781" t="str">
        <f>""</f>
        <v/>
      </c>
      <c r="H781" t="str">
        <f t="shared" si="10"/>
        <v>CUST#2000172616</v>
      </c>
    </row>
    <row r="782" spans="1:8" x14ac:dyDescent="0.25">
      <c r="E782" t="str">
        <f>""</f>
        <v/>
      </c>
      <c r="F782" t="str">
        <f>""</f>
        <v/>
      </c>
      <c r="H782" t="str">
        <f t="shared" si="10"/>
        <v>CUST#2000172616</v>
      </c>
    </row>
    <row r="783" spans="1:8" x14ac:dyDescent="0.25">
      <c r="E783" t="str">
        <f>""</f>
        <v/>
      </c>
      <c r="F783" t="str">
        <f>""</f>
        <v/>
      </c>
      <c r="H783" t="str">
        <f t="shared" si="10"/>
        <v>CUST#2000172616</v>
      </c>
    </row>
    <row r="784" spans="1:8" x14ac:dyDescent="0.25">
      <c r="E784" t="str">
        <f>""</f>
        <v/>
      </c>
      <c r="F784" t="str">
        <f>""</f>
        <v/>
      </c>
      <c r="H784" t="str">
        <f t="shared" si="10"/>
        <v>CUST#2000172616</v>
      </c>
    </row>
    <row r="785" spans="5:8" x14ac:dyDescent="0.25">
      <c r="E785" t="str">
        <f>""</f>
        <v/>
      </c>
      <c r="F785" t="str">
        <f>""</f>
        <v/>
      </c>
      <c r="H785" t="str">
        <f t="shared" si="10"/>
        <v>CUST#2000172616</v>
      </c>
    </row>
    <row r="786" spans="5:8" x14ac:dyDescent="0.25">
      <c r="E786" t="str">
        <f>""</f>
        <v/>
      </c>
      <c r="F786" t="str">
        <f>""</f>
        <v/>
      </c>
      <c r="H786" t="str">
        <f t="shared" si="10"/>
        <v>CUST#2000172616</v>
      </c>
    </row>
    <row r="787" spans="5:8" x14ac:dyDescent="0.25">
      <c r="E787" t="str">
        <f>""</f>
        <v/>
      </c>
      <c r="F787" t="str">
        <f>""</f>
        <v/>
      </c>
      <c r="H787" t="str">
        <f t="shared" si="10"/>
        <v>CUST#2000172616</v>
      </c>
    </row>
    <row r="788" spans="5:8" x14ac:dyDescent="0.25">
      <c r="E788" t="str">
        <f>""</f>
        <v/>
      </c>
      <c r="F788" t="str">
        <f>""</f>
        <v/>
      </c>
      <c r="H788" t="str">
        <f t="shared" si="10"/>
        <v>CUST#2000172616</v>
      </c>
    </row>
    <row r="789" spans="5:8" x14ac:dyDescent="0.25">
      <c r="E789" t="str">
        <f>""</f>
        <v/>
      </c>
      <c r="F789" t="str">
        <f>""</f>
        <v/>
      </c>
      <c r="H789" t="str">
        <f t="shared" si="10"/>
        <v>CUST#2000172616</v>
      </c>
    </row>
    <row r="790" spans="5:8" x14ac:dyDescent="0.25">
      <c r="E790" t="str">
        <f>""</f>
        <v/>
      </c>
      <c r="F790" t="str">
        <f>""</f>
        <v/>
      </c>
      <c r="H790" t="str">
        <f t="shared" si="10"/>
        <v>CUST#2000172616</v>
      </c>
    </row>
    <row r="791" spans="5:8" x14ac:dyDescent="0.25">
      <c r="E791" t="str">
        <f>""</f>
        <v/>
      </c>
      <c r="F791" t="str">
        <f>""</f>
        <v/>
      </c>
      <c r="H791" t="str">
        <f t="shared" si="10"/>
        <v>CUST#2000172616</v>
      </c>
    </row>
    <row r="792" spans="5:8" x14ac:dyDescent="0.25">
      <c r="E792" t="str">
        <f>""</f>
        <v/>
      </c>
      <c r="F792" t="str">
        <f>""</f>
        <v/>
      </c>
      <c r="H792" t="str">
        <f t="shared" si="10"/>
        <v>CUST#2000172616</v>
      </c>
    </row>
    <row r="793" spans="5:8" x14ac:dyDescent="0.25">
      <c r="E793" t="str">
        <f>""</f>
        <v/>
      </c>
      <c r="F793" t="str">
        <f>""</f>
        <v/>
      </c>
      <c r="H793" t="str">
        <f t="shared" si="10"/>
        <v>CUST#2000172616</v>
      </c>
    </row>
    <row r="794" spans="5:8" x14ac:dyDescent="0.25">
      <c r="E794" t="str">
        <f>""</f>
        <v/>
      </c>
      <c r="F794" t="str">
        <f>""</f>
        <v/>
      </c>
      <c r="H794" t="str">
        <f t="shared" si="10"/>
        <v>CUST#2000172616</v>
      </c>
    </row>
    <row r="795" spans="5:8" x14ac:dyDescent="0.25">
      <c r="E795" t="str">
        <f>""</f>
        <v/>
      </c>
      <c r="F795" t="str">
        <f>""</f>
        <v/>
      </c>
      <c r="H795" t="str">
        <f t="shared" si="10"/>
        <v>CUST#2000172616</v>
      </c>
    </row>
    <row r="796" spans="5:8" x14ac:dyDescent="0.25">
      <c r="E796" t="str">
        <f>""</f>
        <v/>
      </c>
      <c r="F796" t="str">
        <f>""</f>
        <v/>
      </c>
      <c r="H796" t="str">
        <f t="shared" si="10"/>
        <v>CUST#2000172616</v>
      </c>
    </row>
    <row r="797" spans="5:8" x14ac:dyDescent="0.25">
      <c r="E797" t="str">
        <f>""</f>
        <v/>
      </c>
      <c r="F797" t="str">
        <f>""</f>
        <v/>
      </c>
      <c r="H797" t="str">
        <f t="shared" si="10"/>
        <v>CUST#2000172616</v>
      </c>
    </row>
    <row r="798" spans="5:8" x14ac:dyDescent="0.25">
      <c r="E798" t="str">
        <f>""</f>
        <v/>
      </c>
      <c r="F798" t="str">
        <f>""</f>
        <v/>
      </c>
      <c r="H798" t="str">
        <f t="shared" si="10"/>
        <v>CUST#2000172616</v>
      </c>
    </row>
    <row r="799" spans="5:8" x14ac:dyDescent="0.25">
      <c r="E799" t="str">
        <f>""</f>
        <v/>
      </c>
      <c r="F799" t="str">
        <f>""</f>
        <v/>
      </c>
      <c r="H799" t="str">
        <f t="shared" si="10"/>
        <v>CUST#2000172616</v>
      </c>
    </row>
    <row r="800" spans="5:8" x14ac:dyDescent="0.25">
      <c r="E800" t="str">
        <f>""</f>
        <v/>
      </c>
      <c r="F800" t="str">
        <f>""</f>
        <v/>
      </c>
      <c r="H800" t="str">
        <f t="shared" si="10"/>
        <v>CUST#2000172616</v>
      </c>
    </row>
    <row r="801" spans="5:8" x14ac:dyDescent="0.25">
      <c r="E801" t="str">
        <f>""</f>
        <v/>
      </c>
      <c r="F801" t="str">
        <f>""</f>
        <v/>
      </c>
      <c r="H801" t="str">
        <f t="shared" si="10"/>
        <v>CUST#2000172616</v>
      </c>
    </row>
    <row r="802" spans="5:8" x14ac:dyDescent="0.25">
      <c r="E802" t="str">
        <f>"36922966"</f>
        <v>36922966</v>
      </c>
      <c r="F802" t="str">
        <f>"CUST#2000172616"</f>
        <v>CUST#2000172616</v>
      </c>
      <c r="G802" s="3">
        <v>9236.6299999999992</v>
      </c>
      <c r="H802" t="str">
        <f t="shared" ref="H802:H833" si="11">"CUST#2000172616"</f>
        <v>CUST#2000172616</v>
      </c>
    </row>
    <row r="803" spans="5:8" x14ac:dyDescent="0.25">
      <c r="E803" t="str">
        <f>""</f>
        <v/>
      </c>
      <c r="F803" t="str">
        <f>""</f>
        <v/>
      </c>
      <c r="H803" t="str">
        <f t="shared" si="11"/>
        <v>CUST#2000172616</v>
      </c>
    </row>
    <row r="804" spans="5:8" x14ac:dyDescent="0.25">
      <c r="E804" t="str">
        <f>""</f>
        <v/>
      </c>
      <c r="F804" t="str">
        <f>""</f>
        <v/>
      </c>
      <c r="H804" t="str">
        <f t="shared" si="11"/>
        <v>CUST#2000172616</v>
      </c>
    </row>
    <row r="805" spans="5:8" x14ac:dyDescent="0.25">
      <c r="E805" t="str">
        <f>""</f>
        <v/>
      </c>
      <c r="F805" t="str">
        <f>""</f>
        <v/>
      </c>
      <c r="H805" t="str">
        <f t="shared" si="11"/>
        <v>CUST#2000172616</v>
      </c>
    </row>
    <row r="806" spans="5:8" x14ac:dyDescent="0.25">
      <c r="E806" t="str">
        <f>""</f>
        <v/>
      </c>
      <c r="F806" t="str">
        <f>""</f>
        <v/>
      </c>
      <c r="H806" t="str">
        <f t="shared" si="11"/>
        <v>CUST#2000172616</v>
      </c>
    </row>
    <row r="807" spans="5:8" x14ac:dyDescent="0.25">
      <c r="E807" t="str">
        <f>""</f>
        <v/>
      </c>
      <c r="F807" t="str">
        <f>""</f>
        <v/>
      </c>
      <c r="H807" t="str">
        <f t="shared" si="11"/>
        <v>CUST#2000172616</v>
      </c>
    </row>
    <row r="808" spans="5:8" x14ac:dyDescent="0.25">
      <c r="E808" t="str">
        <f>""</f>
        <v/>
      </c>
      <c r="F808" t="str">
        <f>""</f>
        <v/>
      </c>
      <c r="H808" t="str">
        <f t="shared" si="11"/>
        <v>CUST#2000172616</v>
      </c>
    </row>
    <row r="809" spans="5:8" x14ac:dyDescent="0.25">
      <c r="E809" t="str">
        <f>""</f>
        <v/>
      </c>
      <c r="F809" t="str">
        <f>""</f>
        <v/>
      </c>
      <c r="H809" t="str">
        <f t="shared" si="11"/>
        <v>CUST#2000172616</v>
      </c>
    </row>
    <row r="810" spans="5:8" x14ac:dyDescent="0.25">
      <c r="E810" t="str">
        <f>""</f>
        <v/>
      </c>
      <c r="F810" t="str">
        <f>""</f>
        <v/>
      </c>
      <c r="H810" t="str">
        <f t="shared" si="11"/>
        <v>CUST#2000172616</v>
      </c>
    </row>
    <row r="811" spans="5:8" x14ac:dyDescent="0.25">
      <c r="E811" t="str">
        <f>""</f>
        <v/>
      </c>
      <c r="F811" t="str">
        <f>""</f>
        <v/>
      </c>
      <c r="H811" t="str">
        <f t="shared" si="11"/>
        <v>CUST#2000172616</v>
      </c>
    </row>
    <row r="812" spans="5:8" x14ac:dyDescent="0.25">
      <c r="E812" t="str">
        <f>""</f>
        <v/>
      </c>
      <c r="F812" t="str">
        <f>""</f>
        <v/>
      </c>
      <c r="H812" t="str">
        <f t="shared" si="11"/>
        <v>CUST#2000172616</v>
      </c>
    </row>
    <row r="813" spans="5:8" x14ac:dyDescent="0.25">
      <c r="E813" t="str">
        <f>""</f>
        <v/>
      </c>
      <c r="F813" t="str">
        <f>""</f>
        <v/>
      </c>
      <c r="H813" t="str">
        <f t="shared" si="11"/>
        <v>CUST#2000172616</v>
      </c>
    </row>
    <row r="814" spans="5:8" x14ac:dyDescent="0.25">
      <c r="E814" t="str">
        <f>""</f>
        <v/>
      </c>
      <c r="F814" t="str">
        <f>""</f>
        <v/>
      </c>
      <c r="H814" t="str">
        <f t="shared" si="11"/>
        <v>CUST#2000172616</v>
      </c>
    </row>
    <row r="815" spans="5:8" x14ac:dyDescent="0.25">
      <c r="E815" t="str">
        <f>""</f>
        <v/>
      </c>
      <c r="F815" t="str">
        <f>""</f>
        <v/>
      </c>
      <c r="H815" t="str">
        <f t="shared" si="11"/>
        <v>CUST#2000172616</v>
      </c>
    </row>
    <row r="816" spans="5:8" x14ac:dyDescent="0.25">
      <c r="E816" t="str">
        <f>""</f>
        <v/>
      </c>
      <c r="F816" t="str">
        <f>""</f>
        <v/>
      </c>
      <c r="H816" t="str">
        <f t="shared" si="11"/>
        <v>CUST#2000172616</v>
      </c>
    </row>
    <row r="817" spans="5:8" x14ac:dyDescent="0.25">
      <c r="E817" t="str">
        <f>""</f>
        <v/>
      </c>
      <c r="F817" t="str">
        <f>""</f>
        <v/>
      </c>
      <c r="H817" t="str">
        <f t="shared" si="11"/>
        <v>CUST#2000172616</v>
      </c>
    </row>
    <row r="818" spans="5:8" x14ac:dyDescent="0.25">
      <c r="E818" t="str">
        <f>""</f>
        <v/>
      </c>
      <c r="F818" t="str">
        <f>""</f>
        <v/>
      </c>
      <c r="H818" t="str">
        <f t="shared" si="11"/>
        <v>CUST#2000172616</v>
      </c>
    </row>
    <row r="819" spans="5:8" x14ac:dyDescent="0.25">
      <c r="E819" t="str">
        <f>""</f>
        <v/>
      </c>
      <c r="F819" t="str">
        <f>""</f>
        <v/>
      </c>
      <c r="H819" t="str">
        <f t="shared" si="11"/>
        <v>CUST#2000172616</v>
      </c>
    </row>
    <row r="820" spans="5:8" x14ac:dyDescent="0.25">
      <c r="E820" t="str">
        <f>""</f>
        <v/>
      </c>
      <c r="F820" t="str">
        <f>""</f>
        <v/>
      </c>
      <c r="H820" t="str">
        <f t="shared" si="11"/>
        <v>CUST#2000172616</v>
      </c>
    </row>
    <row r="821" spans="5:8" x14ac:dyDescent="0.25">
      <c r="E821" t="str">
        <f>""</f>
        <v/>
      </c>
      <c r="F821" t="str">
        <f>""</f>
        <v/>
      </c>
      <c r="H821" t="str">
        <f t="shared" si="11"/>
        <v>CUST#2000172616</v>
      </c>
    </row>
    <row r="822" spans="5:8" x14ac:dyDescent="0.25">
      <c r="E822" t="str">
        <f>""</f>
        <v/>
      </c>
      <c r="F822" t="str">
        <f>""</f>
        <v/>
      </c>
      <c r="H822" t="str">
        <f t="shared" si="11"/>
        <v>CUST#2000172616</v>
      </c>
    </row>
    <row r="823" spans="5:8" x14ac:dyDescent="0.25">
      <c r="E823" t="str">
        <f>""</f>
        <v/>
      </c>
      <c r="F823" t="str">
        <f>""</f>
        <v/>
      </c>
      <c r="H823" t="str">
        <f t="shared" si="11"/>
        <v>CUST#2000172616</v>
      </c>
    </row>
    <row r="824" spans="5:8" x14ac:dyDescent="0.25">
      <c r="E824" t="str">
        <f>""</f>
        <v/>
      </c>
      <c r="F824" t="str">
        <f>""</f>
        <v/>
      </c>
      <c r="H824" t="str">
        <f t="shared" si="11"/>
        <v>CUST#2000172616</v>
      </c>
    </row>
    <row r="825" spans="5:8" x14ac:dyDescent="0.25">
      <c r="E825" t="str">
        <f>""</f>
        <v/>
      </c>
      <c r="F825" t="str">
        <f>""</f>
        <v/>
      </c>
      <c r="H825" t="str">
        <f t="shared" si="11"/>
        <v>CUST#2000172616</v>
      </c>
    </row>
    <row r="826" spans="5:8" x14ac:dyDescent="0.25">
      <c r="E826" t="str">
        <f>""</f>
        <v/>
      </c>
      <c r="F826" t="str">
        <f>""</f>
        <v/>
      </c>
      <c r="H826" t="str">
        <f t="shared" si="11"/>
        <v>CUST#2000172616</v>
      </c>
    </row>
    <row r="827" spans="5:8" x14ac:dyDescent="0.25">
      <c r="E827" t="str">
        <f>""</f>
        <v/>
      </c>
      <c r="F827" t="str">
        <f>""</f>
        <v/>
      </c>
      <c r="H827" t="str">
        <f t="shared" si="11"/>
        <v>CUST#2000172616</v>
      </c>
    </row>
    <row r="828" spans="5:8" x14ac:dyDescent="0.25">
      <c r="E828" t="str">
        <f>""</f>
        <v/>
      </c>
      <c r="F828" t="str">
        <f>""</f>
        <v/>
      </c>
      <c r="H828" t="str">
        <f t="shared" si="11"/>
        <v>CUST#2000172616</v>
      </c>
    </row>
    <row r="829" spans="5:8" x14ac:dyDescent="0.25">
      <c r="E829" t="str">
        <f>""</f>
        <v/>
      </c>
      <c r="F829" t="str">
        <f>""</f>
        <v/>
      </c>
      <c r="H829" t="str">
        <f t="shared" si="11"/>
        <v>CUST#2000172616</v>
      </c>
    </row>
    <row r="830" spans="5:8" x14ac:dyDescent="0.25">
      <c r="E830" t="str">
        <f>""</f>
        <v/>
      </c>
      <c r="F830" t="str">
        <f>""</f>
        <v/>
      </c>
      <c r="H830" t="str">
        <f t="shared" si="11"/>
        <v>CUST#2000172616</v>
      </c>
    </row>
    <row r="831" spans="5:8" x14ac:dyDescent="0.25">
      <c r="E831" t="str">
        <f>""</f>
        <v/>
      </c>
      <c r="F831" t="str">
        <f>""</f>
        <v/>
      </c>
      <c r="H831" t="str">
        <f t="shared" si="11"/>
        <v>CUST#2000172616</v>
      </c>
    </row>
    <row r="832" spans="5:8" x14ac:dyDescent="0.25">
      <c r="E832" t="str">
        <f>""</f>
        <v/>
      </c>
      <c r="F832" t="str">
        <f>""</f>
        <v/>
      </c>
      <c r="H832" t="str">
        <f t="shared" si="11"/>
        <v>CUST#2000172616</v>
      </c>
    </row>
    <row r="833" spans="1:8" x14ac:dyDescent="0.25">
      <c r="E833" t="str">
        <f>""</f>
        <v/>
      </c>
      <c r="F833" t="str">
        <f>""</f>
        <v/>
      </c>
      <c r="H833" t="str">
        <f t="shared" si="11"/>
        <v>CUST#2000172616</v>
      </c>
    </row>
    <row r="834" spans="1:8" x14ac:dyDescent="0.25">
      <c r="A834" t="s">
        <v>246</v>
      </c>
      <c r="B834">
        <v>134738</v>
      </c>
      <c r="C834" s="3">
        <v>9236.6299999999992</v>
      </c>
      <c r="D834" s="6">
        <v>44253</v>
      </c>
      <c r="E834" t="str">
        <f>"37102396"</f>
        <v>37102396</v>
      </c>
      <c r="F834" t="str">
        <f>"CUST#2000172616"</f>
        <v>CUST#2000172616</v>
      </c>
      <c r="G834" s="3">
        <v>9236.6299999999992</v>
      </c>
      <c r="H834" t="str">
        <f t="shared" ref="H834:H865" si="12">"CUST#2000172616"</f>
        <v>CUST#2000172616</v>
      </c>
    </row>
    <row r="835" spans="1:8" x14ac:dyDescent="0.25">
      <c r="E835" t="str">
        <f>""</f>
        <v/>
      </c>
      <c r="F835" t="str">
        <f>""</f>
        <v/>
      </c>
      <c r="H835" t="str">
        <f t="shared" si="12"/>
        <v>CUST#2000172616</v>
      </c>
    </row>
    <row r="836" spans="1:8" x14ac:dyDescent="0.25">
      <c r="E836" t="str">
        <f>""</f>
        <v/>
      </c>
      <c r="F836" t="str">
        <f>""</f>
        <v/>
      </c>
      <c r="H836" t="str">
        <f t="shared" si="12"/>
        <v>CUST#2000172616</v>
      </c>
    </row>
    <row r="837" spans="1:8" x14ac:dyDescent="0.25">
      <c r="E837" t="str">
        <f>""</f>
        <v/>
      </c>
      <c r="F837" t="str">
        <f>""</f>
        <v/>
      </c>
      <c r="H837" t="str">
        <f t="shared" si="12"/>
        <v>CUST#2000172616</v>
      </c>
    </row>
    <row r="838" spans="1:8" x14ac:dyDescent="0.25">
      <c r="E838" t="str">
        <f>""</f>
        <v/>
      </c>
      <c r="F838" t="str">
        <f>""</f>
        <v/>
      </c>
      <c r="H838" t="str">
        <f t="shared" si="12"/>
        <v>CUST#2000172616</v>
      </c>
    </row>
    <row r="839" spans="1:8" x14ac:dyDescent="0.25">
      <c r="E839" t="str">
        <f>""</f>
        <v/>
      </c>
      <c r="F839" t="str">
        <f>""</f>
        <v/>
      </c>
      <c r="H839" t="str">
        <f t="shared" si="12"/>
        <v>CUST#2000172616</v>
      </c>
    </row>
    <row r="840" spans="1:8" x14ac:dyDescent="0.25">
      <c r="E840" t="str">
        <f>""</f>
        <v/>
      </c>
      <c r="F840" t="str">
        <f>""</f>
        <v/>
      </c>
      <c r="H840" t="str">
        <f t="shared" si="12"/>
        <v>CUST#2000172616</v>
      </c>
    </row>
    <row r="841" spans="1:8" x14ac:dyDescent="0.25">
      <c r="E841" t="str">
        <f>""</f>
        <v/>
      </c>
      <c r="F841" t="str">
        <f>""</f>
        <v/>
      </c>
      <c r="H841" t="str">
        <f t="shared" si="12"/>
        <v>CUST#2000172616</v>
      </c>
    </row>
    <row r="842" spans="1:8" x14ac:dyDescent="0.25">
      <c r="E842" t="str">
        <f>""</f>
        <v/>
      </c>
      <c r="F842" t="str">
        <f>""</f>
        <v/>
      </c>
      <c r="H842" t="str">
        <f t="shared" si="12"/>
        <v>CUST#2000172616</v>
      </c>
    </row>
    <row r="843" spans="1:8" x14ac:dyDescent="0.25">
      <c r="E843" t="str">
        <f>""</f>
        <v/>
      </c>
      <c r="F843" t="str">
        <f>""</f>
        <v/>
      </c>
      <c r="H843" t="str">
        <f t="shared" si="12"/>
        <v>CUST#2000172616</v>
      </c>
    </row>
    <row r="844" spans="1:8" x14ac:dyDescent="0.25">
      <c r="E844" t="str">
        <f>""</f>
        <v/>
      </c>
      <c r="F844" t="str">
        <f>""</f>
        <v/>
      </c>
      <c r="H844" t="str">
        <f t="shared" si="12"/>
        <v>CUST#2000172616</v>
      </c>
    </row>
    <row r="845" spans="1:8" x14ac:dyDescent="0.25">
      <c r="E845" t="str">
        <f>""</f>
        <v/>
      </c>
      <c r="F845" t="str">
        <f>""</f>
        <v/>
      </c>
      <c r="H845" t="str">
        <f t="shared" si="12"/>
        <v>CUST#2000172616</v>
      </c>
    </row>
    <row r="846" spans="1:8" x14ac:dyDescent="0.25">
      <c r="E846" t="str">
        <f>""</f>
        <v/>
      </c>
      <c r="F846" t="str">
        <f>""</f>
        <v/>
      </c>
      <c r="H846" t="str">
        <f t="shared" si="12"/>
        <v>CUST#2000172616</v>
      </c>
    </row>
    <row r="847" spans="1:8" x14ac:dyDescent="0.25">
      <c r="E847" t="str">
        <f>""</f>
        <v/>
      </c>
      <c r="F847" t="str">
        <f>""</f>
        <v/>
      </c>
      <c r="H847" t="str">
        <f t="shared" si="12"/>
        <v>CUST#2000172616</v>
      </c>
    </row>
    <row r="848" spans="1:8" x14ac:dyDescent="0.25">
      <c r="E848" t="str">
        <f>""</f>
        <v/>
      </c>
      <c r="F848" t="str">
        <f>""</f>
        <v/>
      </c>
      <c r="H848" t="str">
        <f t="shared" si="12"/>
        <v>CUST#2000172616</v>
      </c>
    </row>
    <row r="849" spans="5:8" x14ac:dyDescent="0.25">
      <c r="E849" t="str">
        <f>""</f>
        <v/>
      </c>
      <c r="F849" t="str">
        <f>""</f>
        <v/>
      </c>
      <c r="H849" t="str">
        <f t="shared" si="12"/>
        <v>CUST#2000172616</v>
      </c>
    </row>
    <row r="850" spans="5:8" x14ac:dyDescent="0.25">
      <c r="E850" t="str">
        <f>""</f>
        <v/>
      </c>
      <c r="F850" t="str">
        <f>""</f>
        <v/>
      </c>
      <c r="H850" t="str">
        <f t="shared" si="12"/>
        <v>CUST#2000172616</v>
      </c>
    </row>
    <row r="851" spans="5:8" x14ac:dyDescent="0.25">
      <c r="E851" t="str">
        <f>""</f>
        <v/>
      </c>
      <c r="F851" t="str">
        <f>""</f>
        <v/>
      </c>
      <c r="H851" t="str">
        <f t="shared" si="12"/>
        <v>CUST#2000172616</v>
      </c>
    </row>
    <row r="852" spans="5:8" x14ac:dyDescent="0.25">
      <c r="E852" t="str">
        <f>""</f>
        <v/>
      </c>
      <c r="F852" t="str">
        <f>""</f>
        <v/>
      </c>
      <c r="H852" t="str">
        <f t="shared" si="12"/>
        <v>CUST#2000172616</v>
      </c>
    </row>
    <row r="853" spans="5:8" x14ac:dyDescent="0.25">
      <c r="E853" t="str">
        <f>""</f>
        <v/>
      </c>
      <c r="F853" t="str">
        <f>""</f>
        <v/>
      </c>
      <c r="H853" t="str">
        <f t="shared" si="12"/>
        <v>CUST#2000172616</v>
      </c>
    </row>
    <row r="854" spans="5:8" x14ac:dyDescent="0.25">
      <c r="E854" t="str">
        <f>""</f>
        <v/>
      </c>
      <c r="F854" t="str">
        <f>""</f>
        <v/>
      </c>
      <c r="H854" t="str">
        <f t="shared" si="12"/>
        <v>CUST#2000172616</v>
      </c>
    </row>
    <row r="855" spans="5:8" x14ac:dyDescent="0.25">
      <c r="E855" t="str">
        <f>""</f>
        <v/>
      </c>
      <c r="F855" t="str">
        <f>""</f>
        <v/>
      </c>
      <c r="H855" t="str">
        <f t="shared" si="12"/>
        <v>CUST#2000172616</v>
      </c>
    </row>
    <row r="856" spans="5:8" x14ac:dyDescent="0.25">
      <c r="E856" t="str">
        <f>""</f>
        <v/>
      </c>
      <c r="F856" t="str">
        <f>""</f>
        <v/>
      </c>
      <c r="H856" t="str">
        <f t="shared" si="12"/>
        <v>CUST#2000172616</v>
      </c>
    </row>
    <row r="857" spans="5:8" x14ac:dyDescent="0.25">
      <c r="E857" t="str">
        <f>""</f>
        <v/>
      </c>
      <c r="F857" t="str">
        <f>""</f>
        <v/>
      </c>
      <c r="H857" t="str">
        <f t="shared" si="12"/>
        <v>CUST#2000172616</v>
      </c>
    </row>
    <row r="858" spans="5:8" x14ac:dyDescent="0.25">
      <c r="E858" t="str">
        <f>""</f>
        <v/>
      </c>
      <c r="F858" t="str">
        <f>""</f>
        <v/>
      </c>
      <c r="H858" t="str">
        <f t="shared" si="12"/>
        <v>CUST#2000172616</v>
      </c>
    </row>
    <row r="859" spans="5:8" x14ac:dyDescent="0.25">
      <c r="E859" t="str">
        <f>""</f>
        <v/>
      </c>
      <c r="F859" t="str">
        <f>""</f>
        <v/>
      </c>
      <c r="H859" t="str">
        <f t="shared" si="12"/>
        <v>CUST#2000172616</v>
      </c>
    </row>
    <row r="860" spans="5:8" x14ac:dyDescent="0.25">
      <c r="E860" t="str">
        <f>""</f>
        <v/>
      </c>
      <c r="F860" t="str">
        <f>""</f>
        <v/>
      </c>
      <c r="H860" t="str">
        <f t="shared" si="12"/>
        <v>CUST#2000172616</v>
      </c>
    </row>
    <row r="861" spans="5:8" x14ac:dyDescent="0.25">
      <c r="E861" t="str">
        <f>""</f>
        <v/>
      </c>
      <c r="F861" t="str">
        <f>""</f>
        <v/>
      </c>
      <c r="H861" t="str">
        <f t="shared" si="12"/>
        <v>CUST#2000172616</v>
      </c>
    </row>
    <row r="862" spans="5:8" x14ac:dyDescent="0.25">
      <c r="E862" t="str">
        <f>""</f>
        <v/>
      </c>
      <c r="F862" t="str">
        <f>""</f>
        <v/>
      </c>
      <c r="H862" t="str">
        <f t="shared" si="12"/>
        <v>CUST#2000172616</v>
      </c>
    </row>
    <row r="863" spans="5:8" x14ac:dyDescent="0.25">
      <c r="E863" t="str">
        <f>""</f>
        <v/>
      </c>
      <c r="F863" t="str">
        <f>""</f>
        <v/>
      </c>
      <c r="H863" t="str">
        <f t="shared" si="12"/>
        <v>CUST#2000172616</v>
      </c>
    </row>
    <row r="864" spans="5:8" x14ac:dyDescent="0.25">
      <c r="E864" t="str">
        <f>""</f>
        <v/>
      </c>
      <c r="F864" t="str">
        <f>""</f>
        <v/>
      </c>
      <c r="H864" t="str">
        <f t="shared" si="12"/>
        <v>CUST#2000172616</v>
      </c>
    </row>
    <row r="865" spans="1:8" x14ac:dyDescent="0.25">
      <c r="E865" t="str">
        <f>""</f>
        <v/>
      </c>
      <c r="F865" t="str">
        <f>""</f>
        <v/>
      </c>
      <c r="H865" t="str">
        <f t="shared" si="12"/>
        <v>CUST#2000172616</v>
      </c>
    </row>
    <row r="866" spans="1:8" x14ac:dyDescent="0.25">
      <c r="A866" t="s">
        <v>247</v>
      </c>
      <c r="B866">
        <v>3989</v>
      </c>
      <c r="C866" s="3">
        <v>600</v>
      </c>
      <c r="D866" s="6">
        <v>44254</v>
      </c>
      <c r="E866" t="str">
        <f>"BCSOJAN21"</f>
        <v>BCSOJAN21</v>
      </c>
      <c r="F866" t="str">
        <f>"INV BCSOJAN21"</f>
        <v>INV BCSOJAN21</v>
      </c>
      <c r="G866" s="3">
        <v>600</v>
      </c>
      <c r="H866" t="str">
        <f>"INV BCSOJAN21"</f>
        <v>INV BCSOJAN21</v>
      </c>
    </row>
    <row r="867" spans="1:8" x14ac:dyDescent="0.25">
      <c r="A867" t="s">
        <v>248</v>
      </c>
      <c r="B867">
        <v>134617</v>
      </c>
      <c r="C867" s="3">
        <v>45.22</v>
      </c>
      <c r="D867" s="6">
        <v>44235</v>
      </c>
      <c r="E867" t="str">
        <f>"5186731"</f>
        <v>5186731</v>
      </c>
      <c r="F867" t="str">
        <f>"INV 5186731"</f>
        <v>INV 5186731</v>
      </c>
      <c r="G867" s="3">
        <v>45.22</v>
      </c>
      <c r="H867" t="str">
        <f>"INV 5186731"</f>
        <v>INV 5186731</v>
      </c>
    </row>
    <row r="868" spans="1:8" x14ac:dyDescent="0.25">
      <c r="A868" t="s">
        <v>248</v>
      </c>
      <c r="B868">
        <v>134739</v>
      </c>
      <c r="C868" s="3">
        <v>610.17999999999995</v>
      </c>
      <c r="D868" s="6">
        <v>44253</v>
      </c>
      <c r="E868" t="str">
        <f>"5199420"</f>
        <v>5199420</v>
      </c>
      <c r="F868" t="str">
        <f>"INV 5199420"</f>
        <v>INV 5199420</v>
      </c>
      <c r="G868" s="3">
        <v>610.17999999999995</v>
      </c>
      <c r="H868" t="str">
        <f>"INV 5199420"</f>
        <v>INV 5199420</v>
      </c>
    </row>
    <row r="869" spans="1:8" x14ac:dyDescent="0.25">
      <c r="A869" t="s">
        <v>249</v>
      </c>
      <c r="B869">
        <v>134740</v>
      </c>
      <c r="C869" s="3">
        <v>60</v>
      </c>
      <c r="D869" s="6">
        <v>44253</v>
      </c>
      <c r="E869" t="str">
        <f>"37348"</f>
        <v>37348</v>
      </c>
      <c r="F869" t="str">
        <f>"ROSA WARREN"</f>
        <v>ROSA WARREN</v>
      </c>
      <c r="G869" s="3">
        <v>60</v>
      </c>
      <c r="H869" t="str">
        <f>""</f>
        <v/>
      </c>
    </row>
    <row r="870" spans="1:8" x14ac:dyDescent="0.25">
      <c r="A870" t="s">
        <v>250</v>
      </c>
      <c r="B870">
        <v>134618</v>
      </c>
      <c r="C870" s="3">
        <v>54</v>
      </c>
      <c r="D870" s="6">
        <v>44235</v>
      </c>
      <c r="E870" t="str">
        <f>"202102021521"</f>
        <v>202102021521</v>
      </c>
      <c r="F870" t="str">
        <f>"LPHCP RECORDING FEES"</f>
        <v>LPHCP RECORDING FEES</v>
      </c>
      <c r="G870" s="3">
        <v>54</v>
      </c>
      <c r="H870" t="str">
        <f>"LPHCP RECORDING FEES"</f>
        <v>LPHCP RECORDING FEES</v>
      </c>
    </row>
    <row r="871" spans="1:8" x14ac:dyDescent="0.25">
      <c r="A871" t="s">
        <v>250</v>
      </c>
      <c r="B871">
        <v>134619</v>
      </c>
      <c r="C871" s="3">
        <v>416</v>
      </c>
      <c r="D871" s="6">
        <v>44235</v>
      </c>
      <c r="E871" t="str">
        <f>"202102021512"</f>
        <v>202102021512</v>
      </c>
      <c r="F871" t="str">
        <f>"ROSE PIETSCH COUNTY CLERK"</f>
        <v>ROSE PIETSCH COUNTY CLERK</v>
      </c>
      <c r="G871" s="3">
        <v>305</v>
      </c>
      <c r="H871" t="str">
        <f>"ROSE PIETSCH COUNTY CLERK"</f>
        <v>ROSE PIETSCH COUNTY CLERK</v>
      </c>
    </row>
    <row r="872" spans="1:8" x14ac:dyDescent="0.25">
      <c r="E872" t="str">
        <f>"202102031604"</f>
        <v>202102031604</v>
      </c>
      <c r="F872" t="str">
        <f>"DEVELOPMENT SVCS RECORDING FEE"</f>
        <v>DEVELOPMENT SVCS RECORDING FEE</v>
      </c>
      <c r="G872" s="3">
        <v>111</v>
      </c>
      <c r="H872" t="str">
        <f>"DEVELOPMENT SVCS RECORDING FEE"</f>
        <v>DEVELOPMENT SVCS RECORDING FEE</v>
      </c>
    </row>
    <row r="873" spans="1:8" x14ac:dyDescent="0.25">
      <c r="A873" t="s">
        <v>250</v>
      </c>
      <c r="B873">
        <v>134741</v>
      </c>
      <c r="C873" s="3">
        <v>368</v>
      </c>
      <c r="D873" s="6">
        <v>44253</v>
      </c>
      <c r="E873" t="str">
        <f>"202102221733"</f>
        <v>202102221733</v>
      </c>
      <c r="F873" t="str">
        <f>"LPHCP RECORDING FEE"</f>
        <v>LPHCP RECORDING FEE</v>
      </c>
      <c r="G873" s="3">
        <v>368</v>
      </c>
      <c r="H873" t="str">
        <f>"LPHCP RECORDING FEE"</f>
        <v>LPHCP RECORDING FEE</v>
      </c>
    </row>
    <row r="874" spans="1:8" x14ac:dyDescent="0.25">
      <c r="A874" t="s">
        <v>251</v>
      </c>
      <c r="B874">
        <v>134620</v>
      </c>
      <c r="C874" s="3">
        <v>125</v>
      </c>
      <c r="D874" s="6">
        <v>44235</v>
      </c>
      <c r="E874" t="str">
        <f>"202101271364"</f>
        <v>202101271364</v>
      </c>
      <c r="F874" t="str">
        <f>"SAM HOUSTON STATE UNIVERSITY"</f>
        <v>SAM HOUSTON STATE UNIVERSITY</v>
      </c>
      <c r="G874" s="3">
        <v>125</v>
      </c>
      <c r="H874" t="str">
        <f>"New Constable Tng"</f>
        <v>New Constable Tng</v>
      </c>
    </row>
    <row r="875" spans="1:8" x14ac:dyDescent="0.25">
      <c r="A875" t="s">
        <v>252</v>
      </c>
      <c r="B875">
        <v>134621</v>
      </c>
      <c r="C875" s="3">
        <v>761.2</v>
      </c>
      <c r="D875" s="6">
        <v>44235</v>
      </c>
      <c r="E875" t="str">
        <f>"241822"</f>
        <v>241822</v>
      </c>
      <c r="F875" t="str">
        <f>"CUST#52648/PCT#1"</f>
        <v>CUST#52648/PCT#1</v>
      </c>
      <c r="G875" s="3">
        <v>761.2</v>
      </c>
      <c r="H875" t="str">
        <f>"CUST#52648/PCT#1"</f>
        <v>CUST#52648/PCT#1</v>
      </c>
    </row>
    <row r="876" spans="1:8" x14ac:dyDescent="0.25">
      <c r="A876" t="s">
        <v>253</v>
      </c>
      <c r="B876">
        <v>4025</v>
      </c>
      <c r="C876" s="3">
        <v>102.52</v>
      </c>
      <c r="D876" s="6">
        <v>44254</v>
      </c>
      <c r="E876" t="str">
        <f>"202102221749"</f>
        <v>202102221749</v>
      </c>
      <c r="F876" t="str">
        <f>"INDIGENT HEALTH"</f>
        <v>INDIGENT HEALTH</v>
      </c>
      <c r="G876" s="3">
        <v>102.52</v>
      </c>
      <c r="H876" t="str">
        <f>"INDIGENT HEALTH"</f>
        <v>INDIGENT HEALTH</v>
      </c>
    </row>
    <row r="877" spans="1:8" x14ac:dyDescent="0.25">
      <c r="E877" t="str">
        <f>""</f>
        <v/>
      </c>
      <c r="F877" t="str">
        <f>""</f>
        <v/>
      </c>
      <c r="H877" t="str">
        <f>"INDIGENT HEALTH"</f>
        <v>INDIGENT HEALTH</v>
      </c>
    </row>
    <row r="878" spans="1:8" x14ac:dyDescent="0.25">
      <c r="A878" t="s">
        <v>254</v>
      </c>
      <c r="B878">
        <v>134742</v>
      </c>
      <c r="C878" s="3">
        <v>924.57</v>
      </c>
      <c r="D878" s="6">
        <v>44253</v>
      </c>
      <c r="E878" t="str">
        <f>"202102221753"</f>
        <v>202102221753</v>
      </c>
      <c r="F878" t="str">
        <f>"INDIGENT HEALTH"</f>
        <v>INDIGENT HEALTH</v>
      </c>
      <c r="G878" s="3">
        <v>924.57</v>
      </c>
      <c r="H878" t="str">
        <f>"INDIGENT HEALTH"</f>
        <v>INDIGENT HEALTH</v>
      </c>
    </row>
    <row r="879" spans="1:8" x14ac:dyDescent="0.25">
      <c r="E879" t="str">
        <f>""</f>
        <v/>
      </c>
      <c r="F879" t="str">
        <f>""</f>
        <v/>
      </c>
      <c r="H879" t="str">
        <f>"INDIGENT HEALTH"</f>
        <v>INDIGENT HEALTH</v>
      </c>
    </row>
    <row r="880" spans="1:8" x14ac:dyDescent="0.25">
      <c r="A880" t="s">
        <v>255</v>
      </c>
      <c r="B880">
        <v>134743</v>
      </c>
      <c r="C880" s="3">
        <v>400.13</v>
      </c>
      <c r="D880" s="6">
        <v>44253</v>
      </c>
      <c r="E880" t="str">
        <f>"202102221762"</f>
        <v>202102221762</v>
      </c>
      <c r="F880" t="str">
        <f>"INDIGENT HEALTH"</f>
        <v>INDIGENT HEALTH</v>
      </c>
      <c r="G880" s="3">
        <v>400.13</v>
      </c>
      <c r="H880" t="str">
        <f>"INDIGENT HEALTH"</f>
        <v>INDIGENT HEALTH</v>
      </c>
    </row>
    <row r="881" spans="1:8" x14ac:dyDescent="0.25">
      <c r="A881" t="s">
        <v>256</v>
      </c>
      <c r="B881">
        <v>3946</v>
      </c>
      <c r="C881" s="3">
        <v>435</v>
      </c>
      <c r="D881" s="6">
        <v>44236</v>
      </c>
      <c r="E881" t="str">
        <f>"066492"</f>
        <v>066492</v>
      </c>
      <c r="F881" t="str">
        <f>"MENILA DA FOLDERS"</f>
        <v>MENILA DA FOLDERS</v>
      </c>
      <c r="G881" s="3">
        <v>435</v>
      </c>
      <c r="H881" t="str">
        <f>"MENILA DA FOLDERS"</f>
        <v>MENILA DA FOLDERS</v>
      </c>
    </row>
    <row r="882" spans="1:8" x14ac:dyDescent="0.25">
      <c r="A882" t="s">
        <v>257</v>
      </c>
      <c r="B882">
        <v>134744</v>
      </c>
      <c r="C882" s="3">
        <v>6975.1</v>
      </c>
      <c r="D882" s="6">
        <v>44253</v>
      </c>
      <c r="E882" t="str">
        <f>"202102221745"</f>
        <v>202102221745</v>
      </c>
      <c r="F882" t="str">
        <f>"INDIGENT HEALTH"</f>
        <v>INDIGENT HEALTH</v>
      </c>
      <c r="G882" s="3">
        <v>3575.1</v>
      </c>
      <c r="H882" t="str">
        <f>"INDIGENT HEALTH"</f>
        <v>INDIGENT HEALTH</v>
      </c>
    </row>
    <row r="883" spans="1:8" x14ac:dyDescent="0.25">
      <c r="E883" t="str">
        <f>""</f>
        <v/>
      </c>
      <c r="F883" t="str">
        <f>""</f>
        <v/>
      </c>
      <c r="H883" t="str">
        <f>"INDIGENT HEALTH"</f>
        <v>INDIGENT HEALTH</v>
      </c>
    </row>
    <row r="884" spans="1:8" x14ac:dyDescent="0.25">
      <c r="E884" t="str">
        <f>"202102221761"</f>
        <v>202102221761</v>
      </c>
      <c r="F884" t="str">
        <f>"SETON PRESCRIPTION ASSISTANCE"</f>
        <v>SETON PRESCRIPTION ASSISTANCE</v>
      </c>
      <c r="G884" s="3">
        <v>3400</v>
      </c>
      <c r="H884" t="str">
        <f>"INDIGENT HEALTH"</f>
        <v>INDIGENT HEALTH</v>
      </c>
    </row>
    <row r="885" spans="1:8" x14ac:dyDescent="0.25">
      <c r="A885" t="s">
        <v>258</v>
      </c>
      <c r="B885">
        <v>134622</v>
      </c>
      <c r="C885" s="3">
        <v>11216</v>
      </c>
      <c r="D885" s="6">
        <v>44235</v>
      </c>
      <c r="E885" t="str">
        <f>"20485"</f>
        <v>20485</v>
      </c>
      <c r="F885" t="str">
        <f>"Printer for SO"</f>
        <v>Printer for SO</v>
      </c>
      <c r="G885" s="3">
        <v>214</v>
      </c>
      <c r="H885" t="str">
        <f>"HP LaserJet"</f>
        <v>HP LaserJet</v>
      </c>
    </row>
    <row r="886" spans="1:8" x14ac:dyDescent="0.25">
      <c r="E886" t="str">
        <f>"22271"</f>
        <v>22271</v>
      </c>
      <c r="F886" t="str">
        <f>"AXIS M305-V"</f>
        <v>AXIS M305-V</v>
      </c>
      <c r="G886" s="3">
        <v>412</v>
      </c>
      <c r="H886" t="str">
        <f>"AXIS M305-V"</f>
        <v>AXIS M305-V</v>
      </c>
    </row>
    <row r="887" spans="1:8" x14ac:dyDescent="0.25">
      <c r="E887" t="str">
        <f>""</f>
        <v/>
      </c>
      <c r="F887" t="str">
        <f>""</f>
        <v/>
      </c>
      <c r="H887" t="str">
        <f>"AXIS M305-V"</f>
        <v>AXIS M305-V</v>
      </c>
    </row>
    <row r="888" spans="1:8" x14ac:dyDescent="0.25">
      <c r="E888" t="str">
        <f>"GB00394692"</f>
        <v>GB00394692</v>
      </c>
      <c r="F888" t="str">
        <f>"SHI GOVERNMENT SOLUTIONS INC."</f>
        <v>SHI GOVERNMENT SOLUTIONS INC.</v>
      </c>
      <c r="G888" s="3">
        <v>10590</v>
      </c>
      <c r="H888" t="str">
        <f>"Know Be4 Awareness"</f>
        <v>Know Be4 Awareness</v>
      </c>
    </row>
    <row r="889" spans="1:8" x14ac:dyDescent="0.25">
      <c r="A889" t="s">
        <v>258</v>
      </c>
      <c r="B889">
        <v>134745</v>
      </c>
      <c r="C889" s="3">
        <v>251.33</v>
      </c>
      <c r="D889" s="6">
        <v>44253</v>
      </c>
      <c r="E889" t="str">
        <f>"22511"</f>
        <v>22511</v>
      </c>
      <c r="F889" t="str">
        <f>"SHI GOVERMENT SOLUTION"</f>
        <v>SHI GOVERMENT SOLUTION</v>
      </c>
      <c r="G889" s="3">
        <v>251.33</v>
      </c>
      <c r="H889" t="str">
        <f>"HP KIT M605"</f>
        <v>HP KIT M605</v>
      </c>
    </row>
    <row r="890" spans="1:8" x14ac:dyDescent="0.25">
      <c r="A890" t="s">
        <v>259</v>
      </c>
      <c r="B890">
        <v>134623</v>
      </c>
      <c r="C890" s="3">
        <v>11678</v>
      </c>
      <c r="D890" s="6">
        <v>44235</v>
      </c>
      <c r="E890" t="str">
        <f>"07533929"</f>
        <v>07533929</v>
      </c>
      <c r="F890" t="str">
        <f>"SHOPPA'S FARM SUPPLY"</f>
        <v>SHOPPA'S FARM SUPPLY</v>
      </c>
      <c r="G890" s="3">
        <v>11678</v>
      </c>
      <c r="H890" t="str">
        <f>"2019 Gator"</f>
        <v>2019 Gator</v>
      </c>
    </row>
    <row r="891" spans="1:8" x14ac:dyDescent="0.25">
      <c r="A891" t="s">
        <v>260</v>
      </c>
      <c r="B891">
        <v>134624</v>
      </c>
      <c r="C891" s="3">
        <v>69.989999999999995</v>
      </c>
      <c r="D891" s="6">
        <v>44235</v>
      </c>
      <c r="E891" t="str">
        <f>"8181199890"</f>
        <v>8181199890</v>
      </c>
      <c r="F891" t="str">
        <f>"CUST#16158670/JP4"</f>
        <v>CUST#16158670/JP4</v>
      </c>
      <c r="G891" s="3">
        <v>69.989999999999995</v>
      </c>
      <c r="H891" t="str">
        <f>"CUST#16158670/JP4"</f>
        <v>CUST#16158670/JP4</v>
      </c>
    </row>
    <row r="892" spans="1:8" x14ac:dyDescent="0.25">
      <c r="A892" t="s">
        <v>260</v>
      </c>
      <c r="B892">
        <v>134746</v>
      </c>
      <c r="C892" s="3">
        <v>795.81</v>
      </c>
      <c r="D892" s="6">
        <v>44253</v>
      </c>
      <c r="E892" t="str">
        <f>"8181390158"</f>
        <v>8181390158</v>
      </c>
      <c r="F892" t="str">
        <f>"INV 8181390158"</f>
        <v>INV 8181390158</v>
      </c>
      <c r="G892" s="3">
        <v>167.19</v>
      </c>
      <c r="H892" t="str">
        <f>"INV 8181390158 (LE)"</f>
        <v>INV 8181390158 (LE)</v>
      </c>
    </row>
    <row r="893" spans="1:8" x14ac:dyDescent="0.25">
      <c r="E893" t="str">
        <f>""</f>
        <v/>
      </c>
      <c r="F893" t="str">
        <f>""</f>
        <v/>
      </c>
      <c r="H893" t="str">
        <f>"INV 8181390158 (jAIL"</f>
        <v>INV 8181390158 (jAIL</v>
      </c>
    </row>
    <row r="894" spans="1:8" x14ac:dyDescent="0.25">
      <c r="E894" t="str">
        <f>"8181390536"</f>
        <v>8181390536</v>
      </c>
      <c r="F894" t="str">
        <f>"CUST#16151857"</f>
        <v>CUST#16151857</v>
      </c>
      <c r="G894" s="3">
        <v>126.81</v>
      </c>
      <c r="H894" t="str">
        <f>"CUST#16151857"</f>
        <v>CUST#16151857</v>
      </c>
    </row>
    <row r="895" spans="1:8" x14ac:dyDescent="0.25">
      <c r="E895" t="str">
        <f>""</f>
        <v/>
      </c>
      <c r="F895" t="str">
        <f>""</f>
        <v/>
      </c>
      <c r="H895" t="str">
        <f>"CUST#16151857"</f>
        <v>CUST#16151857</v>
      </c>
    </row>
    <row r="896" spans="1:8" x14ac:dyDescent="0.25">
      <c r="E896" t="str">
        <f>""</f>
        <v/>
      </c>
      <c r="F896" t="str">
        <f>""</f>
        <v/>
      </c>
      <c r="H896" t="str">
        <f>"CUST#16151857"</f>
        <v>CUST#16151857</v>
      </c>
    </row>
    <row r="897" spans="1:8" x14ac:dyDescent="0.25">
      <c r="E897" t="str">
        <f>"8181390652"</f>
        <v>8181390652</v>
      </c>
      <c r="F897" t="str">
        <f>"CUST#16155373"</f>
        <v>CUST#16155373</v>
      </c>
      <c r="G897" s="3">
        <v>141.16999999999999</v>
      </c>
      <c r="H897" t="str">
        <f t="shared" ref="H897:H902" si="13">"CUST#16155373"</f>
        <v>CUST#16155373</v>
      </c>
    </row>
    <row r="898" spans="1:8" x14ac:dyDescent="0.25">
      <c r="E898" t="str">
        <f>""</f>
        <v/>
      </c>
      <c r="F898" t="str">
        <f>""</f>
        <v/>
      </c>
      <c r="H898" t="str">
        <f t="shared" si="13"/>
        <v>CUST#16155373</v>
      </c>
    </row>
    <row r="899" spans="1:8" x14ac:dyDescent="0.25">
      <c r="E899" t="str">
        <f>""</f>
        <v/>
      </c>
      <c r="F899" t="str">
        <f>""</f>
        <v/>
      </c>
      <c r="H899" t="str">
        <f t="shared" si="13"/>
        <v>CUST#16155373</v>
      </c>
    </row>
    <row r="900" spans="1:8" x14ac:dyDescent="0.25">
      <c r="E900" t="str">
        <f>""</f>
        <v/>
      </c>
      <c r="F900" t="str">
        <f>""</f>
        <v/>
      </c>
      <c r="H900" t="str">
        <f t="shared" si="13"/>
        <v>CUST#16155373</v>
      </c>
    </row>
    <row r="901" spans="1:8" x14ac:dyDescent="0.25">
      <c r="E901" t="str">
        <f>""</f>
        <v/>
      </c>
      <c r="F901" t="str">
        <f>""</f>
        <v/>
      </c>
      <c r="H901" t="str">
        <f t="shared" si="13"/>
        <v>CUST#16155373</v>
      </c>
    </row>
    <row r="902" spans="1:8" x14ac:dyDescent="0.25">
      <c r="E902" t="str">
        <f>""</f>
        <v/>
      </c>
      <c r="F902" t="str">
        <f>""</f>
        <v/>
      </c>
      <c r="H902" t="str">
        <f t="shared" si="13"/>
        <v>CUST#16155373</v>
      </c>
    </row>
    <row r="903" spans="1:8" x14ac:dyDescent="0.25">
      <c r="E903" t="str">
        <f>"8181390757"</f>
        <v>8181390757</v>
      </c>
      <c r="F903" t="str">
        <f>"CUST#16158670"</f>
        <v>CUST#16158670</v>
      </c>
      <c r="G903" s="3">
        <v>285.27</v>
      </c>
      <c r="H903" t="str">
        <f>"CUST#16158670"</f>
        <v>CUST#16158670</v>
      </c>
    </row>
    <row r="904" spans="1:8" x14ac:dyDescent="0.25">
      <c r="E904" t="str">
        <f>"8181390871"</f>
        <v>8181390871</v>
      </c>
      <c r="F904" t="str">
        <f>"CUST#16160327"</f>
        <v>CUST#16160327</v>
      </c>
      <c r="G904" s="3">
        <v>75.37</v>
      </c>
      <c r="H904" t="str">
        <f>"CUST#16160327"</f>
        <v>CUST#16160327</v>
      </c>
    </row>
    <row r="905" spans="1:8" x14ac:dyDescent="0.25">
      <c r="E905" t="str">
        <f>""</f>
        <v/>
      </c>
      <c r="F905" t="str">
        <f>""</f>
        <v/>
      </c>
      <c r="H905" t="str">
        <f>"CUST#16160327"</f>
        <v>CUST#16160327</v>
      </c>
    </row>
    <row r="906" spans="1:8" x14ac:dyDescent="0.25">
      <c r="A906" t="s">
        <v>261</v>
      </c>
      <c r="B906">
        <v>134747</v>
      </c>
      <c r="C906" s="3">
        <v>350.17</v>
      </c>
      <c r="D906" s="6">
        <v>44253</v>
      </c>
      <c r="E906" t="str">
        <f>"202102221754"</f>
        <v>202102221754</v>
      </c>
      <c r="F906" t="str">
        <f>"INDIGENT HEALTH"</f>
        <v>INDIGENT HEALTH</v>
      </c>
      <c r="G906" s="3">
        <v>319.43</v>
      </c>
      <c r="H906" t="str">
        <f>"INDIGENT HEALTH"</f>
        <v>INDIGENT HEALTH</v>
      </c>
    </row>
    <row r="907" spans="1:8" x14ac:dyDescent="0.25">
      <c r="E907" t="str">
        <f>""</f>
        <v/>
      </c>
      <c r="F907" t="str">
        <f>""</f>
        <v/>
      </c>
      <c r="H907" t="str">
        <f>"INDIGENT HEALTH"</f>
        <v>INDIGENT HEALTH</v>
      </c>
    </row>
    <row r="908" spans="1:8" x14ac:dyDescent="0.25">
      <c r="E908" t="str">
        <f>"4766*146*1"</f>
        <v>4766*146*1</v>
      </c>
      <c r="F908" t="str">
        <f>"JAIL MEDICAL"</f>
        <v>JAIL MEDICAL</v>
      </c>
      <c r="G908" s="3">
        <v>30.74</v>
      </c>
      <c r="H908" t="str">
        <f>"JAIL MEDICAL"</f>
        <v>JAIL MEDICAL</v>
      </c>
    </row>
    <row r="909" spans="1:8" x14ac:dyDescent="0.25">
      <c r="A909" t="s">
        <v>262</v>
      </c>
      <c r="B909">
        <v>134625</v>
      </c>
      <c r="C909" s="3">
        <v>1094.27</v>
      </c>
      <c r="D909" s="6">
        <v>44235</v>
      </c>
      <c r="E909" t="str">
        <f>"202102031593"</f>
        <v>202102031593</v>
      </c>
      <c r="F909" t="str">
        <f>"ACCT#260/PCT#2"</f>
        <v>ACCT#260/PCT#2</v>
      </c>
      <c r="G909" s="3">
        <v>1094.27</v>
      </c>
      <c r="H909" t="str">
        <f>"ACCT#260/PCT#2"</f>
        <v>ACCT#260/PCT#2</v>
      </c>
    </row>
    <row r="910" spans="1:8" x14ac:dyDescent="0.25">
      <c r="A910" t="s">
        <v>263</v>
      </c>
      <c r="B910">
        <v>134626</v>
      </c>
      <c r="C910" s="3">
        <v>5060</v>
      </c>
      <c r="D910" s="6">
        <v>44235</v>
      </c>
      <c r="E910" t="str">
        <f>"21981"</f>
        <v>21981</v>
      </c>
      <c r="F910" t="str">
        <f>"SOLARWINDS"</f>
        <v>SOLARWINDS</v>
      </c>
      <c r="G910" s="3">
        <v>5060</v>
      </c>
      <c r="H910" t="str">
        <f>"SOLARWINDS"</f>
        <v>SOLARWINDS</v>
      </c>
    </row>
    <row r="911" spans="1:8" x14ac:dyDescent="0.25">
      <c r="A911" t="s">
        <v>264</v>
      </c>
      <c r="B911">
        <v>134748</v>
      </c>
      <c r="C911" s="3">
        <v>36.89</v>
      </c>
      <c r="D911" s="6">
        <v>44253</v>
      </c>
      <c r="E911" t="str">
        <f>"4735*155*1"</f>
        <v>4735*155*1</v>
      </c>
      <c r="F911" t="str">
        <f>"JAIL MEDICAL"</f>
        <v>JAIL MEDICAL</v>
      </c>
      <c r="G911" s="3">
        <v>36.89</v>
      </c>
      <c r="H911" t="str">
        <f>"JAIL MEDICAL"</f>
        <v>JAIL MEDICAL</v>
      </c>
    </row>
    <row r="912" spans="1:8" x14ac:dyDescent="0.25">
      <c r="A912" t="s">
        <v>265</v>
      </c>
      <c r="B912">
        <v>134749</v>
      </c>
      <c r="C912" s="3">
        <v>332.22</v>
      </c>
      <c r="D912" s="6">
        <v>44253</v>
      </c>
      <c r="E912" t="str">
        <f>"21T-643"</f>
        <v>21T-643</v>
      </c>
      <c r="F912" t="str">
        <f>"JANUARY SOFTWARE LICENSE"</f>
        <v>JANUARY SOFTWARE LICENSE</v>
      </c>
      <c r="G912" s="3">
        <v>332.22</v>
      </c>
      <c r="H912" t="str">
        <f>"JANUARY SOFTWARE LICENSE"</f>
        <v>JANUARY SOFTWARE LICENSE</v>
      </c>
    </row>
    <row r="913" spans="1:8" x14ac:dyDescent="0.25">
      <c r="A913" t="s">
        <v>266</v>
      </c>
      <c r="B913">
        <v>134627</v>
      </c>
      <c r="C913" s="3">
        <v>4982.72</v>
      </c>
      <c r="D913" s="6">
        <v>44235</v>
      </c>
      <c r="E913" t="str">
        <f>"21-26806"</f>
        <v>21-26806</v>
      </c>
      <c r="F913" t="str">
        <f>"INV 4240022503"</f>
        <v>INV 4240022503</v>
      </c>
      <c r="G913" s="3">
        <v>1308.4000000000001</v>
      </c>
      <c r="H913" t="str">
        <f>"INV 4240022503"</f>
        <v>INV 4240022503</v>
      </c>
    </row>
    <row r="914" spans="1:8" x14ac:dyDescent="0.25">
      <c r="E914" t="str">
        <f>"4650067591"</f>
        <v>4650067591</v>
      </c>
      <c r="F914" t="str">
        <f>"CUST#0052158/PCT#1"</f>
        <v>CUST#0052158/PCT#1</v>
      </c>
      <c r="G914" s="3">
        <v>158.5</v>
      </c>
      <c r="H914" t="str">
        <f>"CUST#0052158/PCT#1"</f>
        <v>CUST#0052158/PCT#1</v>
      </c>
    </row>
    <row r="915" spans="1:8" x14ac:dyDescent="0.25">
      <c r="E915" t="str">
        <f>"4650067699"</f>
        <v>4650067699</v>
      </c>
      <c r="F915" t="str">
        <f>"UNIT#4340/PCT#3"</f>
        <v>UNIT#4340/PCT#3</v>
      </c>
      <c r="G915" s="3">
        <v>3488.32</v>
      </c>
      <c r="H915" t="str">
        <f>"UNIT#4340/PCT#3"</f>
        <v>UNIT#4340/PCT#3</v>
      </c>
    </row>
    <row r="916" spans="1:8" x14ac:dyDescent="0.25">
      <c r="E916" t="str">
        <f>"4650067825"</f>
        <v>4650067825</v>
      </c>
      <c r="F916" t="str">
        <f>"CUST#0052157/PCT#3"</f>
        <v>CUST#0052157/PCT#3</v>
      </c>
      <c r="G916" s="3">
        <v>27.5</v>
      </c>
      <c r="H916" t="str">
        <f>"CUST#0052157/PCT#3"</f>
        <v>CUST#0052157/PCT#3</v>
      </c>
    </row>
    <row r="917" spans="1:8" x14ac:dyDescent="0.25">
      <c r="A917" t="s">
        <v>266</v>
      </c>
      <c r="B917">
        <v>134750</v>
      </c>
      <c r="C917" s="3">
        <v>1836.52</v>
      </c>
      <c r="D917" s="6">
        <v>44253</v>
      </c>
      <c r="E917" t="str">
        <f>"4240023035"</f>
        <v>4240023035</v>
      </c>
      <c r="F917" t="str">
        <f>"INV 4240023035"</f>
        <v>INV 4240023035</v>
      </c>
      <c r="G917" s="3">
        <v>1177.56</v>
      </c>
      <c r="H917" t="str">
        <f>"INV 4240023035"</f>
        <v>INV 4240023035</v>
      </c>
    </row>
    <row r="918" spans="1:8" x14ac:dyDescent="0.25">
      <c r="E918" t="str">
        <f>"4240023044"</f>
        <v>4240023044</v>
      </c>
      <c r="F918" t="str">
        <f>"INV 4240023044"</f>
        <v>INV 4240023044</v>
      </c>
      <c r="G918" s="3">
        <v>658.96</v>
      </c>
      <c r="H918" t="str">
        <f>"INV 4240023044"</f>
        <v>INV 4240023044</v>
      </c>
    </row>
    <row r="919" spans="1:8" x14ac:dyDescent="0.25">
      <c r="A919" t="s">
        <v>267</v>
      </c>
      <c r="B919">
        <v>134751</v>
      </c>
      <c r="C919" s="3">
        <v>2105</v>
      </c>
      <c r="D919" s="6">
        <v>44253</v>
      </c>
      <c r="E919" t="str">
        <f>"202102221756"</f>
        <v>202102221756</v>
      </c>
      <c r="F919" t="str">
        <f>"INDIGENT HEALTH"</f>
        <v>INDIGENT HEALTH</v>
      </c>
      <c r="G919" s="3">
        <v>511.8</v>
      </c>
      <c r="H919" t="str">
        <f>"INDIGENT HEALTH"</f>
        <v>INDIGENT HEALTH</v>
      </c>
    </row>
    <row r="920" spans="1:8" x14ac:dyDescent="0.25">
      <c r="E920" t="str">
        <f>"4756*98030*1"</f>
        <v>4756*98030*1</v>
      </c>
      <c r="F920" t="str">
        <f>"JAIL MEDICAL"</f>
        <v>JAIL MEDICAL</v>
      </c>
      <c r="G920" s="3">
        <v>1593.2</v>
      </c>
      <c r="H920" t="str">
        <f>"JAIL MEDICAL"</f>
        <v>JAIL MEDICAL</v>
      </c>
    </row>
    <row r="921" spans="1:8" x14ac:dyDescent="0.25">
      <c r="A921" t="s">
        <v>268</v>
      </c>
      <c r="B921">
        <v>134752</v>
      </c>
      <c r="C921" s="3">
        <v>161.88999999999999</v>
      </c>
      <c r="D921" s="6">
        <v>44253</v>
      </c>
      <c r="E921" t="str">
        <f>"202102221758"</f>
        <v>202102221758</v>
      </c>
      <c r="F921" t="str">
        <f>"INDIGENT HEALTH"</f>
        <v>INDIGENT HEALTH</v>
      </c>
      <c r="G921" s="3">
        <v>161.88999999999999</v>
      </c>
      <c r="H921" t="str">
        <f>"INDIGENT HEALTH"</f>
        <v>INDIGENT HEALTH</v>
      </c>
    </row>
    <row r="922" spans="1:8" x14ac:dyDescent="0.25">
      <c r="A922" t="s">
        <v>269</v>
      </c>
      <c r="B922">
        <v>134753</v>
      </c>
      <c r="C922" s="3">
        <v>1121.27</v>
      </c>
      <c r="D922" s="6">
        <v>44253</v>
      </c>
      <c r="E922" t="str">
        <f>"202102221757"</f>
        <v>202102221757</v>
      </c>
      <c r="F922" t="str">
        <f>"INDIGENT HEALTH"</f>
        <v>INDIGENT HEALTH</v>
      </c>
      <c r="G922" s="3">
        <v>1121.27</v>
      </c>
      <c r="H922" t="str">
        <f>"INDIGENT HEALTH"</f>
        <v>INDIGENT HEALTH</v>
      </c>
    </row>
    <row r="923" spans="1:8" x14ac:dyDescent="0.25">
      <c r="E923" t="str">
        <f>""</f>
        <v/>
      </c>
      <c r="F923" t="str">
        <f>""</f>
        <v/>
      </c>
      <c r="H923" t="str">
        <f>"INDIGENT HEALTH"</f>
        <v>INDIGENT HEALTH</v>
      </c>
    </row>
    <row r="924" spans="1:8" x14ac:dyDescent="0.25">
      <c r="A924" t="s">
        <v>270</v>
      </c>
      <c r="B924">
        <v>134628</v>
      </c>
      <c r="C924" s="3">
        <v>1915.62</v>
      </c>
      <c r="D924" s="6">
        <v>44235</v>
      </c>
      <c r="E924" t="str">
        <f>"8060958567"</f>
        <v>8060958567</v>
      </c>
      <c r="F924" t="str">
        <f>"Summary"</f>
        <v>Summary</v>
      </c>
      <c r="G924" s="3">
        <v>1915.62</v>
      </c>
      <c r="H924" t="str">
        <f>"3466996555"</f>
        <v>3466996555</v>
      </c>
    </row>
    <row r="925" spans="1:8" x14ac:dyDescent="0.25">
      <c r="E925" t="str">
        <f>""</f>
        <v/>
      </c>
      <c r="F925" t="str">
        <f>""</f>
        <v/>
      </c>
      <c r="H925" t="str">
        <f>"3466996556"</f>
        <v>3466996556</v>
      </c>
    </row>
    <row r="926" spans="1:8" x14ac:dyDescent="0.25">
      <c r="E926" t="str">
        <f>""</f>
        <v/>
      </c>
      <c r="F926" t="str">
        <f>""</f>
        <v/>
      </c>
      <c r="H926" t="str">
        <f>"3466996553"</f>
        <v>3466996553</v>
      </c>
    </row>
    <row r="927" spans="1:8" x14ac:dyDescent="0.25">
      <c r="E927" t="str">
        <f>""</f>
        <v/>
      </c>
      <c r="F927" t="str">
        <f>""</f>
        <v/>
      </c>
      <c r="H927" t="str">
        <f>"3466996550"</f>
        <v>3466996550</v>
      </c>
    </row>
    <row r="928" spans="1:8" x14ac:dyDescent="0.25">
      <c r="E928" t="str">
        <f>""</f>
        <v/>
      </c>
      <c r="F928" t="str">
        <f>""</f>
        <v/>
      </c>
      <c r="H928" t="str">
        <f>"3466996551"</f>
        <v>3466996551</v>
      </c>
    </row>
    <row r="929" spans="1:8" x14ac:dyDescent="0.25">
      <c r="E929" t="str">
        <f>""</f>
        <v/>
      </c>
      <c r="F929" t="str">
        <f>""</f>
        <v/>
      </c>
      <c r="H929" t="str">
        <f>"3466996552"</f>
        <v>3466996552</v>
      </c>
    </row>
    <row r="930" spans="1:8" x14ac:dyDescent="0.25">
      <c r="E930" t="str">
        <f>""</f>
        <v/>
      </c>
      <c r="F930" t="str">
        <f>""</f>
        <v/>
      </c>
      <c r="H930" t="str">
        <f>"3466996561"</f>
        <v>3466996561</v>
      </c>
    </row>
    <row r="931" spans="1:8" x14ac:dyDescent="0.25">
      <c r="E931" t="str">
        <f>""</f>
        <v/>
      </c>
      <c r="F931" t="str">
        <f>""</f>
        <v/>
      </c>
      <c r="H931" t="str">
        <f>"3466996563"</f>
        <v>3466996563</v>
      </c>
    </row>
    <row r="932" spans="1:8" x14ac:dyDescent="0.25">
      <c r="E932" t="str">
        <f>""</f>
        <v/>
      </c>
      <c r="F932" t="str">
        <f>""</f>
        <v/>
      </c>
      <c r="H932" t="str">
        <f>"3466996559"</f>
        <v>3466996559</v>
      </c>
    </row>
    <row r="933" spans="1:8" x14ac:dyDescent="0.25">
      <c r="E933" t="str">
        <f>""</f>
        <v/>
      </c>
      <c r="F933" t="str">
        <f>""</f>
        <v/>
      </c>
      <c r="H933" t="str">
        <f>"3466966560"</f>
        <v>3466966560</v>
      </c>
    </row>
    <row r="934" spans="1:8" x14ac:dyDescent="0.25">
      <c r="E934" t="str">
        <f>""</f>
        <v/>
      </c>
      <c r="F934" t="str">
        <f>""</f>
        <v/>
      </c>
      <c r="H934" t="str">
        <f>"3466996558"</f>
        <v>3466996558</v>
      </c>
    </row>
    <row r="935" spans="1:8" x14ac:dyDescent="0.25">
      <c r="E935" t="str">
        <f>""</f>
        <v/>
      </c>
      <c r="F935" t="str">
        <f>""</f>
        <v/>
      </c>
      <c r="H935" t="str">
        <f>"3466996557"</f>
        <v>3466996557</v>
      </c>
    </row>
    <row r="936" spans="1:8" x14ac:dyDescent="0.25">
      <c r="A936" t="s">
        <v>270</v>
      </c>
      <c r="B936">
        <v>134754</v>
      </c>
      <c r="C936" s="3">
        <v>4126.09</v>
      </c>
      <c r="D936" s="6">
        <v>44253</v>
      </c>
      <c r="E936" t="str">
        <f>"8061174352"</f>
        <v>8061174352</v>
      </c>
      <c r="F936" t="str">
        <f>"Statement"</f>
        <v>Statement</v>
      </c>
      <c r="G936" s="3">
        <v>2414.25</v>
      </c>
      <c r="H936" t="str">
        <f>"3468801457"</f>
        <v>3468801457</v>
      </c>
    </row>
    <row r="937" spans="1:8" x14ac:dyDescent="0.25">
      <c r="E937" t="str">
        <f>""</f>
        <v/>
      </c>
      <c r="F937" t="str">
        <f>""</f>
        <v/>
      </c>
      <c r="H937" t="str">
        <f>"3468801460"</f>
        <v>3468801460</v>
      </c>
    </row>
    <row r="938" spans="1:8" x14ac:dyDescent="0.25">
      <c r="E938" t="str">
        <f>""</f>
        <v/>
      </c>
      <c r="F938" t="str">
        <f>""</f>
        <v/>
      </c>
      <c r="H938" t="str">
        <f>"3468801456"</f>
        <v>3468801456</v>
      </c>
    </row>
    <row r="939" spans="1:8" x14ac:dyDescent="0.25">
      <c r="E939" t="str">
        <f>""</f>
        <v/>
      </c>
      <c r="F939" t="str">
        <f>""</f>
        <v/>
      </c>
      <c r="H939" t="str">
        <f>"3468801461"</f>
        <v>3468801461</v>
      </c>
    </row>
    <row r="940" spans="1:8" x14ac:dyDescent="0.25">
      <c r="E940" t="str">
        <f>""</f>
        <v/>
      </c>
      <c r="F940" t="str">
        <f>""</f>
        <v/>
      </c>
      <c r="H940" t="str">
        <f>"3468801466"</f>
        <v>3468801466</v>
      </c>
    </row>
    <row r="941" spans="1:8" x14ac:dyDescent="0.25">
      <c r="E941" t="str">
        <f>""</f>
        <v/>
      </c>
      <c r="F941" t="str">
        <f>""</f>
        <v/>
      </c>
      <c r="H941" t="str">
        <f>"3468801467"</f>
        <v>3468801467</v>
      </c>
    </row>
    <row r="942" spans="1:8" x14ac:dyDescent="0.25">
      <c r="E942" t="str">
        <f>""</f>
        <v/>
      </c>
      <c r="F942" t="str">
        <f>""</f>
        <v/>
      </c>
      <c r="H942" t="str">
        <f>"3468801465"</f>
        <v>3468801465</v>
      </c>
    </row>
    <row r="943" spans="1:8" x14ac:dyDescent="0.25">
      <c r="E943" t="str">
        <f>""</f>
        <v/>
      </c>
      <c r="F943" t="str">
        <f>""</f>
        <v/>
      </c>
      <c r="H943" t="str">
        <f>"3468801468"</f>
        <v>3468801468</v>
      </c>
    </row>
    <row r="944" spans="1:8" x14ac:dyDescent="0.25">
      <c r="E944" t="str">
        <f>""</f>
        <v/>
      </c>
      <c r="F944" t="str">
        <f>""</f>
        <v/>
      </c>
      <c r="H944" t="str">
        <f>"3468801462"</f>
        <v>3468801462</v>
      </c>
    </row>
    <row r="945" spans="5:8" x14ac:dyDescent="0.25">
      <c r="E945" t="str">
        <f>""</f>
        <v/>
      </c>
      <c r="F945" t="str">
        <f>""</f>
        <v/>
      </c>
      <c r="H945" t="str">
        <f>"3468801463"</f>
        <v>3468801463</v>
      </c>
    </row>
    <row r="946" spans="5:8" x14ac:dyDescent="0.25">
      <c r="E946" t="str">
        <f>""</f>
        <v/>
      </c>
      <c r="F946" t="str">
        <f>""</f>
        <v/>
      </c>
      <c r="H946" t="str">
        <f>"3468801464"</f>
        <v>3468801464</v>
      </c>
    </row>
    <row r="947" spans="5:8" x14ac:dyDescent="0.25">
      <c r="E947" t="str">
        <f>""</f>
        <v/>
      </c>
      <c r="F947" t="str">
        <f>""</f>
        <v/>
      </c>
      <c r="H947" t="str">
        <f>"3468801469"</f>
        <v>3468801469</v>
      </c>
    </row>
    <row r="948" spans="5:8" x14ac:dyDescent="0.25">
      <c r="E948" t="str">
        <f>"8061319123"</f>
        <v>8061319123</v>
      </c>
      <c r="F948" t="str">
        <f>"Statement"</f>
        <v>Statement</v>
      </c>
      <c r="G948" s="3">
        <v>1711.84</v>
      </c>
      <c r="H948" t="str">
        <f>"3469797238"</f>
        <v>3469797238</v>
      </c>
    </row>
    <row r="949" spans="5:8" x14ac:dyDescent="0.25">
      <c r="E949" t="str">
        <f>""</f>
        <v/>
      </c>
      <c r="F949" t="str">
        <f>""</f>
        <v/>
      </c>
      <c r="H949" t="str">
        <f>"3469797239"</f>
        <v>3469797239</v>
      </c>
    </row>
    <row r="950" spans="5:8" x14ac:dyDescent="0.25">
      <c r="E950" t="str">
        <f>""</f>
        <v/>
      </c>
      <c r="F950" t="str">
        <f>""</f>
        <v/>
      </c>
      <c r="H950" t="str">
        <f>"3469797241"</f>
        <v>3469797241</v>
      </c>
    </row>
    <row r="951" spans="5:8" x14ac:dyDescent="0.25">
      <c r="E951" t="str">
        <f>""</f>
        <v/>
      </c>
      <c r="F951" t="str">
        <f>""</f>
        <v/>
      </c>
      <c r="H951" t="str">
        <f>"3469797240"</f>
        <v>3469797240</v>
      </c>
    </row>
    <row r="952" spans="5:8" x14ac:dyDescent="0.25">
      <c r="E952" t="str">
        <f>""</f>
        <v/>
      </c>
      <c r="F952" t="str">
        <f>""</f>
        <v/>
      </c>
      <c r="H952" t="str">
        <f>"3469797237"</f>
        <v>3469797237</v>
      </c>
    </row>
    <row r="953" spans="5:8" x14ac:dyDescent="0.25">
      <c r="E953" t="str">
        <f>""</f>
        <v/>
      </c>
      <c r="F953" t="str">
        <f>""</f>
        <v/>
      </c>
      <c r="H953" t="str">
        <f>"3469797243"</f>
        <v>3469797243</v>
      </c>
    </row>
    <row r="954" spans="5:8" x14ac:dyDescent="0.25">
      <c r="E954" t="str">
        <f>""</f>
        <v/>
      </c>
      <c r="F954" t="str">
        <f>""</f>
        <v/>
      </c>
      <c r="H954" t="str">
        <f>"3469797245"</f>
        <v>3469797245</v>
      </c>
    </row>
    <row r="955" spans="5:8" x14ac:dyDescent="0.25">
      <c r="E955" t="str">
        <f>""</f>
        <v/>
      </c>
      <c r="F955" t="str">
        <f>""</f>
        <v/>
      </c>
      <c r="H955" t="str">
        <f>"3469797247"</f>
        <v>3469797247</v>
      </c>
    </row>
    <row r="956" spans="5:8" x14ac:dyDescent="0.25">
      <c r="E956" t="str">
        <f>""</f>
        <v/>
      </c>
      <c r="F956" t="str">
        <f>""</f>
        <v/>
      </c>
      <c r="H956" t="str">
        <f>"3469797248"</f>
        <v>3469797248</v>
      </c>
    </row>
    <row r="957" spans="5:8" x14ac:dyDescent="0.25">
      <c r="E957" t="str">
        <f>""</f>
        <v/>
      </c>
      <c r="F957" t="str">
        <f>""</f>
        <v/>
      </c>
      <c r="H957" t="str">
        <f>"3469797249"</f>
        <v>3469797249</v>
      </c>
    </row>
    <row r="958" spans="5:8" x14ac:dyDescent="0.25">
      <c r="E958" t="str">
        <f>""</f>
        <v/>
      </c>
      <c r="F958" t="str">
        <f>""</f>
        <v/>
      </c>
      <c r="H958" t="str">
        <f>"3469797250"</f>
        <v>3469797250</v>
      </c>
    </row>
    <row r="959" spans="5:8" x14ac:dyDescent="0.25">
      <c r="E959" t="str">
        <f>""</f>
        <v/>
      </c>
      <c r="F959" t="str">
        <f>""</f>
        <v/>
      </c>
      <c r="H959" t="str">
        <f>"3469797251"</f>
        <v>3469797251</v>
      </c>
    </row>
    <row r="960" spans="5:8" x14ac:dyDescent="0.25">
      <c r="E960" t="str">
        <f>""</f>
        <v/>
      </c>
      <c r="F960" t="str">
        <f>""</f>
        <v/>
      </c>
      <c r="H960" t="str">
        <f>"3469797244"</f>
        <v>3469797244</v>
      </c>
    </row>
    <row r="961" spans="1:8" x14ac:dyDescent="0.25">
      <c r="E961" t="str">
        <f>""</f>
        <v/>
      </c>
      <c r="F961" t="str">
        <f>""</f>
        <v/>
      </c>
      <c r="H961" t="str">
        <f>"3469797246"</f>
        <v>3469797246</v>
      </c>
    </row>
    <row r="962" spans="1:8" x14ac:dyDescent="0.25">
      <c r="E962" t="str">
        <f>""</f>
        <v/>
      </c>
      <c r="F962" t="str">
        <f>""</f>
        <v/>
      </c>
      <c r="H962" t="str">
        <f>"3469797242"</f>
        <v>3469797242</v>
      </c>
    </row>
    <row r="963" spans="1:8" x14ac:dyDescent="0.25">
      <c r="A963" t="s">
        <v>271</v>
      </c>
      <c r="B963">
        <v>134755</v>
      </c>
      <c r="C963" s="3">
        <v>560</v>
      </c>
      <c r="D963" s="6">
        <v>44253</v>
      </c>
      <c r="E963" t="str">
        <f>"202102231786"</f>
        <v>202102231786</v>
      </c>
      <c r="F963" t="str">
        <f>"JANUARY 2021"</f>
        <v>JANUARY 2021</v>
      </c>
      <c r="G963" s="3">
        <v>560</v>
      </c>
      <c r="H963" t="str">
        <f>"JANUARY 2021"</f>
        <v>JANUARY 2021</v>
      </c>
    </row>
    <row r="964" spans="1:8" x14ac:dyDescent="0.25">
      <c r="A964" t="s">
        <v>272</v>
      </c>
      <c r="B964">
        <v>134629</v>
      </c>
      <c r="C964" s="3">
        <v>750</v>
      </c>
      <c r="D964" s="6">
        <v>44235</v>
      </c>
      <c r="E964" t="str">
        <f>"1009593"</f>
        <v>1009593</v>
      </c>
      <c r="F964" t="str">
        <f>"STONY POINT WWS PHASE 7"</f>
        <v>STONY POINT WWS PHASE 7</v>
      </c>
      <c r="G964" s="3">
        <v>750</v>
      </c>
      <c r="H964" t="str">
        <f>"STONY POINT WWS PHASE 7"</f>
        <v>STONY POINT WWS PHASE 7</v>
      </c>
    </row>
    <row r="965" spans="1:8" x14ac:dyDescent="0.25">
      <c r="A965" t="s">
        <v>272</v>
      </c>
      <c r="B965">
        <v>134756</v>
      </c>
      <c r="C965" s="3">
        <v>750</v>
      </c>
      <c r="D965" s="6">
        <v>44253</v>
      </c>
      <c r="E965" t="str">
        <f>"1009736"</f>
        <v>1009736</v>
      </c>
      <c r="F965" t="str">
        <f>"PROJECT#20800-P7"</f>
        <v>PROJECT#20800-P7</v>
      </c>
      <c r="G965" s="3">
        <v>750</v>
      </c>
      <c r="H965" t="str">
        <f>"PROJECT#20800-P7"</f>
        <v>PROJECT#20800-P7</v>
      </c>
    </row>
    <row r="966" spans="1:8" x14ac:dyDescent="0.25">
      <c r="A966" t="s">
        <v>273</v>
      </c>
      <c r="B966">
        <v>134630</v>
      </c>
      <c r="C966" s="3">
        <v>834.29</v>
      </c>
      <c r="D966" s="6">
        <v>44235</v>
      </c>
      <c r="E966" t="str">
        <f>"4009882174"</f>
        <v>4009882174</v>
      </c>
      <c r="F966" t="str">
        <f>"INV 4009882174"</f>
        <v>INV 4009882174</v>
      </c>
      <c r="G966" s="3">
        <v>834.29</v>
      </c>
      <c r="H966" t="str">
        <f>"INV 4009882174"</f>
        <v>INV 4009882174</v>
      </c>
    </row>
    <row r="967" spans="1:8" x14ac:dyDescent="0.25">
      <c r="A967" t="s">
        <v>274</v>
      </c>
      <c r="B967">
        <v>3905</v>
      </c>
      <c r="C967" s="3">
        <v>455</v>
      </c>
      <c r="D967" s="6">
        <v>44236</v>
      </c>
      <c r="E967" t="str">
        <f>"202102021516"</f>
        <v>202102021516</v>
      </c>
      <c r="F967" t="str">
        <f>"TRASH REMOVAL/PCT#4"</f>
        <v>TRASH REMOVAL/PCT#4</v>
      </c>
      <c r="G967" s="3">
        <v>221</v>
      </c>
      <c r="H967" t="str">
        <f>"TRASH REMOVAL/PCT#4"</f>
        <v>TRASH REMOVAL/PCT#4</v>
      </c>
    </row>
    <row r="968" spans="1:8" x14ac:dyDescent="0.25">
      <c r="E968" t="str">
        <f>"202102021517"</f>
        <v>202102021517</v>
      </c>
      <c r="F968" t="str">
        <f>"TRASH REMOVAL/PCT#4"</f>
        <v>TRASH REMOVAL/PCT#4</v>
      </c>
      <c r="G968" s="3">
        <v>234</v>
      </c>
      <c r="H968" t="str">
        <f>"TRASH REMOVAL/PCT#4"</f>
        <v>TRASH REMOVAL/PCT#4</v>
      </c>
    </row>
    <row r="969" spans="1:8" x14ac:dyDescent="0.25">
      <c r="A969" t="s">
        <v>275</v>
      </c>
      <c r="B969">
        <v>134757</v>
      </c>
      <c r="C969" s="3">
        <v>272.58999999999997</v>
      </c>
      <c r="D969" s="6">
        <v>44253</v>
      </c>
      <c r="E969" t="str">
        <f>"202102091629"</f>
        <v>202102091629</v>
      </c>
      <c r="F969" t="str">
        <f>"REIMBURSEMENT/STEVEN A LONG"</f>
        <v>REIMBURSEMENT/STEVEN A LONG</v>
      </c>
      <c r="G969" s="3">
        <v>272.58999999999997</v>
      </c>
      <c r="H969" t="str">
        <f>"REIMBURSEMENT/STEVEN A LONG"</f>
        <v>REIMBURSEMENT/STEVEN A LONG</v>
      </c>
    </row>
    <row r="970" spans="1:8" x14ac:dyDescent="0.25">
      <c r="A970" t="s">
        <v>276</v>
      </c>
      <c r="B970">
        <v>3917</v>
      </c>
      <c r="C970" s="3">
        <v>520</v>
      </c>
      <c r="D970" s="6">
        <v>44236</v>
      </c>
      <c r="E970" t="str">
        <f>"826"</f>
        <v>826</v>
      </c>
      <c r="F970" t="str">
        <f>"TRASH PICK UP/SOUTH POTATO RD"</f>
        <v>TRASH PICK UP/SOUTH POTATO RD</v>
      </c>
      <c r="G970" s="3">
        <v>520</v>
      </c>
      <c r="H970" t="str">
        <f>"TRASH PICK UP/SOUTH POTATO RD"</f>
        <v>TRASH PICK UP/SOUTH POTATO RD</v>
      </c>
    </row>
    <row r="971" spans="1:8" x14ac:dyDescent="0.25">
      <c r="A971" t="s">
        <v>277</v>
      </c>
      <c r="B971">
        <v>3925</v>
      </c>
      <c r="C971" s="3">
        <v>6367.16</v>
      </c>
      <c r="D971" s="6">
        <v>44236</v>
      </c>
      <c r="E971" t="str">
        <f>"95960172"</f>
        <v>95960172</v>
      </c>
      <c r="F971" t="str">
        <f>"ACCT#10187718/PCT#2"</f>
        <v>ACCT#10187718/PCT#2</v>
      </c>
      <c r="G971" s="3">
        <v>2899.49</v>
      </c>
      <c r="H971" t="str">
        <f>"ACCT#10187718/PCT#2"</f>
        <v>ACCT#10187718/PCT#2</v>
      </c>
    </row>
    <row r="972" spans="1:8" x14ac:dyDescent="0.25">
      <c r="E972" t="str">
        <f>"95967752"</f>
        <v>95967752</v>
      </c>
      <c r="F972" t="str">
        <f>"ACCT#10107718/PCT#2"</f>
        <v>ACCT#10107718/PCT#2</v>
      </c>
      <c r="G972" s="3">
        <v>3467.67</v>
      </c>
      <c r="H972" t="str">
        <f>"ACCT#10107718/PCT#2"</f>
        <v>ACCT#10107718/PCT#2</v>
      </c>
    </row>
    <row r="973" spans="1:8" x14ac:dyDescent="0.25">
      <c r="A973" t="s">
        <v>277</v>
      </c>
      <c r="B973">
        <v>4001</v>
      </c>
      <c r="C973" s="3">
        <v>5593.49</v>
      </c>
      <c r="D973" s="6">
        <v>44254</v>
      </c>
      <c r="E973" t="str">
        <f>"95973842"</f>
        <v>95973842</v>
      </c>
      <c r="F973" t="str">
        <f>"ACCT#10187718/PCT#2"</f>
        <v>ACCT#10187718/PCT#2</v>
      </c>
      <c r="G973" s="3">
        <v>2874.19</v>
      </c>
      <c r="H973" t="str">
        <f>"ACCT#10187718/PCT#2"</f>
        <v>ACCT#10187718/PCT#2</v>
      </c>
    </row>
    <row r="974" spans="1:8" x14ac:dyDescent="0.25">
      <c r="E974" t="str">
        <f>"95981356"</f>
        <v>95981356</v>
      </c>
      <c r="F974" t="str">
        <f>"ACCT#10187718/PCT#2"</f>
        <v>ACCT#10187718/PCT#2</v>
      </c>
      <c r="G974" s="3">
        <v>2719.3</v>
      </c>
      <c r="H974" t="str">
        <f>"ACCT#10187718/PCT#2"</f>
        <v>ACCT#10187718/PCT#2</v>
      </c>
    </row>
    <row r="975" spans="1:8" x14ac:dyDescent="0.25">
      <c r="A975" t="s">
        <v>278</v>
      </c>
      <c r="B975">
        <v>134631</v>
      </c>
      <c r="C975" s="3">
        <v>2925</v>
      </c>
      <c r="D975" s="6">
        <v>44235</v>
      </c>
      <c r="E975" t="str">
        <f>"B1844"</f>
        <v>B1844</v>
      </c>
      <c r="F975" t="str">
        <f>"TRACTOR-1/PCT#2"</f>
        <v>TRACTOR-1/PCT#2</v>
      </c>
      <c r="G975" s="3">
        <v>975</v>
      </c>
      <c r="H975" t="str">
        <f>"TRACTOR-1/PCT#2"</f>
        <v>TRACTOR-1/PCT#2</v>
      </c>
    </row>
    <row r="976" spans="1:8" x14ac:dyDescent="0.25">
      <c r="E976" t="str">
        <f>"C1848"</f>
        <v>C1848</v>
      </c>
      <c r="F976" t="str">
        <f>"TRACTOR-2/PCT#2"</f>
        <v>TRACTOR-2/PCT#2</v>
      </c>
      <c r="G976" s="3">
        <v>975</v>
      </c>
      <c r="H976" t="str">
        <f>"TRACTOR-2/PCT#2"</f>
        <v>TRACTOR-2/PCT#2</v>
      </c>
    </row>
    <row r="977" spans="1:8" x14ac:dyDescent="0.25">
      <c r="E977" t="str">
        <f>"C1849"</f>
        <v>C1849</v>
      </c>
      <c r="F977" t="str">
        <f>"TRACTOR-3/PCT#2"</f>
        <v>TRACTOR-3/PCT#2</v>
      </c>
      <c r="G977" s="3">
        <v>975</v>
      </c>
      <c r="H977" t="str">
        <f>"TRACTOR-3/PCT#2"</f>
        <v>TRACTOR-3/PCT#2</v>
      </c>
    </row>
    <row r="978" spans="1:8" x14ac:dyDescent="0.25">
      <c r="A978" t="s">
        <v>279</v>
      </c>
      <c r="B978">
        <v>134758</v>
      </c>
      <c r="C978" s="3">
        <v>150</v>
      </c>
      <c r="D978" s="6">
        <v>44253</v>
      </c>
      <c r="E978" t="str">
        <f>"9431847533"</f>
        <v>9431847533</v>
      </c>
      <c r="F978" t="str">
        <f>"INV 9431847533"</f>
        <v>INV 9431847533</v>
      </c>
      <c r="G978" s="3">
        <v>150</v>
      </c>
      <c r="H978" t="str">
        <f>"INV 9431847533"</f>
        <v>INV 9431847533</v>
      </c>
    </row>
    <row r="979" spans="1:8" x14ac:dyDescent="0.25">
      <c r="A979" t="s">
        <v>280</v>
      </c>
      <c r="B979">
        <v>134759</v>
      </c>
      <c r="C979" s="3">
        <v>320</v>
      </c>
      <c r="D979" s="6">
        <v>44253</v>
      </c>
      <c r="E979" t="str">
        <f>"1095"</f>
        <v>1095</v>
      </c>
      <c r="F979" t="str">
        <f>"INV 1095"</f>
        <v>INV 1095</v>
      </c>
      <c r="G979" s="3">
        <v>320</v>
      </c>
      <c r="H979" t="str">
        <f>"INV 1095"</f>
        <v>INV 1095</v>
      </c>
    </row>
    <row r="980" spans="1:8" x14ac:dyDescent="0.25">
      <c r="A980" t="s">
        <v>281</v>
      </c>
      <c r="B980">
        <v>3986</v>
      </c>
      <c r="C980" s="3">
        <v>50.8</v>
      </c>
      <c r="D980" s="6">
        <v>44254</v>
      </c>
      <c r="E980" t="str">
        <f>"21020321"</f>
        <v>21020321</v>
      </c>
      <c r="F980" t="str">
        <f>"SERVICE CONTRACT/CNTY CLERK"</f>
        <v>SERVICE CONTRACT/CNTY CLERK</v>
      </c>
      <c r="G980" s="3">
        <v>50.8</v>
      </c>
      <c r="H980" t="str">
        <f>"SERVICE CONTRACT/CNTY CLERK"</f>
        <v>SERVICE CONTRACT/CNTY CLERK</v>
      </c>
    </row>
    <row r="981" spans="1:8" x14ac:dyDescent="0.25">
      <c r="A981" t="s">
        <v>282</v>
      </c>
      <c r="B981">
        <v>134760</v>
      </c>
      <c r="C981" s="3">
        <v>1060</v>
      </c>
      <c r="D981" s="6">
        <v>44253</v>
      </c>
      <c r="E981" t="str">
        <f>"202102101693"</f>
        <v>202102101693</v>
      </c>
      <c r="F981" t="str">
        <f>"TEXAS DA ASSOCIATION"</f>
        <v>TEXAS DA ASSOCIATION</v>
      </c>
      <c r="G981" s="3">
        <v>1060</v>
      </c>
      <c r="H981" t="str">
        <f>"TEXAS DA ASSOCIATION"</f>
        <v>TEXAS DA ASSOCIATION</v>
      </c>
    </row>
    <row r="982" spans="1:8" x14ac:dyDescent="0.25">
      <c r="A982" t="s">
        <v>283</v>
      </c>
      <c r="B982">
        <v>4037</v>
      </c>
      <c r="C982" s="3">
        <v>221</v>
      </c>
      <c r="D982" s="6">
        <v>44254</v>
      </c>
      <c r="E982" t="str">
        <f>"2103068"</f>
        <v>2103068</v>
      </c>
      <c r="F982" t="str">
        <f>"MONTHLY BILLING"</f>
        <v>MONTHLY BILLING</v>
      </c>
      <c r="G982" s="3">
        <v>221</v>
      </c>
      <c r="H982" t="str">
        <f>"MONTHLY BILLING"</f>
        <v>MONTHLY BILLING</v>
      </c>
    </row>
    <row r="983" spans="1:8" x14ac:dyDescent="0.25">
      <c r="A983" t="s">
        <v>284</v>
      </c>
      <c r="B983">
        <v>134633</v>
      </c>
      <c r="C983" s="3">
        <v>16708.39</v>
      </c>
      <c r="D983" s="6">
        <v>44235</v>
      </c>
      <c r="E983" t="str">
        <f>"1050813"</f>
        <v>1050813</v>
      </c>
      <c r="F983" t="str">
        <f>"CUST#01-0112917/PCT#4"</f>
        <v>CUST#01-0112917/PCT#4</v>
      </c>
      <c r="G983" s="3">
        <v>3177.9</v>
      </c>
      <c r="H983" t="str">
        <f>"CUST#01-0112917/PCT#4"</f>
        <v>CUST#01-0112917/PCT#4</v>
      </c>
    </row>
    <row r="984" spans="1:8" x14ac:dyDescent="0.25">
      <c r="E984" t="str">
        <f>"1051450-IN"</f>
        <v>1051450-IN</v>
      </c>
      <c r="F984" t="str">
        <f>"ACCT#01-011217/PCT#3"</f>
        <v>ACCT#01-011217/PCT#3</v>
      </c>
      <c r="G984" s="3">
        <v>3802.9</v>
      </c>
      <c r="H984" t="str">
        <f>"ACCT#01-011217/PCT#3"</f>
        <v>ACCT#01-011217/PCT#3</v>
      </c>
    </row>
    <row r="985" spans="1:8" x14ac:dyDescent="0.25">
      <c r="E985" t="str">
        <f>"1051568-IN"</f>
        <v>1051568-IN</v>
      </c>
      <c r="F985" t="str">
        <f>"FUEL/PCT#1"</f>
        <v>FUEL/PCT#1</v>
      </c>
      <c r="G985" s="3">
        <v>4749.88</v>
      </c>
      <c r="H985" t="str">
        <f>"FUEL/PCT#1"</f>
        <v>FUEL/PCT#1</v>
      </c>
    </row>
    <row r="986" spans="1:8" x14ac:dyDescent="0.25">
      <c r="E986" t="str">
        <f>"1051620"</f>
        <v>1051620</v>
      </c>
      <c r="F986" t="str">
        <f>"CUST#01-0112917/PCT#4"</f>
        <v>CUST#01-0112917/PCT#4</v>
      </c>
      <c r="G986" s="3">
        <v>935.41</v>
      </c>
      <c r="H986" t="str">
        <f>"CUST#01-0112917/PCT#4"</f>
        <v>CUST#01-0112917/PCT#4</v>
      </c>
    </row>
    <row r="987" spans="1:8" x14ac:dyDescent="0.25">
      <c r="E987" t="str">
        <f>"1052309"</f>
        <v>1052309</v>
      </c>
      <c r="F987" t="str">
        <f>"CUST#01-0112917/PCT#2"</f>
        <v>CUST#01-0112917/PCT#2</v>
      </c>
      <c r="G987" s="3">
        <v>209.4</v>
      </c>
      <c r="H987" t="str">
        <f>"CUST#01-0112917/PCT#2"</f>
        <v>CUST#01-0112917/PCT#2</v>
      </c>
    </row>
    <row r="988" spans="1:8" x14ac:dyDescent="0.25">
      <c r="E988" t="str">
        <f>"1054356-IN"</f>
        <v>1054356-IN</v>
      </c>
      <c r="F988" t="str">
        <f>"ACCT#01-0112917/PCT#3"</f>
        <v>ACCT#01-0112917/PCT#3</v>
      </c>
      <c r="G988" s="3">
        <v>3832.9</v>
      </c>
      <c r="H988" t="str">
        <f>"ACCT#01-0112917/PCT#3"</f>
        <v>ACCT#01-0112917/PCT#3</v>
      </c>
    </row>
    <row r="989" spans="1:8" x14ac:dyDescent="0.25">
      <c r="A989" t="s">
        <v>284</v>
      </c>
      <c r="B989">
        <v>134761</v>
      </c>
      <c r="C989" s="3">
        <v>3236.43</v>
      </c>
      <c r="D989" s="6">
        <v>44253</v>
      </c>
      <c r="E989" t="str">
        <f>"1057923-IN"</f>
        <v>1057923-IN</v>
      </c>
      <c r="F989" t="str">
        <f>"ACCT#01-0112917"</f>
        <v>ACCT#01-0112917</v>
      </c>
      <c r="G989" s="3">
        <v>3236.43</v>
      </c>
      <c r="H989" t="str">
        <f>"ACCT#01-0112917"</f>
        <v>ACCT#01-0112917</v>
      </c>
    </row>
    <row r="990" spans="1:8" x14ac:dyDescent="0.25">
      <c r="A990" t="s">
        <v>285</v>
      </c>
      <c r="B990">
        <v>3955</v>
      </c>
      <c r="C990" s="3">
        <v>21420</v>
      </c>
      <c r="D990" s="6">
        <v>44236</v>
      </c>
      <c r="E990" t="str">
        <f>"9468"</f>
        <v>9468</v>
      </c>
      <c r="F990" t="str">
        <f>"RIP RAP/ PCT#1"</f>
        <v>RIP RAP/ PCT#1</v>
      </c>
      <c r="G990" s="3">
        <v>7309.05</v>
      </c>
      <c r="H990" t="str">
        <f>"RIP RAP/ PCT#1"</f>
        <v>RIP RAP/ PCT#1</v>
      </c>
    </row>
    <row r="991" spans="1:8" x14ac:dyDescent="0.25">
      <c r="E991" t="str">
        <f>"9487"</f>
        <v>9487</v>
      </c>
      <c r="F991" t="str">
        <f>"RIP RAP/ PCT#1"</f>
        <v>RIP RAP/ PCT#1</v>
      </c>
      <c r="G991" s="3">
        <v>4801.3</v>
      </c>
      <c r="H991" t="str">
        <f>"RIP RAP/ PCT#1"</f>
        <v>RIP RAP/ PCT#1</v>
      </c>
    </row>
    <row r="992" spans="1:8" x14ac:dyDescent="0.25">
      <c r="E992" t="str">
        <f>"9507"</f>
        <v>9507</v>
      </c>
      <c r="F992" t="str">
        <f>"RIP RAP/PCT#1"</f>
        <v>RIP RAP/PCT#1</v>
      </c>
      <c r="G992" s="3">
        <v>9309.65</v>
      </c>
      <c r="H992" t="str">
        <f>"RIP RAP/PCT#1"</f>
        <v>RIP RAP/PCT#1</v>
      </c>
    </row>
    <row r="993" spans="1:8" x14ac:dyDescent="0.25">
      <c r="A993" t="s">
        <v>285</v>
      </c>
      <c r="B993">
        <v>4041</v>
      </c>
      <c r="C993" s="3">
        <v>4248.75</v>
      </c>
      <c r="D993" s="6">
        <v>44254</v>
      </c>
      <c r="E993" t="str">
        <f>"9584"</f>
        <v>9584</v>
      </c>
      <c r="F993" t="str">
        <f>"RIP RAP/PCT#1"</f>
        <v>RIP RAP/PCT#1</v>
      </c>
      <c r="G993" s="3">
        <v>1475.6</v>
      </c>
      <c r="H993" t="str">
        <f>"RIP RAP/PCT#1"</f>
        <v>RIP RAP/PCT#1</v>
      </c>
    </row>
    <row r="994" spans="1:8" x14ac:dyDescent="0.25">
      <c r="E994" t="str">
        <f>"9606"</f>
        <v>9606</v>
      </c>
      <c r="F994" t="str">
        <f>"RIP RAP/PCT#1"</f>
        <v>RIP RAP/PCT#1</v>
      </c>
      <c r="G994" s="3">
        <v>592.54999999999995</v>
      </c>
      <c r="H994" t="str">
        <f>"RIP RAP/PCT#1"</f>
        <v>RIP RAP/PCT#1</v>
      </c>
    </row>
    <row r="995" spans="1:8" x14ac:dyDescent="0.25">
      <c r="E995" t="str">
        <f>"9705"</f>
        <v>9705</v>
      </c>
      <c r="F995" t="str">
        <f>"BEDDING SAND/PCT#2"</f>
        <v>BEDDING SAND/PCT#2</v>
      </c>
      <c r="G995" s="3">
        <v>196.8</v>
      </c>
      <c r="H995" t="str">
        <f>"BEDDING SAND/PCT#2"</f>
        <v>BEDDING SAND/PCT#2</v>
      </c>
    </row>
    <row r="996" spans="1:8" x14ac:dyDescent="0.25">
      <c r="E996" t="str">
        <f>"9719"</f>
        <v>9719</v>
      </c>
      <c r="F996" t="str">
        <f>"RIP RAP/PCT#1"</f>
        <v>RIP RAP/PCT#1</v>
      </c>
      <c r="G996" s="3">
        <v>1983.8</v>
      </c>
      <c r="H996" t="str">
        <f>"RIP RAP/PCT#1"</f>
        <v>RIP RAP/PCT#1</v>
      </c>
    </row>
    <row r="997" spans="1:8" x14ac:dyDescent="0.25">
      <c r="A997" t="s">
        <v>286</v>
      </c>
      <c r="B997">
        <v>134634</v>
      </c>
      <c r="C997" s="3">
        <v>121</v>
      </c>
      <c r="D997" s="6">
        <v>44235</v>
      </c>
      <c r="E997" t="str">
        <f>"6323"</f>
        <v>6323</v>
      </c>
      <c r="F997" t="str">
        <f>"INV 6323"</f>
        <v>INV 6323</v>
      </c>
      <c r="G997" s="3">
        <v>50</v>
      </c>
      <c r="H997" t="str">
        <f>"INV 6323"</f>
        <v>INV 6323</v>
      </c>
    </row>
    <row r="998" spans="1:8" x14ac:dyDescent="0.25">
      <c r="E998" t="str">
        <f>"6378"</f>
        <v>6378</v>
      </c>
      <c r="F998" t="str">
        <f>"INV 6378"</f>
        <v>INV 6378</v>
      </c>
      <c r="G998" s="3">
        <v>71</v>
      </c>
      <c r="H998" t="str">
        <f>"INV 6378"</f>
        <v>INV 6378</v>
      </c>
    </row>
    <row r="999" spans="1:8" x14ac:dyDescent="0.25">
      <c r="A999" t="s">
        <v>286</v>
      </c>
      <c r="B999">
        <v>134762</v>
      </c>
      <c r="C999" s="3">
        <v>250</v>
      </c>
      <c r="D999" s="6">
        <v>44253</v>
      </c>
      <c r="E999" t="str">
        <f>"202102231764"</f>
        <v>202102231764</v>
      </c>
      <c r="F999" t="str">
        <f>"FEBRUARY BOND RENEWALS"</f>
        <v>FEBRUARY BOND RENEWALS</v>
      </c>
      <c r="G999" s="3">
        <v>200</v>
      </c>
      <c r="H999" t="str">
        <f>"FEBRUARY BOND RENEWALS"</f>
        <v>FEBRUARY BOND RENEWALS</v>
      </c>
    </row>
    <row r="1000" spans="1:8" x14ac:dyDescent="0.25">
      <c r="E1000" t="str">
        <f>"6384"</f>
        <v>6384</v>
      </c>
      <c r="F1000" t="str">
        <f>"INV 6384"</f>
        <v>INV 6384</v>
      </c>
      <c r="G1000" s="3">
        <v>50</v>
      </c>
      <c r="H1000" t="str">
        <f>"INV 6384"</f>
        <v>INV 6384</v>
      </c>
    </row>
    <row r="1001" spans="1:8" x14ac:dyDescent="0.25">
      <c r="A1001" t="s">
        <v>287</v>
      </c>
      <c r="B1001">
        <v>134635</v>
      </c>
      <c r="C1001" s="3">
        <v>1685</v>
      </c>
      <c r="D1001" s="6">
        <v>44235</v>
      </c>
      <c r="E1001" t="str">
        <f>"311224"</f>
        <v>311224</v>
      </c>
      <c r="F1001" t="str">
        <f>"MEMBER#203162/ ROSE PIETCH"</f>
        <v>MEMBER#203162/ ROSE PIETCH</v>
      </c>
      <c r="G1001" s="3">
        <v>125</v>
      </c>
      <c r="H1001" t="str">
        <f>"MEMBER#203162/ ROSE PIETCH"</f>
        <v>MEMBER#203162/ ROSE PIETCH</v>
      </c>
    </row>
    <row r="1002" spans="1:8" x14ac:dyDescent="0.25">
      <c r="E1002" t="str">
        <f>"70922"</f>
        <v>70922</v>
      </c>
      <c r="F1002" t="str">
        <f>"ANNUAL COUNTY MEMBERSHIP DUES"</f>
        <v>ANNUAL COUNTY MEMBERSHIP DUES</v>
      </c>
      <c r="G1002" s="3">
        <v>1560</v>
      </c>
      <c r="H1002" t="str">
        <f>"ANNUAL COUNTY MEMBERSHIP DUES"</f>
        <v>ANNUAL COUNTY MEMBERSHIP DUES</v>
      </c>
    </row>
    <row r="1003" spans="1:8" x14ac:dyDescent="0.25">
      <c r="A1003" t="s">
        <v>288</v>
      </c>
      <c r="B1003">
        <v>134636</v>
      </c>
      <c r="C1003" s="3">
        <v>295</v>
      </c>
      <c r="D1003" s="6">
        <v>44235</v>
      </c>
      <c r="E1003" t="str">
        <f>"202102021513"</f>
        <v>202102021513</v>
      </c>
      <c r="F1003" t="str">
        <f>"PROBATE WRKSHOP/S. CANTWELL"</f>
        <v>PROBATE WRKSHOP/S. CANTWELL</v>
      </c>
      <c r="G1003" s="3">
        <v>295</v>
      </c>
      <c r="H1003" t="str">
        <f>"PROBATE WRKSHOP/S. CANTWELL"</f>
        <v>PROBATE WRKSHOP/S. CANTWELL</v>
      </c>
    </row>
    <row r="1004" spans="1:8" x14ac:dyDescent="0.25">
      <c r="A1004" t="s">
        <v>289</v>
      </c>
      <c r="B1004">
        <v>134763</v>
      </c>
      <c r="C1004" s="3">
        <v>348.57</v>
      </c>
      <c r="D1004" s="6">
        <v>44253</v>
      </c>
      <c r="E1004" t="str">
        <f>"235201"</f>
        <v>235201</v>
      </c>
      <c r="F1004" t="str">
        <f>"CUST#1570/PCT#1"</f>
        <v>CUST#1570/PCT#1</v>
      </c>
      <c r="G1004" s="3">
        <v>348.57</v>
      </c>
      <c r="H1004" t="str">
        <f>"CUST#1570/PCT#1"</f>
        <v>CUST#1570/PCT#1</v>
      </c>
    </row>
    <row r="1005" spans="1:8" x14ac:dyDescent="0.25">
      <c r="A1005" t="s">
        <v>290</v>
      </c>
      <c r="B1005">
        <v>4005</v>
      </c>
      <c r="C1005" s="3">
        <v>55</v>
      </c>
      <c r="D1005" s="6">
        <v>44254</v>
      </c>
      <c r="E1005" t="str">
        <f>"17154"</f>
        <v>17154</v>
      </c>
      <c r="F1005" t="str">
        <f>"ACCT#1267"</f>
        <v>ACCT#1267</v>
      </c>
      <c r="G1005" s="3">
        <v>55</v>
      </c>
      <c r="H1005" t="str">
        <f>"ACCT#1267"</f>
        <v>ACCT#1267</v>
      </c>
    </row>
    <row r="1006" spans="1:8" x14ac:dyDescent="0.25">
      <c r="A1006" t="s">
        <v>291</v>
      </c>
      <c r="B1006">
        <v>134764</v>
      </c>
      <c r="C1006" s="3">
        <v>3450</v>
      </c>
      <c r="D1006" s="6">
        <v>44253</v>
      </c>
      <c r="E1006" t="str">
        <f>"202102101689"</f>
        <v>202102101689</v>
      </c>
      <c r="F1006" t="str">
        <f>"OVERWEIGHT PERMITS/PCT#2"</f>
        <v>OVERWEIGHT PERMITS/PCT#2</v>
      </c>
      <c r="G1006" s="3">
        <v>3450</v>
      </c>
      <c r="H1006" t="str">
        <f>"OVERWEIGHT PERMITS/PCT#2"</f>
        <v>OVERWEIGHT PERMITS/PCT#2</v>
      </c>
    </row>
    <row r="1007" spans="1:8" x14ac:dyDescent="0.25">
      <c r="A1007" t="s">
        <v>292</v>
      </c>
      <c r="B1007">
        <v>134637</v>
      </c>
      <c r="C1007" s="3">
        <v>155</v>
      </c>
      <c r="D1007" s="6">
        <v>44235</v>
      </c>
      <c r="E1007" t="str">
        <f>"5784087"</f>
        <v>5784087</v>
      </c>
      <c r="F1007" t="str">
        <f>"CUST#1-238865"</f>
        <v>CUST#1-238865</v>
      </c>
      <c r="G1007" s="3">
        <v>155</v>
      </c>
      <c r="H1007" t="str">
        <f>"CUST#1-238865"</f>
        <v>CUST#1-238865</v>
      </c>
    </row>
    <row r="1008" spans="1:8" x14ac:dyDescent="0.25">
      <c r="A1008" t="s">
        <v>293</v>
      </c>
      <c r="B1008">
        <v>134638</v>
      </c>
      <c r="C1008" s="3">
        <v>200</v>
      </c>
      <c r="D1008" s="6">
        <v>44235</v>
      </c>
      <c r="E1008" t="str">
        <f>"54073"</f>
        <v>54073</v>
      </c>
      <c r="F1008" t="str">
        <f>"REGISTRATION FEE/ DENA TINER"</f>
        <v>REGISTRATION FEE/ DENA TINER</v>
      </c>
      <c r="G1008" s="3">
        <v>50</v>
      </c>
      <c r="H1008" t="str">
        <f>"REGISTRATION FEE/ DENA TINER"</f>
        <v>REGISTRATION FEE/ DENA TINER</v>
      </c>
    </row>
    <row r="1009" spans="1:8" x14ac:dyDescent="0.25">
      <c r="E1009" t="str">
        <f>"54080"</f>
        <v>54080</v>
      </c>
      <c r="F1009" t="str">
        <f>"REGISTRATION FEE/DIANE MONTOYA"</f>
        <v>REGISTRATION FEE/DIANE MONTOYA</v>
      </c>
      <c r="G1009" s="3">
        <v>50</v>
      </c>
      <c r="H1009" t="str">
        <f>"REGISTRATION FEE/DIANE MONTOYA"</f>
        <v>REGISTRATION FEE/DIANE MONTOYA</v>
      </c>
    </row>
    <row r="1010" spans="1:8" x14ac:dyDescent="0.25">
      <c r="E1010" t="str">
        <f>"54135"</f>
        <v>54135</v>
      </c>
      <c r="F1010" t="str">
        <f>"REGISTRATION FEE/KATHERINE HAN"</f>
        <v>REGISTRATION FEE/KATHERINE HAN</v>
      </c>
      <c r="G1010" s="3">
        <v>50</v>
      </c>
      <c r="H1010" t="str">
        <f>"REGISTRATION FEE/KATHERINE HAN"</f>
        <v>REGISTRATION FEE/KATHERINE HAN</v>
      </c>
    </row>
    <row r="1011" spans="1:8" x14ac:dyDescent="0.25">
      <c r="E1011" t="str">
        <f>"54324"</f>
        <v>54324</v>
      </c>
      <c r="F1011" t="str">
        <f>"TRAINING/ AMELIA BROWN"</f>
        <v>TRAINING/ AMELIA BROWN</v>
      </c>
      <c r="G1011" s="3">
        <v>50</v>
      </c>
      <c r="H1011" t="str">
        <f>"TRAINING/ AMELIA BROWN"</f>
        <v>TRAINING/ AMELIA BROWN</v>
      </c>
    </row>
    <row r="1012" spans="1:8" x14ac:dyDescent="0.25">
      <c r="A1012" t="s">
        <v>294</v>
      </c>
      <c r="B1012">
        <v>134765</v>
      </c>
      <c r="C1012" s="3">
        <v>300</v>
      </c>
      <c r="D1012" s="6">
        <v>44253</v>
      </c>
      <c r="E1012" t="str">
        <f>"19618"</f>
        <v>19618</v>
      </c>
      <c r="F1012" t="str">
        <f>"MEMBERSHIP DUES"</f>
        <v>MEMBERSHIP DUES</v>
      </c>
      <c r="G1012" s="3">
        <v>75</v>
      </c>
      <c r="H1012" t="str">
        <f>"MEMBERSHIP DUES"</f>
        <v>MEMBERSHIP DUES</v>
      </c>
    </row>
    <row r="1013" spans="1:8" x14ac:dyDescent="0.25">
      <c r="E1013" t="str">
        <f>"19862"</f>
        <v>19862</v>
      </c>
      <c r="F1013" t="str">
        <f>"MEMBERSHIP DUES"</f>
        <v>MEMBERSHIP DUES</v>
      </c>
      <c r="G1013" s="3">
        <v>75</v>
      </c>
      <c r="H1013" t="str">
        <f>"MEMBERSHIP DUES"</f>
        <v>MEMBERSHIP DUES</v>
      </c>
    </row>
    <row r="1014" spans="1:8" x14ac:dyDescent="0.25">
      <c r="E1014" t="str">
        <f>"20103"</f>
        <v>20103</v>
      </c>
      <c r="F1014" t="str">
        <f>"MEMBERSHIP DUES"</f>
        <v>MEMBERSHIP DUES</v>
      </c>
      <c r="G1014" s="3">
        <v>75</v>
      </c>
      <c r="H1014" t="str">
        <f>"MEMBERSHIP DUES"</f>
        <v>MEMBERSHIP DUES</v>
      </c>
    </row>
    <row r="1015" spans="1:8" x14ac:dyDescent="0.25">
      <c r="E1015" t="str">
        <f>"20372"</f>
        <v>20372</v>
      </c>
      <c r="F1015" t="str">
        <f>"MEMBERSHIP DUES"</f>
        <v>MEMBERSHIP DUES</v>
      </c>
      <c r="G1015" s="3">
        <v>75</v>
      </c>
      <c r="H1015" t="str">
        <f>"MEMBERSHIP DUES"</f>
        <v>MEMBERSHIP DUES</v>
      </c>
    </row>
    <row r="1016" spans="1:8" x14ac:dyDescent="0.25">
      <c r="A1016" t="s">
        <v>293</v>
      </c>
      <c r="B1016">
        <v>134766</v>
      </c>
      <c r="C1016" s="3">
        <v>50</v>
      </c>
      <c r="D1016" s="6">
        <v>44253</v>
      </c>
      <c r="E1016" t="str">
        <f>"54741"</f>
        <v>54741</v>
      </c>
      <c r="F1016" t="str">
        <f>"REGISTRATION FEE/WAYNE WOOD"</f>
        <v>REGISTRATION FEE/WAYNE WOOD</v>
      </c>
      <c r="G1016" s="3">
        <v>50</v>
      </c>
      <c r="H1016" t="str">
        <f>"REGISTRATION FEE/WAYNE WOOD"</f>
        <v>REGISTRATION FEE/WAYNE WOOD</v>
      </c>
    </row>
    <row r="1017" spans="1:8" x14ac:dyDescent="0.25">
      <c r="A1017" t="s">
        <v>295</v>
      </c>
      <c r="B1017">
        <v>134639</v>
      </c>
      <c r="C1017" s="3">
        <v>539.75</v>
      </c>
      <c r="D1017" s="6">
        <v>44235</v>
      </c>
      <c r="E1017" t="str">
        <f>"202102031574"</f>
        <v>202102031574</v>
      </c>
      <c r="F1017" t="str">
        <f>"A8245797 E.SCHARFE"</f>
        <v>A8245797 E.SCHARFE</v>
      </c>
      <c r="G1017" s="3">
        <v>114.75</v>
      </c>
      <c r="H1017" t="str">
        <f>"A8245797 E.SCHARFE"</f>
        <v>A8245797 E.SCHARFE</v>
      </c>
    </row>
    <row r="1018" spans="1:8" x14ac:dyDescent="0.25">
      <c r="E1018" t="str">
        <f>"3C0-0153-21"</f>
        <v>3C0-0153-21</v>
      </c>
      <c r="F1018" t="str">
        <f>"A8361107- G. MADRAGON"</f>
        <v>A8361107- G. MADRAGON</v>
      </c>
      <c r="G1018" s="3">
        <v>425</v>
      </c>
      <c r="H1018" t="str">
        <f>"A8361107- G. MADRAGON"</f>
        <v>A8361107- G. MADRAGON</v>
      </c>
    </row>
    <row r="1019" spans="1:8" x14ac:dyDescent="0.25">
      <c r="A1019" t="s">
        <v>296</v>
      </c>
      <c r="B1019">
        <v>4002</v>
      </c>
      <c r="C1019" s="3">
        <v>298.48</v>
      </c>
      <c r="D1019" s="6">
        <v>44254</v>
      </c>
      <c r="E1019" t="str">
        <f>"202102221759"</f>
        <v>202102221759</v>
      </c>
      <c r="F1019" t="str">
        <f>"INDIGENT HEALTH"</f>
        <v>INDIGENT HEALTH</v>
      </c>
      <c r="G1019" s="3">
        <v>298.48</v>
      </c>
      <c r="H1019" t="str">
        <f>"INDIGENT HEALTH"</f>
        <v>INDIGENT HEALTH</v>
      </c>
    </row>
    <row r="1020" spans="1:8" x14ac:dyDescent="0.25">
      <c r="A1020" t="s">
        <v>297</v>
      </c>
      <c r="B1020">
        <v>3916</v>
      </c>
      <c r="C1020" s="3">
        <v>1696</v>
      </c>
      <c r="D1020" s="6">
        <v>44236</v>
      </c>
      <c r="E1020" t="str">
        <f>"202420"</f>
        <v>202420</v>
      </c>
      <c r="F1020" t="str">
        <f>"ACCT#188757 JP4"</f>
        <v>ACCT#188757 JP4</v>
      </c>
      <c r="G1020" s="3">
        <v>95</v>
      </c>
      <c r="H1020" t="str">
        <f>"ACCT#188757 JP4"</f>
        <v>ACCT#188757 JP4</v>
      </c>
    </row>
    <row r="1021" spans="1:8" x14ac:dyDescent="0.25">
      <c r="E1021" t="str">
        <f>"202505"</f>
        <v>202505</v>
      </c>
      <c r="F1021" t="str">
        <f>"ACCT#188757 R&amp;B SIGNSHOP"</f>
        <v>ACCT#188757 R&amp;B SIGNSHOP</v>
      </c>
      <c r="G1021" s="3">
        <v>95</v>
      </c>
      <c r="H1021" t="str">
        <f>"ACCT#188757 R&amp;B SIGNSHOP"</f>
        <v>ACCT#188757 R&amp;B SIGNSHOP</v>
      </c>
    </row>
    <row r="1022" spans="1:8" x14ac:dyDescent="0.25">
      <c r="E1022" t="str">
        <f>"202506"</f>
        <v>202506</v>
      </c>
      <c r="F1022" t="str">
        <f>"ACCT#188757 JUVENILE BOOT CAMP"</f>
        <v>ACCT#188757 JUVENILE BOOT CAMP</v>
      </c>
      <c r="G1022" s="3">
        <v>118.5</v>
      </c>
      <c r="H1022" t="str">
        <f>"ACCT#188757 JUVENILE BOOT CAMP"</f>
        <v>ACCT#188757 JUVENILE BOOT CAMP</v>
      </c>
    </row>
    <row r="1023" spans="1:8" x14ac:dyDescent="0.25">
      <c r="E1023" t="str">
        <f>"202651"</f>
        <v>202651</v>
      </c>
      <c r="F1023" t="str">
        <f>"ACCT#188757 MIKE FISHER BLDG"</f>
        <v>ACCT#188757 MIKE FISHER BLDG</v>
      </c>
      <c r="G1023" s="3">
        <v>112</v>
      </c>
      <c r="H1023" t="str">
        <f>"ACCT#188757 MIKE FISHER BLDG"</f>
        <v>ACCT#188757 MIKE FISHER BLDG</v>
      </c>
    </row>
    <row r="1024" spans="1:8" x14ac:dyDescent="0.25">
      <c r="E1024" t="str">
        <f>"2031128"</f>
        <v>2031128</v>
      </c>
      <c r="F1024" t="str">
        <f>"ACCT#188757/ EXTENSION HAB BLD"</f>
        <v>ACCT#188757/ EXTENSION HAB BLD</v>
      </c>
      <c r="G1024" s="3">
        <v>89</v>
      </c>
      <c r="H1024" t="str">
        <f>"ACCT#188757/ EXTENSION HAB BLD"</f>
        <v>ACCT#188757/ EXTENSION HAB BLD</v>
      </c>
    </row>
    <row r="1025" spans="1:8" x14ac:dyDescent="0.25">
      <c r="E1025" t="str">
        <f>"203119"</f>
        <v>203119</v>
      </c>
      <c r="F1025" t="str">
        <f>"ACCT#188757"</f>
        <v>ACCT#188757</v>
      </c>
      <c r="G1025" s="3">
        <v>132</v>
      </c>
      <c r="H1025" t="str">
        <f>"ACCT#188757"</f>
        <v>ACCT#188757</v>
      </c>
    </row>
    <row r="1026" spans="1:8" x14ac:dyDescent="0.25">
      <c r="E1026" t="str">
        <f>"203137"</f>
        <v>203137</v>
      </c>
      <c r="F1026" t="str">
        <f>"ACCT#188757/ HISTORIC JAIL"</f>
        <v>ACCT#188757/ HISTORIC JAIL</v>
      </c>
      <c r="G1026" s="3">
        <v>76</v>
      </c>
      <c r="H1026" t="str">
        <f>"ACCT#188757/ HISTORIC JAIL"</f>
        <v>ACCT#188757/ HISTORIC JAIL</v>
      </c>
    </row>
    <row r="1027" spans="1:8" x14ac:dyDescent="0.25">
      <c r="E1027" t="str">
        <f>"203209"</f>
        <v>203209</v>
      </c>
      <c r="F1027" t="str">
        <f>"ACCT#188757/COURTHOUSE"</f>
        <v>ACCT#188757/COURTHOUSE</v>
      </c>
      <c r="G1027" s="3">
        <v>137</v>
      </c>
      <c r="H1027" t="str">
        <f>"ACCT#188757/COURTHOUSE"</f>
        <v>ACCT#188757/COURTHOUSE</v>
      </c>
    </row>
    <row r="1028" spans="1:8" x14ac:dyDescent="0.25">
      <c r="E1028" t="str">
        <f>"203318"</f>
        <v>203318</v>
      </c>
      <c r="F1028" t="str">
        <f>"ACCT#188757/PCT#4"</f>
        <v>ACCT#188757/PCT#4</v>
      </c>
      <c r="G1028" s="3">
        <v>95.5</v>
      </c>
      <c r="H1028" t="str">
        <f>"ACCT#188757/PCT#4"</f>
        <v>ACCT#188757/PCT#4</v>
      </c>
    </row>
    <row r="1029" spans="1:8" x14ac:dyDescent="0.25">
      <c r="E1029" t="str">
        <f>"203330"</f>
        <v>203330</v>
      </c>
      <c r="F1029" t="str">
        <f>"ACCT#188757/ LBJ BUILDING"</f>
        <v>ACCT#188757/ LBJ BUILDING</v>
      </c>
      <c r="G1029" s="3">
        <v>69</v>
      </c>
      <c r="H1029" t="str">
        <f>"ACCT#188757/ LBJ BUILDING"</f>
        <v>ACCT#188757/ LBJ BUILDING</v>
      </c>
    </row>
    <row r="1030" spans="1:8" x14ac:dyDescent="0.25">
      <c r="E1030" t="str">
        <f>"203585"</f>
        <v>203585</v>
      </c>
      <c r="F1030" t="str">
        <f>"ACCT#188757/STONY POINT PARK"</f>
        <v>ACCT#188757/STONY POINT PARK</v>
      </c>
      <c r="G1030" s="3">
        <v>95</v>
      </c>
      <c r="H1030" t="str">
        <f>"ACCT#188757/STONY POINT PARK"</f>
        <v>ACCT#188757/STONY POINT PARK</v>
      </c>
    </row>
    <row r="1031" spans="1:8" x14ac:dyDescent="0.25">
      <c r="E1031" t="str">
        <f>"203687"</f>
        <v>203687</v>
      </c>
      <c r="F1031" t="str">
        <f>"ACCT#188757/ANIMAL SHELTER"</f>
        <v>ACCT#188757/ANIMAL SHELTER</v>
      </c>
      <c r="G1031" s="3">
        <v>290</v>
      </c>
      <c r="H1031" t="str">
        <f>"ACCT#188757/ANIMAL SHELTER"</f>
        <v>ACCT#188757/ANIMAL SHELTER</v>
      </c>
    </row>
    <row r="1032" spans="1:8" x14ac:dyDescent="0.25">
      <c r="E1032" t="str">
        <f>"203696"</f>
        <v>203696</v>
      </c>
      <c r="F1032" t="str">
        <f>"ACCT#188757/JP2"</f>
        <v>ACCT#188757/JP2</v>
      </c>
      <c r="G1032" s="3">
        <v>95</v>
      </c>
      <c r="H1032" t="str">
        <f>"ACCT#188757/JP2"</f>
        <v>ACCT#188757/JP2</v>
      </c>
    </row>
    <row r="1033" spans="1:8" x14ac:dyDescent="0.25">
      <c r="E1033" t="str">
        <f>"203802"</f>
        <v>203802</v>
      </c>
      <c r="F1033" t="str">
        <f>"ACCT#188757/PCT#2"</f>
        <v>ACCT#188757/PCT#2</v>
      </c>
      <c r="G1033" s="3">
        <v>95</v>
      </c>
      <c r="H1033" t="str">
        <f>"ACCT#188757/PCT#2"</f>
        <v>ACCT#188757/PCT#2</v>
      </c>
    </row>
    <row r="1034" spans="1:8" x14ac:dyDescent="0.25">
      <c r="E1034" t="str">
        <f>"205379"</f>
        <v>205379</v>
      </c>
      <c r="F1034" t="str">
        <f>"ACC#188757/TAX OFFICE"</f>
        <v>ACC#188757/TAX OFFICE</v>
      </c>
      <c r="G1034" s="3">
        <v>102</v>
      </c>
      <c r="H1034" t="str">
        <f>"ACC#188757/TAX OFFICE"</f>
        <v>ACC#188757/TAX OFFICE</v>
      </c>
    </row>
    <row r="1035" spans="1:8" x14ac:dyDescent="0.25">
      <c r="A1035" t="s">
        <v>297</v>
      </c>
      <c r="B1035">
        <v>3991</v>
      </c>
      <c r="C1035" s="3">
        <v>730</v>
      </c>
      <c r="D1035" s="6">
        <v>44254</v>
      </c>
      <c r="E1035" t="str">
        <f>"205739"</f>
        <v>205739</v>
      </c>
      <c r="F1035" t="str">
        <f>"ACCT#188757/PCT#3"</f>
        <v>ACCT#188757/PCT#3</v>
      </c>
      <c r="G1035" s="3">
        <v>95</v>
      </c>
      <c r="H1035" t="str">
        <f>"ACCT#188757/PCT#3"</f>
        <v>ACCT#188757/PCT#3</v>
      </c>
    </row>
    <row r="1036" spans="1:8" x14ac:dyDescent="0.25">
      <c r="E1036" t="str">
        <f>"205829"</f>
        <v>205829</v>
      </c>
      <c r="F1036" t="str">
        <f>"ACCT#188757/CEDAR CREEK PARK"</f>
        <v>ACCT#188757/CEDAR CREEK PARK</v>
      </c>
      <c r="G1036" s="3">
        <v>125</v>
      </c>
      <c r="H1036" t="str">
        <f>"ACCT#188757/CEDAR CREEK PARK"</f>
        <v>ACCT#188757/CEDAR CREEK PARK</v>
      </c>
    </row>
    <row r="1037" spans="1:8" x14ac:dyDescent="0.25">
      <c r="E1037" t="str">
        <f>"206371"</f>
        <v>206371</v>
      </c>
      <c r="F1037" t="str">
        <f>"ACCT#188757/DPS/TDL"</f>
        <v>ACCT#188757/DPS/TDL</v>
      </c>
      <c r="G1037" s="3">
        <v>76</v>
      </c>
      <c r="H1037" t="str">
        <f>"ACCT#188757/DPS/TDL"</f>
        <v>ACCT#188757/DPS/TDL</v>
      </c>
    </row>
    <row r="1038" spans="1:8" x14ac:dyDescent="0.25">
      <c r="E1038" t="str">
        <f>"207185"</f>
        <v>207185</v>
      </c>
      <c r="F1038" t="str">
        <f>"ACCT#188757/JUVENILE PROB"</f>
        <v>ACCT#188757/JUVENILE PROB</v>
      </c>
      <c r="G1038" s="3">
        <v>132</v>
      </c>
      <c r="H1038" t="str">
        <f>"ACCT#188757/JUVENILE PROB"</f>
        <v>ACCT#188757/JUVENILE PROB</v>
      </c>
    </row>
    <row r="1039" spans="1:8" x14ac:dyDescent="0.25">
      <c r="E1039" t="str">
        <f>"207238"</f>
        <v>207238</v>
      </c>
      <c r="F1039" t="str">
        <f>"ACCT#188757/COURTHOUSE"</f>
        <v>ACCT#188757/COURTHOUSE</v>
      </c>
      <c r="G1039" s="3">
        <v>137</v>
      </c>
      <c r="H1039" t="str">
        <f>"ACCT#188757/COURTHOUSE"</f>
        <v>ACCT#188757/COURTHOUSE</v>
      </c>
    </row>
    <row r="1040" spans="1:8" x14ac:dyDescent="0.25">
      <c r="E1040" t="str">
        <f>"207241"</f>
        <v>207241</v>
      </c>
      <c r="F1040" t="str">
        <f>"ACCT#188757/HISTORIC JAIL"</f>
        <v>ACCT#188757/HISTORIC JAIL</v>
      </c>
      <c r="G1040" s="3">
        <v>76</v>
      </c>
      <c r="H1040" t="str">
        <f>"ACCT#188757/HISTORIC JAIL"</f>
        <v>ACCT#188757/HISTORIC JAIL</v>
      </c>
    </row>
    <row r="1041" spans="1:8" x14ac:dyDescent="0.25">
      <c r="E1041" t="str">
        <f>"207259"</f>
        <v>207259</v>
      </c>
      <c r="F1041" t="str">
        <f>"ACCT#188757/EXT HABITAT BLDG"</f>
        <v>ACCT#188757/EXT HABITAT BLDG</v>
      </c>
      <c r="G1041" s="3">
        <v>89</v>
      </c>
      <c r="H1041" t="str">
        <f>"ACCT#188757/EXT HABITAT BLDG"</f>
        <v>ACCT#188757/EXT HABITAT BLDG</v>
      </c>
    </row>
    <row r="1042" spans="1:8" x14ac:dyDescent="0.25">
      <c r="A1042" t="s">
        <v>298</v>
      </c>
      <c r="B1042">
        <v>3983</v>
      </c>
      <c r="C1042" s="3">
        <v>250</v>
      </c>
      <c r="D1042" s="6">
        <v>44254</v>
      </c>
      <c r="E1042" t="str">
        <f>"202102221727"</f>
        <v>202102221727</v>
      </c>
      <c r="F1042" t="str">
        <f>"57730"</f>
        <v>57730</v>
      </c>
      <c r="G1042" s="3">
        <v>250</v>
      </c>
      <c r="H1042" t="str">
        <f>"57730"</f>
        <v>57730</v>
      </c>
    </row>
    <row r="1043" spans="1:8" x14ac:dyDescent="0.25">
      <c r="A1043" t="s">
        <v>299</v>
      </c>
      <c r="B1043">
        <v>134640</v>
      </c>
      <c r="C1043" s="3">
        <v>185</v>
      </c>
      <c r="D1043" s="6">
        <v>44235</v>
      </c>
      <c r="E1043" t="str">
        <f>"860824"</f>
        <v>860824</v>
      </c>
      <c r="F1043" t="str">
        <f>"DISPOSAL"</f>
        <v>DISPOSAL</v>
      </c>
      <c r="G1043" s="3">
        <v>185</v>
      </c>
      <c r="H1043" t="str">
        <f>"DISPOSAL"</f>
        <v>DISPOSAL</v>
      </c>
    </row>
    <row r="1044" spans="1:8" x14ac:dyDescent="0.25">
      <c r="A1044" t="s">
        <v>300</v>
      </c>
      <c r="B1044">
        <v>3907</v>
      </c>
      <c r="C1044" s="3">
        <v>3550</v>
      </c>
      <c r="D1044" s="6">
        <v>44236</v>
      </c>
      <c r="E1044" t="str">
        <f>"202101271385"</f>
        <v>202101271385</v>
      </c>
      <c r="F1044" t="str">
        <f>"1705-335"</f>
        <v>1705-335</v>
      </c>
      <c r="G1044" s="3">
        <v>100</v>
      </c>
      <c r="H1044" t="str">
        <f>"1705-335"</f>
        <v>1705-335</v>
      </c>
    </row>
    <row r="1045" spans="1:8" x14ac:dyDescent="0.25">
      <c r="E1045" t="str">
        <f>"202101271386"</f>
        <v>202101271386</v>
      </c>
      <c r="F1045" t="str">
        <f>"16-731/ 17-178/ 17-179"</f>
        <v>16-731/ 17-178/ 17-179</v>
      </c>
      <c r="G1045" s="3">
        <v>1300</v>
      </c>
      <c r="H1045" t="str">
        <f>"16-731/ 17-178/ 17-179"</f>
        <v>16-731/ 17-178/ 17-179</v>
      </c>
    </row>
    <row r="1046" spans="1:8" x14ac:dyDescent="0.25">
      <c r="E1046" t="str">
        <f>"202102021563"</f>
        <v>202102021563</v>
      </c>
      <c r="F1046" t="str">
        <f>"404-05922"</f>
        <v>404-05922</v>
      </c>
      <c r="G1046" s="3">
        <v>400</v>
      </c>
      <c r="H1046" t="str">
        <f>"404-05922"</f>
        <v>404-05922</v>
      </c>
    </row>
    <row r="1047" spans="1:8" x14ac:dyDescent="0.25">
      <c r="E1047" t="str">
        <f>"202102021564"</f>
        <v>202102021564</v>
      </c>
      <c r="F1047" t="str">
        <f>"JP104302020"</f>
        <v>JP104302020</v>
      </c>
      <c r="G1047" s="3">
        <v>400</v>
      </c>
      <c r="H1047" t="str">
        <f>"JP104302020"</f>
        <v>JP104302020</v>
      </c>
    </row>
    <row r="1048" spans="1:8" x14ac:dyDescent="0.25">
      <c r="E1048" t="str">
        <f>"202102021565"</f>
        <v>202102021565</v>
      </c>
      <c r="F1048" t="str">
        <f>"19-19703"</f>
        <v>19-19703</v>
      </c>
      <c r="G1048" s="3">
        <v>750</v>
      </c>
      <c r="H1048" t="str">
        <f>"19-19703"</f>
        <v>19-19703</v>
      </c>
    </row>
    <row r="1049" spans="1:8" x14ac:dyDescent="0.25">
      <c r="E1049" t="str">
        <f>"202102021566"</f>
        <v>202102021566</v>
      </c>
      <c r="F1049" t="str">
        <f>"20-20030"</f>
        <v>20-20030</v>
      </c>
      <c r="G1049" s="3">
        <v>600</v>
      </c>
      <c r="H1049" t="str">
        <f>"20-20030"</f>
        <v>20-20030</v>
      </c>
    </row>
    <row r="1050" spans="1:8" x14ac:dyDescent="0.25">
      <c r="A1050" t="s">
        <v>300</v>
      </c>
      <c r="B1050">
        <v>3975</v>
      </c>
      <c r="C1050" s="3">
        <v>2850</v>
      </c>
      <c r="D1050" s="6">
        <v>44254</v>
      </c>
      <c r="E1050" t="str">
        <f>"202102091670"</f>
        <v>202102091670</v>
      </c>
      <c r="F1050" t="str">
        <f>"17-251"</f>
        <v>17-251</v>
      </c>
      <c r="G1050" s="3">
        <v>550</v>
      </c>
      <c r="H1050" t="str">
        <f>"17-251"</f>
        <v>17-251</v>
      </c>
    </row>
    <row r="1051" spans="1:8" x14ac:dyDescent="0.25">
      <c r="E1051" t="str">
        <f>"202102111711"</f>
        <v>202102111711</v>
      </c>
      <c r="F1051" t="str">
        <f>"17-214"</f>
        <v>17-214</v>
      </c>
      <c r="G1051" s="3">
        <v>400</v>
      </c>
      <c r="H1051" t="str">
        <f>"17-214"</f>
        <v>17-214</v>
      </c>
    </row>
    <row r="1052" spans="1:8" x14ac:dyDescent="0.25">
      <c r="E1052" t="str">
        <f>"202102111712"</f>
        <v>202102111712</v>
      </c>
      <c r="F1052" t="str">
        <f>"423-7674"</f>
        <v>423-7674</v>
      </c>
      <c r="G1052" s="3">
        <v>100</v>
      </c>
      <c r="H1052" t="str">
        <f>"423-7674"</f>
        <v>423-7674</v>
      </c>
    </row>
    <row r="1053" spans="1:8" x14ac:dyDescent="0.25">
      <c r="E1053" t="str">
        <f>"202102111713"</f>
        <v>202102111713</v>
      </c>
      <c r="F1053" t="str">
        <f>"17-063"</f>
        <v>17-063</v>
      </c>
      <c r="G1053" s="3">
        <v>1800</v>
      </c>
      <c r="H1053" t="str">
        <f>"17-063"</f>
        <v>17-063</v>
      </c>
    </row>
    <row r="1054" spans="1:8" x14ac:dyDescent="0.25">
      <c r="A1054" t="s">
        <v>301</v>
      </c>
      <c r="B1054">
        <v>4034</v>
      </c>
      <c r="C1054" s="3">
        <v>71</v>
      </c>
      <c r="D1054" s="6">
        <v>44254</v>
      </c>
      <c r="E1054" t="str">
        <f>"250122"</f>
        <v>250122</v>
      </c>
      <c r="F1054" t="str">
        <f>"CLIENT#BASTRCOU"</f>
        <v>CLIENT#BASTRCOU</v>
      </c>
      <c r="G1054" s="3">
        <v>71</v>
      </c>
      <c r="H1054" t="str">
        <f>"CLIENT#BASTRCOU"</f>
        <v>CLIENT#BASTRCOU</v>
      </c>
    </row>
    <row r="1055" spans="1:8" x14ac:dyDescent="0.25">
      <c r="A1055" t="s">
        <v>302</v>
      </c>
      <c r="B1055">
        <v>134767</v>
      </c>
      <c r="C1055" s="3">
        <v>600</v>
      </c>
      <c r="D1055" s="6">
        <v>44253</v>
      </c>
      <c r="E1055" t="str">
        <f>"843746675"</f>
        <v>843746675</v>
      </c>
      <c r="F1055" t="str">
        <f>"ACCT#1000648597/"</f>
        <v>ACCT#1000648597/</v>
      </c>
      <c r="G1055" s="3">
        <v>600</v>
      </c>
      <c r="H1055" t="str">
        <f>"ACCT#1000648597/"</f>
        <v>ACCT#1000648597/</v>
      </c>
    </row>
    <row r="1056" spans="1:8" x14ac:dyDescent="0.25">
      <c r="A1056" t="s">
        <v>303</v>
      </c>
      <c r="B1056">
        <v>134641</v>
      </c>
      <c r="C1056" s="3">
        <v>120.14</v>
      </c>
      <c r="D1056" s="6">
        <v>44235</v>
      </c>
      <c r="E1056" t="str">
        <f>"0155923011221"</f>
        <v>0155923011221</v>
      </c>
      <c r="F1056" t="str">
        <f>"ACCT#8260160170155923"</f>
        <v>ACCT#8260160170155923</v>
      </c>
      <c r="G1056" s="3">
        <v>120.14</v>
      </c>
      <c r="H1056" t="str">
        <f>"ACCT#8260160170155923"</f>
        <v>ACCT#8260160170155923</v>
      </c>
    </row>
    <row r="1057" spans="1:8" x14ac:dyDescent="0.25">
      <c r="A1057" t="s">
        <v>303</v>
      </c>
      <c r="B1057">
        <v>134642</v>
      </c>
      <c r="C1057" s="3">
        <v>644.47</v>
      </c>
      <c r="D1057" s="6">
        <v>44235</v>
      </c>
      <c r="E1057" t="str">
        <f>"0167100011621"</f>
        <v>0167100011621</v>
      </c>
      <c r="F1057" t="str">
        <f>"ACCT#8260160170167100"</f>
        <v>ACCT#8260160170167100</v>
      </c>
      <c r="G1057" s="3">
        <v>644.47</v>
      </c>
      <c r="H1057" t="str">
        <f>"ACCT#8260160170167100"</f>
        <v>ACCT#8260160170167100</v>
      </c>
    </row>
    <row r="1058" spans="1:8" x14ac:dyDescent="0.25">
      <c r="A1058" t="s">
        <v>303</v>
      </c>
      <c r="B1058">
        <v>134768</v>
      </c>
      <c r="C1058" s="3">
        <v>3066.21</v>
      </c>
      <c r="D1058" s="6">
        <v>44253</v>
      </c>
      <c r="E1058" t="str">
        <f>"202102221732"</f>
        <v>202102221732</v>
      </c>
      <c r="F1058" t="str">
        <f>"ACCT#8260163000003669"</f>
        <v>ACCT#8260163000003669</v>
      </c>
      <c r="G1058" s="3">
        <v>3066.21</v>
      </c>
      <c r="H1058" t="str">
        <f>"ACCT#8260163000003669"</f>
        <v>ACCT#8260163000003669</v>
      </c>
    </row>
    <row r="1059" spans="1:8" x14ac:dyDescent="0.25">
      <c r="E1059" t="str">
        <f>""</f>
        <v/>
      </c>
      <c r="F1059" t="str">
        <f>""</f>
        <v/>
      </c>
      <c r="H1059" t="str">
        <f>"ACCT#8260163000003669"</f>
        <v>ACCT#8260163000003669</v>
      </c>
    </row>
    <row r="1060" spans="1:8" x14ac:dyDescent="0.25">
      <c r="A1060" t="s">
        <v>304</v>
      </c>
      <c r="B1060">
        <v>134643</v>
      </c>
      <c r="C1060" s="3">
        <v>173.57</v>
      </c>
      <c r="D1060" s="6">
        <v>44235</v>
      </c>
      <c r="E1060" t="str">
        <f>"032022"</f>
        <v>032022</v>
      </c>
      <c r="F1060" t="str">
        <f>"CUST#0001725/GENERAL SVCS"</f>
        <v>CUST#0001725/GENERAL SVCS</v>
      </c>
      <c r="G1060" s="3">
        <v>173.57</v>
      </c>
      <c r="H1060" t="str">
        <f>"CUST#0001725/GENERAL SVCS"</f>
        <v>CUST#0001725/GENERAL SVCS</v>
      </c>
    </row>
    <row r="1061" spans="1:8" x14ac:dyDescent="0.25">
      <c r="A1061" t="s">
        <v>305</v>
      </c>
      <c r="B1061">
        <v>134653</v>
      </c>
      <c r="C1061" s="3">
        <v>160</v>
      </c>
      <c r="D1061" s="6">
        <v>44235</v>
      </c>
      <c r="E1061" t="str">
        <f>"13570"</f>
        <v>13570</v>
      </c>
      <c r="F1061" t="str">
        <f>"SERVICE"</f>
        <v>SERVICE</v>
      </c>
      <c r="G1061" s="3">
        <v>160</v>
      </c>
      <c r="H1061" t="str">
        <f>"SERVICE"</f>
        <v>SERVICE</v>
      </c>
    </row>
    <row r="1062" spans="1:8" x14ac:dyDescent="0.25">
      <c r="A1062" t="s">
        <v>305</v>
      </c>
      <c r="B1062">
        <v>134769</v>
      </c>
      <c r="C1062" s="3">
        <v>1405</v>
      </c>
      <c r="D1062" s="6">
        <v>44253</v>
      </c>
      <c r="E1062" t="str">
        <f>"12852"</f>
        <v>12852</v>
      </c>
      <c r="F1062" t="str">
        <f>"SERVICE"</f>
        <v>SERVICE</v>
      </c>
      <c r="G1062" s="3">
        <v>75</v>
      </c>
      <c r="H1062" t="str">
        <f>"SERVICE"</f>
        <v>SERVICE</v>
      </c>
    </row>
    <row r="1063" spans="1:8" x14ac:dyDescent="0.25">
      <c r="E1063" t="str">
        <f>"12978"</f>
        <v>12978</v>
      </c>
      <c r="F1063" t="str">
        <f>"SERVICE FEE"</f>
        <v>SERVICE FEE</v>
      </c>
      <c r="G1063" s="3">
        <v>75</v>
      </c>
      <c r="H1063" t="str">
        <f>"SERVICE FEE"</f>
        <v>SERVICE FEE</v>
      </c>
    </row>
    <row r="1064" spans="1:8" x14ac:dyDescent="0.25">
      <c r="E1064" t="str">
        <f>"13241"</f>
        <v>13241</v>
      </c>
      <c r="F1064" t="str">
        <f>"SERVICE"</f>
        <v>SERVICE</v>
      </c>
      <c r="G1064" s="3">
        <v>1050</v>
      </c>
      <c r="H1064" t="str">
        <f>"SERVICE"</f>
        <v>SERVICE</v>
      </c>
    </row>
    <row r="1065" spans="1:8" x14ac:dyDescent="0.25">
      <c r="E1065" t="str">
        <f>"13294"</f>
        <v>13294</v>
      </c>
      <c r="F1065" t="str">
        <f>"SERVICE"</f>
        <v>SERVICE</v>
      </c>
      <c r="G1065" s="3">
        <v>75</v>
      </c>
      <c r="H1065" t="str">
        <f>"SERVICE"</f>
        <v>SERVICE</v>
      </c>
    </row>
    <row r="1066" spans="1:8" x14ac:dyDescent="0.25">
      <c r="E1066" t="str">
        <f>"13396"</f>
        <v>13396</v>
      </c>
      <c r="F1066" t="str">
        <f>"SERVICE"</f>
        <v>SERVICE</v>
      </c>
      <c r="G1066" s="3">
        <v>80</v>
      </c>
      <c r="H1066" t="str">
        <f>"SERVICE"</f>
        <v>SERVICE</v>
      </c>
    </row>
    <row r="1067" spans="1:8" x14ac:dyDescent="0.25">
      <c r="E1067" t="str">
        <f>"13584"</f>
        <v>13584</v>
      </c>
      <c r="F1067" t="str">
        <f>"SERVICE FEE"</f>
        <v>SERVICE FEE</v>
      </c>
      <c r="G1067" s="3">
        <v>50</v>
      </c>
      <c r="H1067" t="str">
        <f>"SERVICE FEE"</f>
        <v>SERVICE FEE</v>
      </c>
    </row>
    <row r="1068" spans="1:8" x14ac:dyDescent="0.25">
      <c r="A1068" t="s">
        <v>306</v>
      </c>
      <c r="B1068">
        <v>134770</v>
      </c>
      <c r="C1068" s="3">
        <v>9600</v>
      </c>
      <c r="D1068" s="6">
        <v>44253</v>
      </c>
      <c r="E1068" t="str">
        <f>"3300004273"</f>
        <v>3300004273</v>
      </c>
      <c r="F1068" t="str">
        <f>"AUTOPSY FEE/PCT#1"</f>
        <v>AUTOPSY FEE/PCT#1</v>
      </c>
      <c r="G1068" s="3">
        <v>5800</v>
      </c>
      <c r="H1068" t="str">
        <f>"AUTOPSY FEE/PCT#1"</f>
        <v>AUTOPSY FEE/PCT#1</v>
      </c>
    </row>
    <row r="1069" spans="1:8" x14ac:dyDescent="0.25">
      <c r="E1069" t="str">
        <f>"3300004303"</f>
        <v>3300004303</v>
      </c>
      <c r="F1069" t="str">
        <f>"AUTOPSY FEE"</f>
        <v>AUTOPSY FEE</v>
      </c>
      <c r="G1069" s="3">
        <v>3800</v>
      </c>
      <c r="H1069" t="str">
        <f>"AUTOPSY FEE"</f>
        <v>AUTOPSY FEE</v>
      </c>
    </row>
    <row r="1070" spans="1:8" x14ac:dyDescent="0.25">
      <c r="A1070" t="s">
        <v>307</v>
      </c>
      <c r="B1070">
        <v>3954</v>
      </c>
      <c r="C1070" s="3">
        <v>250</v>
      </c>
      <c r="D1070" s="6">
        <v>44236</v>
      </c>
      <c r="E1070" t="str">
        <f>"202102021567"</f>
        <v>202102021567</v>
      </c>
      <c r="F1070" t="str">
        <f>"57727"</f>
        <v>57727</v>
      </c>
      <c r="G1070" s="3">
        <v>250</v>
      </c>
      <c r="H1070" t="str">
        <f>"57727"</f>
        <v>57727</v>
      </c>
    </row>
    <row r="1071" spans="1:8" x14ac:dyDescent="0.25">
      <c r="A1071" t="s">
        <v>308</v>
      </c>
      <c r="B1071">
        <v>134771</v>
      </c>
      <c r="C1071" s="3">
        <v>500</v>
      </c>
      <c r="D1071" s="6">
        <v>44253</v>
      </c>
      <c r="E1071" t="str">
        <f>"030921CCR"</f>
        <v>030921CCR</v>
      </c>
      <c r="F1071" t="str">
        <f>"TRAINING INV 030921CCR"</f>
        <v>TRAINING INV 030921CCR</v>
      </c>
      <c r="G1071" s="3">
        <v>500</v>
      </c>
      <c r="H1071" t="str">
        <f>"TRAINING INV 030921CCR"</f>
        <v>TRAINING INV 030921CCR</v>
      </c>
    </row>
    <row r="1072" spans="1:8" x14ac:dyDescent="0.25">
      <c r="A1072" t="s">
        <v>309</v>
      </c>
      <c r="B1072">
        <v>134772</v>
      </c>
      <c r="C1072" s="3">
        <v>911</v>
      </c>
      <c r="D1072" s="6">
        <v>44253</v>
      </c>
      <c r="E1072" t="str">
        <f>"130-119197"</f>
        <v>130-119197</v>
      </c>
      <c r="F1072" t="str">
        <f>"CUST#42161-14173"</f>
        <v>CUST#42161-14173</v>
      </c>
      <c r="G1072" s="3">
        <v>911</v>
      </c>
      <c r="H1072" t="str">
        <f>"CUST#42161-14173"</f>
        <v>CUST#42161-14173</v>
      </c>
    </row>
    <row r="1073" spans="1:8" x14ac:dyDescent="0.25">
      <c r="A1073" t="s">
        <v>310</v>
      </c>
      <c r="B1073">
        <v>3968</v>
      </c>
      <c r="C1073" s="3">
        <v>159.19</v>
      </c>
      <c r="D1073" s="6">
        <v>44254</v>
      </c>
      <c r="E1073" t="str">
        <f>"202102091646"</f>
        <v>202102091646</v>
      </c>
      <c r="F1073" t="str">
        <f>"Uline Utility Cart"</f>
        <v>Uline Utility Cart</v>
      </c>
      <c r="G1073" s="3">
        <v>159.19</v>
      </c>
      <c r="H1073" t="str">
        <f>"Uline Utility Cart"</f>
        <v>Uline Utility Cart</v>
      </c>
    </row>
    <row r="1074" spans="1:8" x14ac:dyDescent="0.25">
      <c r="E1074" t="str">
        <f>""</f>
        <v/>
      </c>
      <c r="F1074" t="str">
        <f>""</f>
        <v/>
      </c>
      <c r="H1074" t="str">
        <f>"Shipping/Handling"</f>
        <v>Shipping/Handling</v>
      </c>
    </row>
    <row r="1075" spans="1:8" x14ac:dyDescent="0.25">
      <c r="A1075" t="s">
        <v>311</v>
      </c>
      <c r="B1075">
        <v>3901</v>
      </c>
      <c r="C1075" s="3">
        <v>51.3</v>
      </c>
      <c r="D1075" s="6">
        <v>44236</v>
      </c>
      <c r="E1075" t="str">
        <f>"11322711"</f>
        <v>11322711</v>
      </c>
      <c r="F1075" t="str">
        <f>"ACCT#38049/PCT#4"</f>
        <v>ACCT#38049/PCT#4</v>
      </c>
      <c r="G1075" s="3">
        <v>51.3</v>
      </c>
      <c r="H1075" t="str">
        <f>"ACCT#38049/PCT#4"</f>
        <v>ACCT#38049/PCT#4</v>
      </c>
    </row>
    <row r="1076" spans="1:8" x14ac:dyDescent="0.25">
      <c r="A1076" t="s">
        <v>312</v>
      </c>
      <c r="B1076">
        <v>134773</v>
      </c>
      <c r="C1076" s="3">
        <v>3922.94</v>
      </c>
      <c r="D1076" s="6">
        <v>44253</v>
      </c>
      <c r="E1076" t="str">
        <f>"202102221748"</f>
        <v>202102221748</v>
      </c>
      <c r="F1076" t="str">
        <f>"INDIGENT HEALTH"</f>
        <v>INDIGENT HEALTH</v>
      </c>
      <c r="G1076" s="3">
        <v>3922.94</v>
      </c>
      <c r="H1076" t="str">
        <f>"INDIGENT HEALTH"</f>
        <v>INDIGENT HEALTH</v>
      </c>
    </row>
    <row r="1077" spans="1:8" x14ac:dyDescent="0.25">
      <c r="A1077" t="s">
        <v>313</v>
      </c>
      <c r="B1077">
        <v>134644</v>
      </c>
      <c r="C1077" s="3">
        <v>1680</v>
      </c>
      <c r="D1077" s="6">
        <v>44235</v>
      </c>
      <c r="E1077" t="str">
        <f>"22531"</f>
        <v>22531</v>
      </c>
      <c r="F1077" t="str">
        <f>"OP-SMUU-ALL"</f>
        <v>OP-SMUU-ALL</v>
      </c>
      <c r="G1077" s="3">
        <v>1680</v>
      </c>
      <c r="H1077" t="str">
        <f>"OP-SMUU-ALL"</f>
        <v>OP-SMUU-ALL</v>
      </c>
    </row>
    <row r="1078" spans="1:8" x14ac:dyDescent="0.25">
      <c r="A1078" t="s">
        <v>314</v>
      </c>
      <c r="B1078">
        <v>134774</v>
      </c>
      <c r="C1078" s="3">
        <v>936.15</v>
      </c>
      <c r="D1078" s="6">
        <v>44253</v>
      </c>
      <c r="E1078" t="str">
        <f>"0042715"</f>
        <v>0042715</v>
      </c>
      <c r="F1078" t="str">
        <f>"INV 0042715"</f>
        <v>INV 0042715</v>
      </c>
      <c r="G1078" s="3">
        <v>936.15</v>
      </c>
      <c r="H1078" t="str">
        <f>"INV 0042715"</f>
        <v>INV 0042715</v>
      </c>
    </row>
    <row r="1079" spans="1:8" x14ac:dyDescent="0.25">
      <c r="E1079" t="str">
        <f>""</f>
        <v/>
      </c>
      <c r="F1079" t="str">
        <f>""</f>
        <v/>
      </c>
      <c r="H1079" t="str">
        <f>"INV 0043103"</f>
        <v>INV 0043103</v>
      </c>
    </row>
    <row r="1080" spans="1:8" x14ac:dyDescent="0.25">
      <c r="E1080" t="str">
        <f>""</f>
        <v/>
      </c>
      <c r="F1080" t="str">
        <f>""</f>
        <v/>
      </c>
      <c r="H1080" t="str">
        <f>"INV 0043428"</f>
        <v>INV 0043428</v>
      </c>
    </row>
    <row r="1081" spans="1:8" x14ac:dyDescent="0.25">
      <c r="E1081" t="str">
        <f>""</f>
        <v/>
      </c>
      <c r="F1081" t="str">
        <f>""</f>
        <v/>
      </c>
      <c r="H1081" t="str">
        <f>"INV 0044181"</f>
        <v>INV 0044181</v>
      </c>
    </row>
    <row r="1082" spans="1:8" x14ac:dyDescent="0.25">
      <c r="A1082" t="s">
        <v>315</v>
      </c>
      <c r="B1082">
        <v>134775</v>
      </c>
      <c r="C1082" s="3">
        <v>179.34</v>
      </c>
      <c r="D1082" s="6">
        <v>44253</v>
      </c>
      <c r="E1082" t="str">
        <f>"2012735"</f>
        <v>2012735</v>
      </c>
      <c r="F1082" t="str">
        <f>"REMOTE BIRTH ACCES JANUARY"</f>
        <v>REMOTE BIRTH ACCES JANUARY</v>
      </c>
      <c r="G1082" s="3">
        <v>179.34</v>
      </c>
      <c r="H1082" t="str">
        <f>"REMOTE BIRTH ACCES JANUARY"</f>
        <v>REMOTE BIRTH ACCES JANUARY</v>
      </c>
    </row>
    <row r="1083" spans="1:8" x14ac:dyDescent="0.25">
      <c r="A1083" t="s">
        <v>316</v>
      </c>
      <c r="B1083">
        <v>3926</v>
      </c>
      <c r="C1083" s="3">
        <v>39452.5</v>
      </c>
      <c r="D1083" s="6">
        <v>44236</v>
      </c>
      <c r="E1083" t="str">
        <f>"869395921105"</f>
        <v>869395921105</v>
      </c>
      <c r="F1083" t="str">
        <f>"Statement"</f>
        <v>Statement</v>
      </c>
      <c r="G1083" s="3">
        <v>39452.5</v>
      </c>
      <c r="H1083" t="str">
        <f>"fuel"</f>
        <v>fuel</v>
      </c>
    </row>
    <row r="1084" spans="1:8" x14ac:dyDescent="0.25">
      <c r="E1084" t="str">
        <f>""</f>
        <v/>
      </c>
      <c r="F1084" t="str">
        <f>""</f>
        <v/>
      </c>
      <c r="H1084" t="str">
        <f>"tax"</f>
        <v>tax</v>
      </c>
    </row>
    <row r="1085" spans="1:8" x14ac:dyDescent="0.25">
      <c r="E1085" t="str">
        <f>""</f>
        <v/>
      </c>
      <c r="F1085" t="str">
        <f>""</f>
        <v/>
      </c>
      <c r="H1085" t="str">
        <f>"fuel"</f>
        <v>fuel</v>
      </c>
    </row>
    <row r="1086" spans="1:8" x14ac:dyDescent="0.25">
      <c r="E1086" t="str">
        <f>""</f>
        <v/>
      </c>
      <c r="F1086" t="str">
        <f>""</f>
        <v/>
      </c>
      <c r="H1086" t="str">
        <f>"tax"</f>
        <v>tax</v>
      </c>
    </row>
    <row r="1087" spans="1:8" x14ac:dyDescent="0.25">
      <c r="E1087" t="str">
        <f>""</f>
        <v/>
      </c>
      <c r="F1087" t="str">
        <f>""</f>
        <v/>
      </c>
      <c r="H1087" t="str">
        <f>"fuel"</f>
        <v>fuel</v>
      </c>
    </row>
    <row r="1088" spans="1:8" x14ac:dyDescent="0.25">
      <c r="E1088" t="str">
        <f>""</f>
        <v/>
      </c>
      <c r="F1088" t="str">
        <f>""</f>
        <v/>
      </c>
      <c r="H1088" t="str">
        <f>"tax"</f>
        <v>tax</v>
      </c>
    </row>
    <row r="1089" spans="5:8" x14ac:dyDescent="0.25">
      <c r="E1089" t="str">
        <f>""</f>
        <v/>
      </c>
      <c r="F1089" t="str">
        <f>""</f>
        <v/>
      </c>
      <c r="H1089" t="str">
        <f>"maintenance"</f>
        <v>maintenance</v>
      </c>
    </row>
    <row r="1090" spans="5:8" x14ac:dyDescent="0.25">
      <c r="E1090" t="str">
        <f>""</f>
        <v/>
      </c>
      <c r="F1090" t="str">
        <f>""</f>
        <v/>
      </c>
      <c r="H1090" t="str">
        <f>"fuel"</f>
        <v>fuel</v>
      </c>
    </row>
    <row r="1091" spans="5:8" x14ac:dyDescent="0.25">
      <c r="E1091" t="str">
        <f>""</f>
        <v/>
      </c>
      <c r="F1091" t="str">
        <f>""</f>
        <v/>
      </c>
      <c r="H1091" t="str">
        <f>"tax"</f>
        <v>tax</v>
      </c>
    </row>
    <row r="1092" spans="5:8" x14ac:dyDescent="0.25">
      <c r="E1092" t="str">
        <f>""</f>
        <v/>
      </c>
      <c r="F1092" t="str">
        <f>""</f>
        <v/>
      </c>
      <c r="H1092" t="str">
        <f>"maintenance"</f>
        <v>maintenance</v>
      </c>
    </row>
    <row r="1093" spans="5:8" x14ac:dyDescent="0.25">
      <c r="E1093" t="str">
        <f>""</f>
        <v/>
      </c>
      <c r="F1093" t="str">
        <f>""</f>
        <v/>
      </c>
      <c r="H1093" t="str">
        <f>"fuel"</f>
        <v>fuel</v>
      </c>
    </row>
    <row r="1094" spans="5:8" x14ac:dyDescent="0.25">
      <c r="E1094" t="str">
        <f>""</f>
        <v/>
      </c>
      <c r="F1094" t="str">
        <f>""</f>
        <v/>
      </c>
      <c r="H1094" t="str">
        <f>"tax"</f>
        <v>tax</v>
      </c>
    </row>
    <row r="1095" spans="5:8" x14ac:dyDescent="0.25">
      <c r="E1095" t="str">
        <f>""</f>
        <v/>
      </c>
      <c r="F1095" t="str">
        <f>""</f>
        <v/>
      </c>
      <c r="H1095" t="str">
        <f>"maintenance"</f>
        <v>maintenance</v>
      </c>
    </row>
    <row r="1096" spans="5:8" x14ac:dyDescent="0.25">
      <c r="E1096" t="str">
        <f>""</f>
        <v/>
      </c>
      <c r="F1096" t="str">
        <f>""</f>
        <v/>
      </c>
      <c r="H1096" t="str">
        <f>"fuel"</f>
        <v>fuel</v>
      </c>
    </row>
    <row r="1097" spans="5:8" x14ac:dyDescent="0.25">
      <c r="E1097" t="str">
        <f>""</f>
        <v/>
      </c>
      <c r="F1097" t="str">
        <f>""</f>
        <v/>
      </c>
      <c r="H1097" t="str">
        <f>"fuel"</f>
        <v>fuel</v>
      </c>
    </row>
    <row r="1098" spans="5:8" x14ac:dyDescent="0.25">
      <c r="E1098" t="str">
        <f>""</f>
        <v/>
      </c>
      <c r="F1098" t="str">
        <f>""</f>
        <v/>
      </c>
      <c r="H1098" t="str">
        <f>"tax"</f>
        <v>tax</v>
      </c>
    </row>
    <row r="1099" spans="5:8" x14ac:dyDescent="0.25">
      <c r="E1099" t="str">
        <f>""</f>
        <v/>
      </c>
      <c r="F1099" t="str">
        <f>""</f>
        <v/>
      </c>
      <c r="H1099" t="str">
        <f>"fuel"</f>
        <v>fuel</v>
      </c>
    </row>
    <row r="1100" spans="5:8" x14ac:dyDescent="0.25">
      <c r="E1100" t="str">
        <f>""</f>
        <v/>
      </c>
      <c r="F1100" t="str">
        <f>""</f>
        <v/>
      </c>
      <c r="H1100" t="str">
        <f>"tax"</f>
        <v>tax</v>
      </c>
    </row>
    <row r="1101" spans="5:8" x14ac:dyDescent="0.25">
      <c r="E1101" t="str">
        <f>""</f>
        <v/>
      </c>
      <c r="F1101" t="str">
        <f>""</f>
        <v/>
      </c>
      <c r="H1101" t="str">
        <f>"maintenance"</f>
        <v>maintenance</v>
      </c>
    </row>
    <row r="1102" spans="5:8" x14ac:dyDescent="0.25">
      <c r="E1102" t="str">
        <f>""</f>
        <v/>
      </c>
      <c r="F1102" t="str">
        <f>""</f>
        <v/>
      </c>
      <c r="H1102" t="str">
        <f>"fuel"</f>
        <v>fuel</v>
      </c>
    </row>
    <row r="1103" spans="5:8" x14ac:dyDescent="0.25">
      <c r="E1103" t="str">
        <f>""</f>
        <v/>
      </c>
      <c r="F1103" t="str">
        <f>""</f>
        <v/>
      </c>
      <c r="H1103" t="str">
        <f>"tax"</f>
        <v>tax</v>
      </c>
    </row>
    <row r="1104" spans="5:8" x14ac:dyDescent="0.25">
      <c r="E1104" t="str">
        <f>""</f>
        <v/>
      </c>
      <c r="F1104" t="str">
        <f>""</f>
        <v/>
      </c>
      <c r="H1104" t="str">
        <f>"maintenance"</f>
        <v>maintenance</v>
      </c>
    </row>
    <row r="1105" spans="1:8" x14ac:dyDescent="0.25">
      <c r="A1105" t="s">
        <v>317</v>
      </c>
      <c r="B1105">
        <v>134776</v>
      </c>
      <c r="C1105" s="3">
        <v>90</v>
      </c>
      <c r="D1105" s="6">
        <v>44253</v>
      </c>
      <c r="E1105" t="str">
        <f>"10389209"</f>
        <v>10389209</v>
      </c>
      <c r="F1105" t="str">
        <f>"ACCT#00010699-4/PRECINCT#3"</f>
        <v>ACCT#00010699-4/PRECINCT#3</v>
      </c>
      <c r="G1105" s="3">
        <v>90</v>
      </c>
      <c r="H1105" t="str">
        <f>"ACCT#00010699-4/PRECINCT#3"</f>
        <v>ACCT#00010699-4/PRECINCT#3</v>
      </c>
    </row>
    <row r="1106" spans="1:8" x14ac:dyDescent="0.25">
      <c r="A1106" t="s">
        <v>318</v>
      </c>
      <c r="B1106">
        <v>4042</v>
      </c>
      <c r="C1106" s="3">
        <v>1082</v>
      </c>
      <c r="D1106" s="6">
        <v>44254</v>
      </c>
      <c r="E1106" t="str">
        <f>"22361"</f>
        <v>22361</v>
      </c>
      <c r="F1106" t="str">
        <f>"VULCAN  INC."</f>
        <v>VULCAN  INC.</v>
      </c>
      <c r="G1106" s="3">
        <v>1082</v>
      </c>
      <c r="H1106" t="str">
        <f>"R1-1080243930SCR"</f>
        <v>R1-1080243930SCR</v>
      </c>
    </row>
    <row r="1107" spans="1:8" x14ac:dyDescent="0.25">
      <c r="E1107" t="str">
        <f>""</f>
        <v/>
      </c>
      <c r="F1107" t="str">
        <f>""</f>
        <v/>
      </c>
      <c r="H1107" t="str">
        <f>"OM3-L08012363931SCR"</f>
        <v>OM3-L08012363931SCR</v>
      </c>
    </row>
    <row r="1108" spans="1:8" x14ac:dyDescent="0.25">
      <c r="E1108" t="str">
        <f>""</f>
        <v/>
      </c>
      <c r="F1108" t="str">
        <f>""</f>
        <v/>
      </c>
      <c r="H1108" t="str">
        <f>"OM3-R08012363931SCR"</f>
        <v>OM3-R08012363931SCR</v>
      </c>
    </row>
    <row r="1109" spans="1:8" x14ac:dyDescent="0.25">
      <c r="A1109" t="s">
        <v>319</v>
      </c>
      <c r="B1109">
        <v>134777</v>
      </c>
      <c r="C1109" s="3">
        <v>117.4</v>
      </c>
      <c r="D1109" s="6">
        <v>44253</v>
      </c>
      <c r="E1109" t="str">
        <f>"0121"</f>
        <v>0121</v>
      </c>
      <c r="F1109" t="str">
        <f>"CUST#14926"</f>
        <v>CUST#14926</v>
      </c>
      <c r="G1109" s="3">
        <v>117.4</v>
      </c>
      <c r="H1109" t="str">
        <f>"CUST#14926"</f>
        <v>CUST#14926</v>
      </c>
    </row>
    <row r="1110" spans="1:8" x14ac:dyDescent="0.25">
      <c r="A1110" t="s">
        <v>320</v>
      </c>
      <c r="B1110">
        <v>3911</v>
      </c>
      <c r="C1110" s="3">
        <v>2399.36</v>
      </c>
      <c r="D1110" s="6">
        <v>44236</v>
      </c>
      <c r="E1110" t="str">
        <f>"20137"</f>
        <v>20137</v>
      </c>
      <c r="F1110" t="str">
        <f>"COLD MIX/PCT#4"</f>
        <v>COLD MIX/PCT#4</v>
      </c>
      <c r="G1110" s="3">
        <v>2399.36</v>
      </c>
      <c r="H1110" t="str">
        <f>"COLD MIX/PCT#4"</f>
        <v>COLD MIX/PCT#4</v>
      </c>
    </row>
    <row r="1111" spans="1:8" x14ac:dyDescent="0.25">
      <c r="A1111" t="s">
        <v>321</v>
      </c>
      <c r="B1111">
        <v>134532</v>
      </c>
      <c r="C1111" s="3">
        <v>8052.85</v>
      </c>
      <c r="D1111" s="6">
        <v>44231</v>
      </c>
      <c r="E1111" t="str">
        <f>"10978043"</f>
        <v>10978043</v>
      </c>
      <c r="F1111" t="str">
        <f>"ACCT#5150-005117630 / 01312021"</f>
        <v>ACCT#5150-005117630 / 01312021</v>
      </c>
      <c r="G1111" s="3">
        <v>262.81</v>
      </c>
      <c r="H1111" t="str">
        <f>"WASTE CONNECTIONS LONE STAR. I"</f>
        <v>WASTE CONNECTIONS LONE STAR. I</v>
      </c>
    </row>
    <row r="1112" spans="1:8" x14ac:dyDescent="0.25">
      <c r="E1112" t="str">
        <f>"10978050"</f>
        <v>10978050</v>
      </c>
      <c r="F1112" t="str">
        <f>"ACCT#5150-005117766 / 01312021"</f>
        <v>ACCT#5150-005117766 / 01312021</v>
      </c>
      <c r="G1112" s="3">
        <v>115.36</v>
      </c>
      <c r="H1112" t="str">
        <f>"WASTE CONNECTIONS LONE STAR. I"</f>
        <v>WASTE CONNECTIONS LONE STAR. I</v>
      </c>
    </row>
    <row r="1113" spans="1:8" x14ac:dyDescent="0.25">
      <c r="E1113" t="str">
        <f>"10978054"</f>
        <v>10978054</v>
      </c>
      <c r="F1113" t="str">
        <f>"ACCT#5150-005117838 / 01312021"</f>
        <v>ACCT#5150-005117838 / 01312021</v>
      </c>
      <c r="G1113" s="3">
        <v>106.76</v>
      </c>
      <c r="H1113" t="str">
        <f>"ACCT#5150-005117838 / 01312021"</f>
        <v>ACCT#5150-005117838 / 01312021</v>
      </c>
    </row>
    <row r="1114" spans="1:8" x14ac:dyDescent="0.25">
      <c r="E1114" t="str">
        <f>"10978056"</f>
        <v>10978056</v>
      </c>
      <c r="F1114" t="str">
        <f>"ACCT#5150-005117882 / 01312021"</f>
        <v>ACCT#5150-005117882 / 01312021</v>
      </c>
      <c r="G1114" s="3">
        <v>144.19</v>
      </c>
      <c r="H1114" t="str">
        <f>"ACCT#5150-005117882 / 01312021"</f>
        <v>ACCT#5150-005117882 / 01312021</v>
      </c>
    </row>
    <row r="1115" spans="1:8" x14ac:dyDescent="0.25">
      <c r="E1115" t="str">
        <f>"10978064"</f>
        <v>10978064</v>
      </c>
      <c r="F1115" t="str">
        <f>"ACCT#5150-005118183 / 01312021"</f>
        <v>ACCT#5150-005118183 / 01312021</v>
      </c>
      <c r="G1115" s="3">
        <v>618.96</v>
      </c>
      <c r="H1115" t="str">
        <f>"WASTE CONNECTIONS LONE STAR. I"</f>
        <v>WASTE CONNECTIONS LONE STAR. I</v>
      </c>
    </row>
    <row r="1116" spans="1:8" x14ac:dyDescent="0.25">
      <c r="E1116" t="str">
        <f>"10978093"</f>
        <v>10978093</v>
      </c>
      <c r="F1116" t="str">
        <f>"ACCT#5150-005129483 / 01312021"</f>
        <v>ACCT#5150-005129483 / 01312021</v>
      </c>
      <c r="G1116" s="3">
        <v>6692.4</v>
      </c>
      <c r="H1116" t="str">
        <f>"WASTE CONNECTIONS LONE STAR. I"</f>
        <v>WASTE CONNECTIONS LONE STAR. I</v>
      </c>
    </row>
    <row r="1117" spans="1:8" x14ac:dyDescent="0.25">
      <c r="E1117" t="str">
        <f>"10982159"</f>
        <v>10982159</v>
      </c>
      <c r="F1117" t="str">
        <f>"ACCT#5150-16203415 / 01312021"</f>
        <v>ACCT#5150-16203415 / 01312021</v>
      </c>
      <c r="G1117" s="3">
        <v>83.48</v>
      </c>
      <c r="H1117" t="str">
        <f>"WASTE CONNECTIONS LONE STAR. I"</f>
        <v>WASTE CONNECTIONS LONE STAR. I</v>
      </c>
    </row>
    <row r="1118" spans="1:8" x14ac:dyDescent="0.25">
      <c r="E1118" t="str">
        <f>"10982160"</f>
        <v>10982160</v>
      </c>
      <c r="F1118" t="str">
        <f>"ACCT#5150-16203417 / 01312021"</f>
        <v>ACCT#5150-16203417 / 01312021</v>
      </c>
      <c r="G1118" s="3">
        <v>28.89</v>
      </c>
      <c r="H1118" t="str">
        <f>"WASTE CONNECTIONS LONE STAR. I"</f>
        <v>WASTE CONNECTIONS LONE STAR. I</v>
      </c>
    </row>
    <row r="1119" spans="1:8" x14ac:dyDescent="0.25">
      <c r="A1119" t="s">
        <v>322</v>
      </c>
      <c r="B1119">
        <v>134645</v>
      </c>
      <c r="C1119" s="3">
        <v>613</v>
      </c>
      <c r="D1119" s="6">
        <v>44235</v>
      </c>
      <c r="E1119" t="str">
        <f>"0107667-2161-6"</f>
        <v>0107667-2161-6</v>
      </c>
      <c r="F1119" t="str">
        <f>"CUST#2-56581-95066/ANIMAL CONT"</f>
        <v>CUST#2-56581-95066/ANIMAL CONT</v>
      </c>
      <c r="G1119" s="3">
        <v>613</v>
      </c>
      <c r="H1119" t="str">
        <f>"CUST#2-56581-95066/ANIMAL CONT"</f>
        <v>CUST#2-56581-95066/ANIMAL CONT</v>
      </c>
    </row>
    <row r="1120" spans="1:8" x14ac:dyDescent="0.25">
      <c r="A1120" t="s">
        <v>322</v>
      </c>
      <c r="B1120">
        <v>134778</v>
      </c>
      <c r="C1120" s="3">
        <v>6046.49</v>
      </c>
      <c r="D1120" s="6">
        <v>44253</v>
      </c>
      <c r="E1120" t="str">
        <f>"0030623-2161"</f>
        <v>0030623-2161</v>
      </c>
      <c r="F1120" t="str">
        <f>"CUST#2-57060-55062/PCT#4"</f>
        <v>CUST#2-57060-55062/PCT#4</v>
      </c>
      <c r="G1120" s="3">
        <v>5077.32</v>
      </c>
      <c r="H1120" t="str">
        <f>"CUST#2-57060-55062/PCT#4"</f>
        <v>CUST#2-57060-55062/PCT#4</v>
      </c>
    </row>
    <row r="1121" spans="1:8" x14ac:dyDescent="0.25">
      <c r="E1121" t="str">
        <f>"0042185-2162-5"</f>
        <v>0042185-2162-5</v>
      </c>
      <c r="F1121" t="str">
        <f>"CUST#16-27603-83003"</f>
        <v>CUST#16-27603-83003</v>
      </c>
      <c r="G1121" s="3">
        <v>117.27</v>
      </c>
      <c r="H1121" t="str">
        <f>"CUST#16-27603-83003"</f>
        <v>CUST#16-27603-83003</v>
      </c>
    </row>
    <row r="1122" spans="1:8" x14ac:dyDescent="0.25">
      <c r="E1122" t="str">
        <f>"6709838-2161"</f>
        <v>6709838-2161</v>
      </c>
      <c r="F1122" t="str">
        <f>"CUST#2-57060-55062/PCT#4"</f>
        <v>CUST#2-57060-55062/PCT#4</v>
      </c>
      <c r="G1122" s="3">
        <v>851.9</v>
      </c>
      <c r="H1122" t="str">
        <f>"CUST#2-57060-55062/PCT#4"</f>
        <v>CUST#2-57060-55062/PCT#4</v>
      </c>
    </row>
    <row r="1123" spans="1:8" x14ac:dyDescent="0.25">
      <c r="A1123" t="s">
        <v>323</v>
      </c>
      <c r="B1123">
        <v>134779</v>
      </c>
      <c r="C1123" s="3">
        <v>3145</v>
      </c>
      <c r="D1123" s="6">
        <v>44253</v>
      </c>
      <c r="E1123" t="str">
        <f>"0029369"</f>
        <v>0029369</v>
      </c>
      <c r="F1123" t="str">
        <f>"WATCH GUARD VIDEO"</f>
        <v>WATCH GUARD VIDEO</v>
      </c>
      <c r="G1123" s="3">
        <v>3145</v>
      </c>
      <c r="H1123" t="str">
        <f>"4RE Interview System"</f>
        <v>4RE Interview System</v>
      </c>
    </row>
    <row r="1124" spans="1:8" x14ac:dyDescent="0.25">
      <c r="A1124" t="s">
        <v>324</v>
      </c>
      <c r="B1124">
        <v>134646</v>
      </c>
      <c r="C1124" s="3">
        <v>45.29</v>
      </c>
      <c r="D1124" s="6">
        <v>44235</v>
      </c>
      <c r="E1124" t="str">
        <f>"202101281412"</f>
        <v>202101281412</v>
      </c>
      <c r="F1124" t="str">
        <f>"REIMBURSEMENT/WAYNE WOOD"</f>
        <v>REIMBURSEMENT/WAYNE WOOD</v>
      </c>
      <c r="G1124" s="3">
        <v>45.29</v>
      </c>
      <c r="H1124" t="str">
        <f>"REIMBURSEMENT/WAYNE WOOD"</f>
        <v>REIMBURSEMENT/WAYNE WOOD</v>
      </c>
    </row>
    <row r="1125" spans="1:8" x14ac:dyDescent="0.25">
      <c r="A1125" t="s">
        <v>325</v>
      </c>
      <c r="B1125">
        <v>3985</v>
      </c>
      <c r="C1125" s="3">
        <v>8296.74</v>
      </c>
      <c r="D1125" s="6">
        <v>44254</v>
      </c>
      <c r="E1125" t="str">
        <f>"26939"</f>
        <v>26939</v>
      </c>
      <c r="F1125" t="str">
        <f>"INV 26936"</f>
        <v>INV 26936</v>
      </c>
      <c r="G1125" s="3">
        <v>8296.74</v>
      </c>
      <c r="H1125" t="str">
        <f>"INV 26936"</f>
        <v>INV 26936</v>
      </c>
    </row>
    <row r="1126" spans="1:8" x14ac:dyDescent="0.25">
      <c r="A1126" t="s">
        <v>326</v>
      </c>
      <c r="B1126">
        <v>134647</v>
      </c>
      <c r="C1126" s="3">
        <v>2281.1999999999998</v>
      </c>
      <c r="D1126" s="6">
        <v>44235</v>
      </c>
      <c r="E1126" t="str">
        <f>"83083"</f>
        <v>83083</v>
      </c>
      <c r="F1126" t="str">
        <f>"24X60 CULVERTS/PCT#2"</f>
        <v>24X60 CULVERTS/PCT#2</v>
      </c>
      <c r="G1126" s="3">
        <v>2281.1999999999998</v>
      </c>
      <c r="H1126" t="str">
        <f>"24X60 CULVERTS/PCT#2"</f>
        <v>24X60 CULVERTS/PCT#2</v>
      </c>
    </row>
    <row r="1127" spans="1:8" x14ac:dyDescent="0.25">
      <c r="A1127" t="s">
        <v>326</v>
      </c>
      <c r="B1127">
        <v>134780</v>
      </c>
      <c r="C1127" s="3">
        <v>13239.6</v>
      </c>
      <c r="D1127" s="6">
        <v>44253</v>
      </c>
      <c r="E1127" t="str">
        <f>"202102091643"</f>
        <v>202102091643</v>
      </c>
      <c r="F1127" t="str">
        <f>"WILSON CULVERTS  INC."</f>
        <v>WILSON CULVERTS  INC.</v>
      </c>
      <c r="G1127" s="3">
        <v>13239.6</v>
      </c>
      <c r="H1127" t="str">
        <f>"24x40 Arched"</f>
        <v>24x40 Arched</v>
      </c>
    </row>
    <row r="1128" spans="1:8" x14ac:dyDescent="0.25">
      <c r="E1128" t="str">
        <f>""</f>
        <v/>
      </c>
      <c r="F1128" t="str">
        <f>""</f>
        <v/>
      </c>
      <c r="H1128" t="str">
        <f>"36x40 Arched"</f>
        <v>36x40 Arched</v>
      </c>
    </row>
    <row r="1129" spans="1:8" x14ac:dyDescent="0.25">
      <c r="E1129" t="str">
        <f>""</f>
        <v/>
      </c>
      <c r="F1129" t="str">
        <f>""</f>
        <v/>
      </c>
      <c r="H1129" t="str">
        <f>"48x40 Arched"</f>
        <v>48x40 Arched</v>
      </c>
    </row>
    <row r="1130" spans="1:8" x14ac:dyDescent="0.25">
      <c r="A1130" t="s">
        <v>327</v>
      </c>
      <c r="B1130">
        <v>134648</v>
      </c>
      <c r="C1130" s="3">
        <v>269.33999999999997</v>
      </c>
      <c r="D1130" s="6">
        <v>44235</v>
      </c>
      <c r="E1130" t="str">
        <f>"6787540"</f>
        <v>6787540</v>
      </c>
      <c r="F1130" t="str">
        <f>"CUST#339435/PCT#3"</f>
        <v>CUST#339435/PCT#3</v>
      </c>
      <c r="G1130" s="3">
        <v>269.33999999999997</v>
      </c>
      <c r="H1130" t="str">
        <f>"CUST#339435/PCT#3"</f>
        <v>CUST#339435/PCT#3</v>
      </c>
    </row>
    <row r="1131" spans="1:8" x14ac:dyDescent="0.25">
      <c r="A1131" t="s">
        <v>327</v>
      </c>
      <c r="B1131">
        <v>134781</v>
      </c>
      <c r="C1131" s="3">
        <v>162.82</v>
      </c>
      <c r="D1131" s="6">
        <v>44253</v>
      </c>
      <c r="E1131" t="str">
        <f>"6799992"</f>
        <v>6799992</v>
      </c>
      <c r="F1131" t="str">
        <f>"CUST#339435/PCT#3"</f>
        <v>CUST#339435/PCT#3</v>
      </c>
      <c r="G1131" s="3">
        <v>162.82</v>
      </c>
      <c r="H1131" t="str">
        <f>"CUST#339435/PCT#3"</f>
        <v>CUST#339435/PCT#3</v>
      </c>
    </row>
    <row r="1132" spans="1:8" x14ac:dyDescent="0.25">
      <c r="A1132" t="s">
        <v>328</v>
      </c>
      <c r="B1132">
        <v>134649</v>
      </c>
      <c r="C1132" s="3">
        <v>1822</v>
      </c>
      <c r="D1132" s="6">
        <v>44235</v>
      </c>
      <c r="E1132" t="str">
        <f>"9012413475"</f>
        <v>9012413475</v>
      </c>
      <c r="F1132" t="str">
        <f>"CUST#10001131183/ANIMAL"</f>
        <v>CUST#10001131183/ANIMAL</v>
      </c>
      <c r="G1132" s="3">
        <v>1822</v>
      </c>
      <c r="H1132" t="str">
        <f>"CUST#10001131183/ANIMAL"</f>
        <v>CUST#10001131183/ANIMAL</v>
      </c>
    </row>
    <row r="1133" spans="1:8" x14ac:dyDescent="0.25">
      <c r="A1133" t="s">
        <v>328</v>
      </c>
      <c r="B1133">
        <v>134783</v>
      </c>
      <c r="C1133" s="3">
        <v>535.20000000000005</v>
      </c>
      <c r="D1133" s="6">
        <v>44253</v>
      </c>
      <c r="E1133" t="str">
        <f>"9012470892"</f>
        <v>9012470892</v>
      </c>
      <c r="F1133" t="str">
        <f>"CUST#2000053103"</f>
        <v>CUST#2000053103</v>
      </c>
      <c r="G1133" s="3">
        <v>535.20000000000005</v>
      </c>
      <c r="H1133" t="str">
        <f>"CUST#2000053103"</f>
        <v>CUST#2000053103</v>
      </c>
    </row>
    <row r="1134" spans="1:8" x14ac:dyDescent="0.25">
      <c r="A1134" t="s">
        <v>28</v>
      </c>
      <c r="B1134">
        <v>134650</v>
      </c>
      <c r="C1134" s="3">
        <v>18</v>
      </c>
      <c r="D1134" s="6">
        <v>44235</v>
      </c>
      <c r="E1134" t="str">
        <f>"202102021572"</f>
        <v>202102021572</v>
      </c>
      <c r="F1134" t="str">
        <f>"ACCT#015397/JUVENILE BOOT CAMP"</f>
        <v>ACCT#015397/JUVENILE BOOT CAMP</v>
      </c>
      <c r="G1134" s="3">
        <v>18</v>
      </c>
      <c r="H1134" t="str">
        <f>"ACCT#015397/JUVENILE BOOT CAMP"</f>
        <v>ACCT#015397/JUVENILE BOOT CAMP</v>
      </c>
    </row>
    <row r="1135" spans="1:8" x14ac:dyDescent="0.25">
      <c r="A1135" t="s">
        <v>36</v>
      </c>
      <c r="B1135">
        <v>134651</v>
      </c>
      <c r="C1135" s="3">
        <v>702.24</v>
      </c>
      <c r="D1135" s="6">
        <v>44235</v>
      </c>
      <c r="E1135" t="str">
        <f>"202102031596"</f>
        <v>202102031596</v>
      </c>
      <c r="F1135" t="str">
        <f>"ACCT#287290524359"</f>
        <v>ACCT#287290524359</v>
      </c>
      <c r="G1135" s="3">
        <v>702.24</v>
      </c>
      <c r="H1135" t="str">
        <f>"ACCT#287290524359"</f>
        <v>ACCT#287290524359</v>
      </c>
    </row>
    <row r="1136" spans="1:8" x14ac:dyDescent="0.25">
      <c r="A1136" t="s">
        <v>64</v>
      </c>
      <c r="B1136">
        <v>134657</v>
      </c>
      <c r="C1136" s="3">
        <v>399</v>
      </c>
      <c r="D1136" s="6">
        <v>44238</v>
      </c>
      <c r="E1136" t="str">
        <f>"202102111710"</f>
        <v>202102111710</v>
      </c>
      <c r="F1136" t="str">
        <f>"ACCT#5000057374 / 02032021"</f>
        <v>ACCT#5000057374 / 02032021</v>
      </c>
      <c r="G1136" s="3">
        <v>399</v>
      </c>
      <c r="H1136" t="str">
        <f>"ACCT#5000057374 / 02032021"</f>
        <v>ACCT#5000057374 / 02032021</v>
      </c>
    </row>
    <row r="1137" spans="1:8" x14ac:dyDescent="0.25">
      <c r="A1137" t="s">
        <v>77</v>
      </c>
      <c r="B1137">
        <v>3959</v>
      </c>
      <c r="C1137" s="3">
        <v>337.2</v>
      </c>
      <c r="D1137" s="6">
        <v>44236</v>
      </c>
      <c r="E1137" t="str">
        <f>"19527"</f>
        <v>19527</v>
      </c>
      <c r="F1137" t="str">
        <f>"Portable Printer"</f>
        <v>Portable Printer</v>
      </c>
      <c r="G1137" s="3">
        <v>223.87</v>
      </c>
      <c r="H1137" t="str">
        <f>"Portable Printer"</f>
        <v>Portable Printer</v>
      </c>
    </row>
    <row r="1138" spans="1:8" x14ac:dyDescent="0.25">
      <c r="E1138" t="str">
        <f>"20219"</f>
        <v>20219</v>
      </c>
      <c r="F1138" t="str">
        <f>"Dymo Printer"</f>
        <v>Dymo Printer</v>
      </c>
      <c r="G1138" s="3">
        <v>113.33</v>
      </c>
      <c r="H1138" t="str">
        <f>"Dymo Printer"</f>
        <v>Dymo Printer</v>
      </c>
    </row>
    <row r="1139" spans="1:8" x14ac:dyDescent="0.25">
      <c r="E1139" t="str">
        <f>""</f>
        <v/>
      </c>
      <c r="F1139" t="str">
        <f>""</f>
        <v/>
      </c>
      <c r="H1139" t="str">
        <f>"Dymo Labels"</f>
        <v>Dymo Labels</v>
      </c>
    </row>
    <row r="1140" spans="1:8" x14ac:dyDescent="0.25">
      <c r="A1140" t="s">
        <v>329</v>
      </c>
      <c r="B1140">
        <v>3956</v>
      </c>
      <c r="C1140" s="3">
        <v>9650</v>
      </c>
      <c r="D1140" s="6">
        <v>44236</v>
      </c>
      <c r="E1140" t="str">
        <f>"394584"</f>
        <v>394584</v>
      </c>
      <c r="F1140" t="str">
        <f>"DAVID CONTI"</f>
        <v>DAVID CONTI</v>
      </c>
      <c r="G1140" s="3">
        <v>9650</v>
      </c>
      <c r="H1140" t="str">
        <f>"Office Build Out"</f>
        <v>Office Build Out</v>
      </c>
    </row>
    <row r="1141" spans="1:8" x14ac:dyDescent="0.25">
      <c r="E1141" t="str">
        <f>""</f>
        <v/>
      </c>
      <c r="F1141" t="str">
        <f>""</f>
        <v/>
      </c>
      <c r="H1141" t="str">
        <f>"Thermostat relocate"</f>
        <v>Thermostat relocate</v>
      </c>
    </row>
    <row r="1142" spans="1:8" x14ac:dyDescent="0.25">
      <c r="A1142" t="s">
        <v>330</v>
      </c>
      <c r="B1142">
        <v>134652</v>
      </c>
      <c r="C1142" s="3">
        <v>15000</v>
      </c>
      <c r="D1142" s="6">
        <v>44235</v>
      </c>
      <c r="E1142" t="str">
        <f>"21-11662"</f>
        <v>21-11662</v>
      </c>
      <c r="F1142" t="str">
        <f>"Dr. Walkes - 12.16 -01.16"</f>
        <v>Dr. Walkes - 12.16 -01.16</v>
      </c>
      <c r="G1142" s="3">
        <v>15000</v>
      </c>
      <c r="H1142" t="str">
        <f>"12/16/20 - 01/16/21"</f>
        <v>12/16/20 - 01/16/21</v>
      </c>
    </row>
    <row r="1143" spans="1:8" x14ac:dyDescent="0.25">
      <c r="A1143" t="s">
        <v>145</v>
      </c>
      <c r="B1143">
        <v>3958</v>
      </c>
      <c r="C1143" s="3">
        <v>2721.66</v>
      </c>
      <c r="D1143" s="6">
        <v>44236</v>
      </c>
      <c r="E1143" t="str">
        <f>"1960899"</f>
        <v>1960899</v>
      </c>
      <c r="F1143" t="str">
        <f>"COVID"</f>
        <v>COVID</v>
      </c>
      <c r="G1143" s="3">
        <v>2721.66</v>
      </c>
      <c r="H1143" t="str">
        <f>"N106FS"</f>
        <v>N106FS</v>
      </c>
    </row>
    <row r="1144" spans="1:8" x14ac:dyDescent="0.25">
      <c r="E1144" t="str">
        <f>""</f>
        <v/>
      </c>
      <c r="F1144" t="str">
        <f>""</f>
        <v/>
      </c>
      <c r="H1144" t="str">
        <f>"N106FM"</f>
        <v>N106FM</v>
      </c>
    </row>
    <row r="1145" spans="1:8" x14ac:dyDescent="0.25">
      <c r="E1145" t="str">
        <f>""</f>
        <v/>
      </c>
      <c r="F1145" t="str">
        <f>""</f>
        <v/>
      </c>
      <c r="H1145" t="str">
        <f>"N106FL"</f>
        <v>N106FL</v>
      </c>
    </row>
    <row r="1146" spans="1:8" x14ac:dyDescent="0.25">
      <c r="E1146" t="str">
        <f>""</f>
        <v/>
      </c>
      <c r="F1146" t="str">
        <f>""</f>
        <v/>
      </c>
      <c r="H1146" t="str">
        <f>"N106FXL"</f>
        <v>N106FXL</v>
      </c>
    </row>
    <row r="1147" spans="1:8" x14ac:dyDescent="0.25">
      <c r="E1147" t="str">
        <f>""</f>
        <v/>
      </c>
      <c r="F1147" t="str">
        <f>""</f>
        <v/>
      </c>
      <c r="H1147" t="str">
        <f>"DSFM300MXBX"</f>
        <v>DSFM300MXBX</v>
      </c>
    </row>
    <row r="1148" spans="1:8" x14ac:dyDescent="0.25">
      <c r="E1148" t="str">
        <f>""</f>
        <v/>
      </c>
      <c r="F1148" t="str">
        <f>""</f>
        <v/>
      </c>
      <c r="H1148" t="str">
        <f>"CWC20-12"</f>
        <v>CWC20-12</v>
      </c>
    </row>
    <row r="1149" spans="1:8" x14ac:dyDescent="0.25">
      <c r="E1149" t="str">
        <f>""</f>
        <v/>
      </c>
      <c r="F1149" t="str">
        <f>""</f>
        <v/>
      </c>
      <c r="H1149" t="str">
        <f>"DSFM300MXBX"</f>
        <v>DSFM300MXBX</v>
      </c>
    </row>
    <row r="1150" spans="1:8" x14ac:dyDescent="0.25">
      <c r="A1150" t="s">
        <v>331</v>
      </c>
      <c r="B1150">
        <v>4044</v>
      </c>
      <c r="C1150" s="3">
        <v>36805.589999999997</v>
      </c>
      <c r="D1150" s="6">
        <v>44254</v>
      </c>
      <c r="E1150" t="str">
        <f>"202102231789"</f>
        <v>202102231789</v>
      </c>
      <c r="F1150" t="str">
        <f>"Monopole Project"</f>
        <v>Monopole Project</v>
      </c>
      <c r="G1150" s="3">
        <v>18954.43</v>
      </c>
      <c r="H1150" t="str">
        <f>"Monopole Project"</f>
        <v>Monopole Project</v>
      </c>
    </row>
    <row r="1151" spans="1:8" x14ac:dyDescent="0.25">
      <c r="E1151" t="str">
        <f>"202102231790"</f>
        <v>202102231790</v>
      </c>
      <c r="F1151" t="str">
        <f>"Invoice"</f>
        <v>Invoice</v>
      </c>
      <c r="G1151" s="3">
        <v>17851.16</v>
      </c>
      <c r="H1151" t="str">
        <f>"Onsite Inspections"</f>
        <v>Onsite Inspections</v>
      </c>
    </row>
    <row r="1152" spans="1:8" x14ac:dyDescent="0.25">
      <c r="E1152" t="str">
        <f>""</f>
        <v/>
      </c>
      <c r="F1152" t="str">
        <f>""</f>
        <v/>
      </c>
      <c r="H1152" t="str">
        <f>"100' Monopole"</f>
        <v>100' Monopole</v>
      </c>
    </row>
    <row r="1153" spans="1:8" x14ac:dyDescent="0.25">
      <c r="E1153" t="str">
        <f>""</f>
        <v/>
      </c>
      <c r="F1153" t="str">
        <f>""</f>
        <v/>
      </c>
      <c r="H1153" t="str">
        <f>"Labor &amp; Travel"</f>
        <v>Labor &amp; Travel</v>
      </c>
    </row>
    <row r="1154" spans="1:8" x14ac:dyDescent="0.25">
      <c r="A1154" t="s">
        <v>332</v>
      </c>
      <c r="B1154">
        <v>3957</v>
      </c>
      <c r="C1154" s="3">
        <v>6201</v>
      </c>
      <c r="D1154" s="6">
        <v>44236</v>
      </c>
      <c r="E1154" t="str">
        <f>"4155"</f>
        <v>4155</v>
      </c>
      <c r="F1154" t="str">
        <f>"HMGP ADMIN - FUEL REDUCT PROJ"</f>
        <v>HMGP ADMIN - FUEL REDUCT PROJ</v>
      </c>
      <c r="G1154" s="3">
        <v>2025.5</v>
      </c>
      <c r="H1154" t="str">
        <f>"HMGP ADMIN - FUEL REDUCT PROJ"</f>
        <v>HMGP ADMIN - FUEL REDUCT PROJ</v>
      </c>
    </row>
    <row r="1155" spans="1:8" x14ac:dyDescent="0.25">
      <c r="E1155" t="str">
        <f>"4160"</f>
        <v>4160</v>
      </c>
      <c r="F1155" t="str">
        <f>"HMGP ADMIN-PROJ:GREEN VALLEY"</f>
        <v>HMGP ADMIN-PROJ:GREEN VALLEY</v>
      </c>
      <c r="G1155" s="3">
        <v>2400</v>
      </c>
      <c r="H1155" t="str">
        <f>"HMGP ADMIN-PROJ:GREEN VALLEY"</f>
        <v>HMGP ADMIN-PROJ:GREEN VALLEY</v>
      </c>
    </row>
    <row r="1156" spans="1:8" x14ac:dyDescent="0.25">
      <c r="E1156" t="str">
        <f>"4190"</f>
        <v>4190</v>
      </c>
      <c r="F1156" t="str">
        <f>"FMAG ADMIN - MAINTAIN RECORDS"</f>
        <v>FMAG ADMIN - MAINTAIN RECORDS</v>
      </c>
      <c r="G1156" s="3">
        <v>1775.5</v>
      </c>
      <c r="H1156" t="str">
        <f>"FMAG ADMIN - MAINTAIN RECORDS"</f>
        <v>FMAG ADMIN - MAINTAIN RECORDS</v>
      </c>
    </row>
    <row r="1157" spans="1:8" x14ac:dyDescent="0.25">
      <c r="A1157" t="s">
        <v>194</v>
      </c>
      <c r="B1157">
        <v>134784</v>
      </c>
      <c r="C1157" s="3">
        <v>110.04</v>
      </c>
      <c r="D1157" s="6">
        <v>44253</v>
      </c>
      <c r="E1157" t="str">
        <f>"920864"</f>
        <v>920864</v>
      </c>
      <c r="F1157" t="str">
        <f>"Invoice"</f>
        <v>Invoice</v>
      </c>
      <c r="G1157" s="3">
        <v>110.04</v>
      </c>
      <c r="H1157" t="str">
        <f>"Inv #920864"</f>
        <v>Inv #920864</v>
      </c>
    </row>
    <row r="1158" spans="1:8" x14ac:dyDescent="0.25">
      <c r="A1158" t="s">
        <v>245</v>
      </c>
      <c r="B1158">
        <v>4043</v>
      </c>
      <c r="C1158" s="3">
        <v>838.73</v>
      </c>
      <c r="D1158" s="6">
        <v>44254</v>
      </c>
      <c r="E1158" t="str">
        <f>"5061324366APTF"</f>
        <v>5061324366APTF</v>
      </c>
      <c r="F1158" t="str">
        <f>"RICOH/FUND 282"</f>
        <v>RICOH/FUND 282</v>
      </c>
      <c r="G1158" s="3">
        <v>838.73</v>
      </c>
      <c r="H1158" t="str">
        <f>"RICOH/"</f>
        <v>RICOH/</v>
      </c>
    </row>
    <row r="1159" spans="1:8" x14ac:dyDescent="0.25">
      <c r="A1159" t="s">
        <v>333</v>
      </c>
      <c r="B1159">
        <v>134785</v>
      </c>
      <c r="C1159" s="3">
        <v>450</v>
      </c>
      <c r="D1159" s="6">
        <v>44253</v>
      </c>
      <c r="E1159" t="str">
        <f>"121076"</f>
        <v>121076</v>
      </c>
      <c r="F1159" t="str">
        <f>"PROFESSIONAL SERVICES"</f>
        <v>PROFESSIONAL SERVICES</v>
      </c>
      <c r="G1159" s="3">
        <v>450</v>
      </c>
      <c r="H1159" t="str">
        <f>"PROFESSIONAL SERVICES"</f>
        <v>PROFESSIONAL SERVICES</v>
      </c>
    </row>
    <row r="1160" spans="1:8" x14ac:dyDescent="0.25">
      <c r="A1160" t="s">
        <v>334</v>
      </c>
      <c r="B1160">
        <v>917</v>
      </c>
      <c r="C1160" s="3">
        <v>4588.83</v>
      </c>
      <c r="D1160" s="6">
        <v>44251</v>
      </c>
      <c r="E1160" t="str">
        <f>"202102241798"</f>
        <v>202102241798</v>
      </c>
      <c r="F1160" t="str">
        <f>"ROUNDING - FEBRUARY 2021"</f>
        <v>ROUNDING - FEBRUARY 2021</v>
      </c>
      <c r="G1160" s="3">
        <v>0.03</v>
      </c>
      <c r="H1160" t="str">
        <f>"ROUNDING - FEBRUARY 2021"</f>
        <v>ROUNDING - FEBRUARY 2021</v>
      </c>
    </row>
    <row r="1161" spans="1:8" x14ac:dyDescent="0.25">
      <c r="E1161" t="str">
        <f>"AS 202102021522"</f>
        <v>AS 202102021522</v>
      </c>
      <c r="F1161" t="str">
        <f t="shared" ref="F1161:F1174" si="14">"ALLSTATE"</f>
        <v>ALLSTATE</v>
      </c>
      <c r="G1161" s="3">
        <v>420.09</v>
      </c>
      <c r="H1161" t="str">
        <f t="shared" ref="H1161:H1174" si="15">"ALLSTATE"</f>
        <v>ALLSTATE</v>
      </c>
    </row>
    <row r="1162" spans="1:8" x14ac:dyDescent="0.25">
      <c r="E1162" t="str">
        <f>"AS 202102021523"</f>
        <v>AS 202102021523</v>
      </c>
      <c r="F1162" t="str">
        <f t="shared" si="14"/>
        <v>ALLSTATE</v>
      </c>
      <c r="G1162" s="3">
        <v>27.14</v>
      </c>
      <c r="H1162" t="str">
        <f t="shared" si="15"/>
        <v>ALLSTATE</v>
      </c>
    </row>
    <row r="1163" spans="1:8" x14ac:dyDescent="0.25">
      <c r="E1163" t="str">
        <f>"AS 202102171722"</f>
        <v>AS 202102171722</v>
      </c>
      <c r="F1163" t="str">
        <f t="shared" si="14"/>
        <v>ALLSTATE</v>
      </c>
      <c r="G1163" s="3">
        <v>420.09</v>
      </c>
      <c r="H1163" t="str">
        <f t="shared" si="15"/>
        <v>ALLSTATE</v>
      </c>
    </row>
    <row r="1164" spans="1:8" x14ac:dyDescent="0.25">
      <c r="E1164" t="str">
        <f>"AS 202102171723"</f>
        <v>AS 202102171723</v>
      </c>
      <c r="F1164" t="str">
        <f t="shared" si="14"/>
        <v>ALLSTATE</v>
      </c>
      <c r="G1164" s="3">
        <v>27.14</v>
      </c>
      <c r="H1164" t="str">
        <f t="shared" si="15"/>
        <v>ALLSTATE</v>
      </c>
    </row>
    <row r="1165" spans="1:8" x14ac:dyDescent="0.25">
      <c r="E1165" t="str">
        <f>"ASD202102021522"</f>
        <v>ASD202102021522</v>
      </c>
      <c r="F1165" t="str">
        <f t="shared" si="14"/>
        <v>ALLSTATE</v>
      </c>
      <c r="G1165" s="3">
        <v>170.21</v>
      </c>
      <c r="H1165" t="str">
        <f t="shared" si="15"/>
        <v>ALLSTATE</v>
      </c>
    </row>
    <row r="1166" spans="1:8" x14ac:dyDescent="0.25">
      <c r="E1166" t="str">
        <f>"ASD202102171722"</f>
        <v>ASD202102171722</v>
      </c>
      <c r="F1166" t="str">
        <f t="shared" si="14"/>
        <v>ALLSTATE</v>
      </c>
      <c r="G1166" s="3">
        <v>170.21</v>
      </c>
      <c r="H1166" t="str">
        <f t="shared" si="15"/>
        <v>ALLSTATE</v>
      </c>
    </row>
    <row r="1167" spans="1:8" x14ac:dyDescent="0.25">
      <c r="E1167" t="str">
        <f>"ASI202102021522"</f>
        <v>ASI202102021522</v>
      </c>
      <c r="F1167" t="str">
        <f t="shared" si="14"/>
        <v>ALLSTATE</v>
      </c>
      <c r="G1167" s="3">
        <v>547.51</v>
      </c>
      <c r="H1167" t="str">
        <f t="shared" si="15"/>
        <v>ALLSTATE</v>
      </c>
    </row>
    <row r="1168" spans="1:8" x14ac:dyDescent="0.25">
      <c r="E1168" t="str">
        <f>"ASI202102021523"</f>
        <v>ASI202102021523</v>
      </c>
      <c r="F1168" t="str">
        <f t="shared" si="14"/>
        <v>ALLSTATE</v>
      </c>
      <c r="G1168" s="3">
        <v>67.150000000000006</v>
      </c>
      <c r="H1168" t="str">
        <f t="shared" si="15"/>
        <v>ALLSTATE</v>
      </c>
    </row>
    <row r="1169" spans="1:8" x14ac:dyDescent="0.25">
      <c r="E1169" t="str">
        <f>"ASI202102171722"</f>
        <v>ASI202102171722</v>
      </c>
      <c r="F1169" t="str">
        <f t="shared" si="14"/>
        <v>ALLSTATE</v>
      </c>
      <c r="G1169" s="3">
        <v>547.51</v>
      </c>
      <c r="H1169" t="str">
        <f t="shared" si="15"/>
        <v>ALLSTATE</v>
      </c>
    </row>
    <row r="1170" spans="1:8" x14ac:dyDescent="0.25">
      <c r="E1170" t="str">
        <f>"ASI202102171723"</f>
        <v>ASI202102171723</v>
      </c>
      <c r="F1170" t="str">
        <f t="shared" si="14"/>
        <v>ALLSTATE</v>
      </c>
      <c r="G1170" s="3">
        <v>67.150000000000006</v>
      </c>
      <c r="H1170" t="str">
        <f t="shared" si="15"/>
        <v>ALLSTATE</v>
      </c>
    </row>
    <row r="1171" spans="1:8" x14ac:dyDescent="0.25">
      <c r="E1171" t="str">
        <f>"AST202102021522"</f>
        <v>AST202102021522</v>
      </c>
      <c r="F1171" t="str">
        <f t="shared" si="14"/>
        <v>ALLSTATE</v>
      </c>
      <c r="G1171" s="3">
        <v>1030.8900000000001</v>
      </c>
      <c r="H1171" t="str">
        <f t="shared" si="15"/>
        <v>ALLSTATE</v>
      </c>
    </row>
    <row r="1172" spans="1:8" x14ac:dyDescent="0.25">
      <c r="E1172" t="str">
        <f>"AST202102021523"</f>
        <v>AST202102021523</v>
      </c>
      <c r="F1172" t="str">
        <f t="shared" si="14"/>
        <v>ALLSTATE</v>
      </c>
      <c r="G1172" s="3">
        <v>31.41</v>
      </c>
      <c r="H1172" t="str">
        <f t="shared" si="15"/>
        <v>ALLSTATE</v>
      </c>
    </row>
    <row r="1173" spans="1:8" x14ac:dyDescent="0.25">
      <c r="E1173" t="str">
        <f>"AST202102171722"</f>
        <v>AST202102171722</v>
      </c>
      <c r="F1173" t="str">
        <f t="shared" si="14"/>
        <v>ALLSTATE</v>
      </c>
      <c r="G1173" s="3">
        <v>1030.8900000000001</v>
      </c>
      <c r="H1173" t="str">
        <f t="shared" si="15"/>
        <v>ALLSTATE</v>
      </c>
    </row>
    <row r="1174" spans="1:8" x14ac:dyDescent="0.25">
      <c r="E1174" t="str">
        <f>"AST202102171723"</f>
        <v>AST202102171723</v>
      </c>
      <c r="F1174" t="str">
        <f t="shared" si="14"/>
        <v>ALLSTATE</v>
      </c>
      <c r="G1174" s="3">
        <v>31.41</v>
      </c>
      <c r="H1174" t="str">
        <f t="shared" si="15"/>
        <v>ALLSTATE</v>
      </c>
    </row>
    <row r="1175" spans="1:8" x14ac:dyDescent="0.25">
      <c r="A1175" t="s">
        <v>335</v>
      </c>
      <c r="B1175">
        <v>919</v>
      </c>
      <c r="C1175" s="3">
        <v>26776.33</v>
      </c>
      <c r="D1175" s="6">
        <v>44253</v>
      </c>
      <c r="E1175" t="str">
        <f>"202102241806"</f>
        <v>202102241806</v>
      </c>
      <c r="F1175" t="str">
        <f>"RETIREE INS - FEBRUARY 2021"</f>
        <v>RETIREE INS - FEBRUARY 2021</v>
      </c>
      <c r="G1175" s="3">
        <v>26776.33</v>
      </c>
      <c r="H1175" t="str">
        <f>"RETIREE INS - FEBRUARY 2021"</f>
        <v>RETIREE INS - FEBRUARY 2021</v>
      </c>
    </row>
    <row r="1176" spans="1:8" x14ac:dyDescent="0.25">
      <c r="A1176" t="s">
        <v>336</v>
      </c>
      <c r="B1176">
        <v>900</v>
      </c>
      <c r="C1176" s="3">
        <v>1992.63</v>
      </c>
      <c r="D1176" s="6">
        <v>44232</v>
      </c>
      <c r="E1176" t="str">
        <f>"DHM202102021524"</f>
        <v>DHM202102021524</v>
      </c>
      <c r="F1176" t="str">
        <f>"AP - DENTAL HMO"</f>
        <v>AP - DENTAL HMO</v>
      </c>
      <c r="G1176" s="3">
        <v>33.590000000000003</v>
      </c>
      <c r="H1176" t="str">
        <f>"AP - DENTAL HMO"</f>
        <v>AP - DENTAL HMO</v>
      </c>
    </row>
    <row r="1177" spans="1:8" x14ac:dyDescent="0.25">
      <c r="E1177" t="str">
        <f>"DTX202102021524"</f>
        <v>DTX202102021524</v>
      </c>
      <c r="F1177" t="str">
        <f>"AP - TEXAS DENTAL"</f>
        <v>AP - TEXAS DENTAL</v>
      </c>
      <c r="G1177" s="3">
        <v>391.77</v>
      </c>
      <c r="H1177" t="str">
        <f>"AP - TEXAS DENTAL"</f>
        <v>AP - TEXAS DENTAL</v>
      </c>
    </row>
    <row r="1178" spans="1:8" x14ac:dyDescent="0.25">
      <c r="E1178" t="str">
        <f>"FD 202102021524"</f>
        <v>FD 202102021524</v>
      </c>
      <c r="F1178" t="str">
        <f>"AP - FT DEARBORN PRE-TAX"</f>
        <v>AP - FT DEARBORN PRE-TAX</v>
      </c>
      <c r="G1178" s="3">
        <v>96.17</v>
      </c>
      <c r="H1178" t="str">
        <f>"AP - FT DEARBORN PRE-TAX"</f>
        <v>AP - FT DEARBORN PRE-TAX</v>
      </c>
    </row>
    <row r="1179" spans="1:8" x14ac:dyDescent="0.25">
      <c r="E1179" t="str">
        <f>"FDT202102021524"</f>
        <v>FDT202102021524</v>
      </c>
      <c r="F1179" t="str">
        <f>"AP - FT DEARBORN AFTER TAX"</f>
        <v>AP - FT DEARBORN AFTER TAX</v>
      </c>
      <c r="G1179" s="3">
        <v>79.62</v>
      </c>
      <c r="H1179" t="str">
        <f>"AP - FT DEARBORN AFTER TAX"</f>
        <v>AP - FT DEARBORN AFTER TAX</v>
      </c>
    </row>
    <row r="1180" spans="1:8" x14ac:dyDescent="0.25">
      <c r="E1180" t="str">
        <f>"FLX202102021524"</f>
        <v>FLX202102021524</v>
      </c>
      <c r="F1180" t="str">
        <f>"AP - TEX FLEX"</f>
        <v>AP - TEX FLEX</v>
      </c>
      <c r="G1180" s="3">
        <v>94.5</v>
      </c>
      <c r="H1180" t="str">
        <f>"AP - TEX FLEX"</f>
        <v>AP - TEX FLEX</v>
      </c>
    </row>
    <row r="1181" spans="1:8" x14ac:dyDescent="0.25">
      <c r="E1181" t="str">
        <f>"HSA202102021524"</f>
        <v>HSA202102021524</v>
      </c>
      <c r="F1181" t="str">
        <f>"AP- HSA"</f>
        <v>AP- HSA</v>
      </c>
      <c r="G1181" s="3">
        <v>20</v>
      </c>
      <c r="H1181" t="str">
        <f>"AP- HSA"</f>
        <v>AP- HSA</v>
      </c>
    </row>
    <row r="1182" spans="1:8" x14ac:dyDescent="0.25">
      <c r="E1182" t="str">
        <f>"MHS202102021524"</f>
        <v>MHS202102021524</v>
      </c>
      <c r="F1182" t="str">
        <f>"AP - HEALTH SELECT MEDICAL"</f>
        <v>AP - HEALTH SELECT MEDICAL</v>
      </c>
      <c r="G1182" s="3">
        <v>837.83</v>
      </c>
      <c r="H1182" t="str">
        <f>"AP - HEALTH SELECT MEDICAL"</f>
        <v>AP - HEALTH SELECT MEDICAL</v>
      </c>
    </row>
    <row r="1183" spans="1:8" x14ac:dyDescent="0.25">
      <c r="E1183" t="str">
        <f>"MSW202102021524"</f>
        <v>MSW202102021524</v>
      </c>
      <c r="F1183" t="str">
        <f>"AP - SCOTT &amp; WHITE MEDICAL"</f>
        <v>AP - SCOTT &amp; WHITE MEDICAL</v>
      </c>
      <c r="G1183" s="3">
        <v>372.42</v>
      </c>
      <c r="H1183" t="str">
        <f>"AP - SCOTT &amp; WHITE MEDICAL"</f>
        <v>AP - SCOTT &amp; WHITE MEDICAL</v>
      </c>
    </row>
    <row r="1184" spans="1:8" x14ac:dyDescent="0.25">
      <c r="E1184" t="str">
        <f>"SPE202102021524"</f>
        <v>SPE202102021524</v>
      </c>
      <c r="F1184" t="str">
        <f>"AP - STATE VISION"</f>
        <v>AP - STATE VISION</v>
      </c>
      <c r="G1184" s="3">
        <v>66.73</v>
      </c>
      <c r="H1184" t="str">
        <f>"AP - STATE VISION"</f>
        <v>AP - STATE VISION</v>
      </c>
    </row>
    <row r="1185" spans="1:8" x14ac:dyDescent="0.25">
      <c r="A1185" t="s">
        <v>336</v>
      </c>
      <c r="B1185">
        <v>909</v>
      </c>
      <c r="C1185" s="3">
        <v>1992.63</v>
      </c>
      <c r="D1185" s="6">
        <v>44246</v>
      </c>
      <c r="E1185" t="str">
        <f>"DHM202102171724"</f>
        <v>DHM202102171724</v>
      </c>
      <c r="F1185" t="str">
        <f>"AP - DENTAL HMO"</f>
        <v>AP - DENTAL HMO</v>
      </c>
      <c r="G1185" s="3">
        <v>33.590000000000003</v>
      </c>
      <c r="H1185" t="str">
        <f>"AP - DENTAL HMO"</f>
        <v>AP - DENTAL HMO</v>
      </c>
    </row>
    <row r="1186" spans="1:8" x14ac:dyDescent="0.25">
      <c r="E1186" t="str">
        <f>"DTX202102171724"</f>
        <v>DTX202102171724</v>
      </c>
      <c r="F1186" t="str">
        <f>"AP - TEXAS DENTAL"</f>
        <v>AP - TEXAS DENTAL</v>
      </c>
      <c r="G1186" s="3">
        <v>391.77</v>
      </c>
      <c r="H1186" t="str">
        <f>"AP - TEXAS DENTAL"</f>
        <v>AP - TEXAS DENTAL</v>
      </c>
    </row>
    <row r="1187" spans="1:8" x14ac:dyDescent="0.25">
      <c r="E1187" t="str">
        <f>"FD 202102171724"</f>
        <v>FD 202102171724</v>
      </c>
      <c r="F1187" t="str">
        <f>"AP - FT DEARBORN PRE-TAX"</f>
        <v>AP - FT DEARBORN PRE-TAX</v>
      </c>
      <c r="G1187" s="3">
        <v>96.17</v>
      </c>
      <c r="H1187" t="str">
        <f>"AP - FT DEARBORN PRE-TAX"</f>
        <v>AP - FT DEARBORN PRE-TAX</v>
      </c>
    </row>
    <row r="1188" spans="1:8" x14ac:dyDescent="0.25">
      <c r="E1188" t="str">
        <f>"FDT202102171724"</f>
        <v>FDT202102171724</v>
      </c>
      <c r="F1188" t="str">
        <f>"AP - FT DEARBORN AFTER TAX"</f>
        <v>AP - FT DEARBORN AFTER TAX</v>
      </c>
      <c r="G1188" s="3">
        <v>79.62</v>
      </c>
      <c r="H1188" t="str">
        <f>"AP - FT DEARBORN AFTER TAX"</f>
        <v>AP - FT DEARBORN AFTER TAX</v>
      </c>
    </row>
    <row r="1189" spans="1:8" x14ac:dyDescent="0.25">
      <c r="E1189" t="str">
        <f>"FLX202102171724"</f>
        <v>FLX202102171724</v>
      </c>
      <c r="F1189" t="str">
        <f>"AP - TEX FLEX"</f>
        <v>AP - TEX FLEX</v>
      </c>
      <c r="G1189" s="3">
        <v>94.5</v>
      </c>
      <c r="H1189" t="str">
        <f>"AP - TEX FLEX"</f>
        <v>AP - TEX FLEX</v>
      </c>
    </row>
    <row r="1190" spans="1:8" x14ac:dyDescent="0.25">
      <c r="E1190" t="str">
        <f>"HSA202102171724"</f>
        <v>HSA202102171724</v>
      </c>
      <c r="F1190" t="str">
        <f>"AP- HSA"</f>
        <v>AP- HSA</v>
      </c>
      <c r="G1190" s="3">
        <v>20</v>
      </c>
      <c r="H1190" t="str">
        <f>"AP- HSA"</f>
        <v>AP- HSA</v>
      </c>
    </row>
    <row r="1191" spans="1:8" x14ac:dyDescent="0.25">
      <c r="E1191" t="str">
        <f>"MHS202102171724"</f>
        <v>MHS202102171724</v>
      </c>
      <c r="F1191" t="str">
        <f>"AP - HEALTH SELECT MEDICAL"</f>
        <v>AP - HEALTH SELECT MEDICAL</v>
      </c>
      <c r="G1191" s="3">
        <v>837.83</v>
      </c>
      <c r="H1191" t="str">
        <f>"AP - HEALTH SELECT MEDICAL"</f>
        <v>AP - HEALTH SELECT MEDICAL</v>
      </c>
    </row>
    <row r="1192" spans="1:8" x14ac:dyDescent="0.25">
      <c r="E1192" t="str">
        <f>"MSW202102171724"</f>
        <v>MSW202102171724</v>
      </c>
      <c r="F1192" t="str">
        <f>"AP - SCOTT &amp; WHITE MEDICAL"</f>
        <v>AP - SCOTT &amp; WHITE MEDICAL</v>
      </c>
      <c r="G1192" s="3">
        <v>372.42</v>
      </c>
      <c r="H1192" t="str">
        <f>"AP - SCOTT &amp; WHITE MEDICAL"</f>
        <v>AP - SCOTT &amp; WHITE MEDICAL</v>
      </c>
    </row>
    <row r="1193" spans="1:8" x14ac:dyDescent="0.25">
      <c r="E1193" t="str">
        <f>"SPE202102171724"</f>
        <v>SPE202102171724</v>
      </c>
      <c r="F1193" t="str">
        <f>"AP - STATE VISION"</f>
        <v>AP - STATE VISION</v>
      </c>
      <c r="G1193" s="3">
        <v>66.73</v>
      </c>
      <c r="H1193" t="str">
        <f>"AP - STATE VISION"</f>
        <v>AP - STATE VISION</v>
      </c>
    </row>
    <row r="1194" spans="1:8" x14ac:dyDescent="0.25">
      <c r="A1194" t="s">
        <v>337</v>
      </c>
      <c r="B1194">
        <v>918</v>
      </c>
      <c r="C1194" s="3">
        <v>4356.62</v>
      </c>
      <c r="D1194" s="6">
        <v>44251</v>
      </c>
      <c r="E1194" t="str">
        <f>"202102241799"</f>
        <v>202102241799</v>
      </c>
      <c r="F1194" t="str">
        <f>"ROUNDING - FEBRUARY 2021"</f>
        <v>ROUNDING - FEBRUARY 2021</v>
      </c>
      <c r="G1194" s="3">
        <v>0.44</v>
      </c>
      <c r="H1194" t="str">
        <f>"ROUNDING - FEBRUARY 2021"</f>
        <v>ROUNDING - FEBRUARY 2021</v>
      </c>
    </row>
    <row r="1195" spans="1:8" x14ac:dyDescent="0.25">
      <c r="E1195" t="str">
        <f>"CL 202102021522"</f>
        <v>CL 202102021522</v>
      </c>
      <c r="F1195" t="str">
        <f t="shared" ref="F1195:F1214" si="16">"COLONIAL"</f>
        <v>COLONIAL</v>
      </c>
      <c r="G1195" s="3">
        <v>539.33000000000004</v>
      </c>
      <c r="H1195" t="str">
        <f t="shared" ref="H1195:H1214" si="17">"COLONIAL"</f>
        <v>COLONIAL</v>
      </c>
    </row>
    <row r="1196" spans="1:8" x14ac:dyDescent="0.25">
      <c r="E1196" t="str">
        <f>"CL 202102021523"</f>
        <v>CL 202102021523</v>
      </c>
      <c r="F1196" t="str">
        <f t="shared" si="16"/>
        <v>COLONIAL</v>
      </c>
      <c r="G1196" s="3">
        <v>14.49</v>
      </c>
      <c r="H1196" t="str">
        <f t="shared" si="17"/>
        <v>COLONIAL</v>
      </c>
    </row>
    <row r="1197" spans="1:8" x14ac:dyDescent="0.25">
      <c r="E1197" t="str">
        <f>"CL 202102171722"</f>
        <v>CL 202102171722</v>
      </c>
      <c r="F1197" t="str">
        <f t="shared" si="16"/>
        <v>COLONIAL</v>
      </c>
      <c r="G1197" s="3">
        <v>539.33000000000004</v>
      </c>
      <c r="H1197" t="str">
        <f t="shared" si="17"/>
        <v>COLONIAL</v>
      </c>
    </row>
    <row r="1198" spans="1:8" x14ac:dyDescent="0.25">
      <c r="E1198" t="str">
        <f>"CL 202102171723"</f>
        <v>CL 202102171723</v>
      </c>
      <c r="F1198" t="str">
        <f t="shared" si="16"/>
        <v>COLONIAL</v>
      </c>
      <c r="G1198" s="3">
        <v>14.49</v>
      </c>
      <c r="H1198" t="str">
        <f t="shared" si="17"/>
        <v>COLONIAL</v>
      </c>
    </row>
    <row r="1199" spans="1:8" x14ac:dyDescent="0.25">
      <c r="E1199" t="str">
        <f>"CLC202102021522"</f>
        <v>CLC202102021522</v>
      </c>
      <c r="F1199" t="str">
        <f t="shared" si="16"/>
        <v>COLONIAL</v>
      </c>
      <c r="G1199" s="3">
        <v>33.99</v>
      </c>
      <c r="H1199" t="str">
        <f t="shared" si="17"/>
        <v>COLONIAL</v>
      </c>
    </row>
    <row r="1200" spans="1:8" x14ac:dyDescent="0.25">
      <c r="E1200" t="str">
        <f>"CLC202102171722"</f>
        <v>CLC202102171722</v>
      </c>
      <c r="F1200" t="str">
        <f t="shared" si="16"/>
        <v>COLONIAL</v>
      </c>
      <c r="G1200" s="3">
        <v>33.99</v>
      </c>
      <c r="H1200" t="str">
        <f t="shared" si="17"/>
        <v>COLONIAL</v>
      </c>
    </row>
    <row r="1201" spans="1:8" x14ac:dyDescent="0.25">
      <c r="E1201" t="str">
        <f>"CLI202102021522"</f>
        <v>CLI202102021522</v>
      </c>
      <c r="F1201" t="str">
        <f t="shared" si="16"/>
        <v>COLONIAL</v>
      </c>
      <c r="G1201" s="3">
        <v>534.04</v>
      </c>
      <c r="H1201" t="str">
        <f t="shared" si="17"/>
        <v>COLONIAL</v>
      </c>
    </row>
    <row r="1202" spans="1:8" x14ac:dyDescent="0.25">
      <c r="E1202" t="str">
        <f>"CLI202102171722"</f>
        <v>CLI202102171722</v>
      </c>
      <c r="F1202" t="str">
        <f t="shared" si="16"/>
        <v>COLONIAL</v>
      </c>
      <c r="G1202" s="3">
        <v>534.04</v>
      </c>
      <c r="H1202" t="str">
        <f t="shared" si="17"/>
        <v>COLONIAL</v>
      </c>
    </row>
    <row r="1203" spans="1:8" x14ac:dyDescent="0.25">
      <c r="E1203" t="str">
        <f>"CLK202102021522"</f>
        <v>CLK202102021522</v>
      </c>
      <c r="F1203" t="str">
        <f t="shared" si="16"/>
        <v>COLONIAL</v>
      </c>
      <c r="G1203" s="3">
        <v>27.09</v>
      </c>
      <c r="H1203" t="str">
        <f t="shared" si="17"/>
        <v>COLONIAL</v>
      </c>
    </row>
    <row r="1204" spans="1:8" x14ac:dyDescent="0.25">
      <c r="E1204" t="str">
        <f>"CLK202102171722"</f>
        <v>CLK202102171722</v>
      </c>
      <c r="F1204" t="str">
        <f t="shared" si="16"/>
        <v>COLONIAL</v>
      </c>
      <c r="G1204" s="3">
        <v>27.09</v>
      </c>
      <c r="H1204" t="str">
        <f t="shared" si="17"/>
        <v>COLONIAL</v>
      </c>
    </row>
    <row r="1205" spans="1:8" x14ac:dyDescent="0.25">
      <c r="E1205" t="str">
        <f>"CLS202102021522"</f>
        <v>CLS202102021522</v>
      </c>
      <c r="F1205" t="str">
        <f t="shared" si="16"/>
        <v>COLONIAL</v>
      </c>
      <c r="G1205" s="3">
        <v>374.86</v>
      </c>
      <c r="H1205" t="str">
        <f t="shared" si="17"/>
        <v>COLONIAL</v>
      </c>
    </row>
    <row r="1206" spans="1:8" x14ac:dyDescent="0.25">
      <c r="E1206" t="str">
        <f>"CLS202102021523"</f>
        <v>CLS202102021523</v>
      </c>
      <c r="F1206" t="str">
        <f t="shared" si="16"/>
        <v>COLONIAL</v>
      </c>
      <c r="G1206" s="3">
        <v>15.73</v>
      </c>
      <c r="H1206" t="str">
        <f t="shared" si="17"/>
        <v>COLONIAL</v>
      </c>
    </row>
    <row r="1207" spans="1:8" x14ac:dyDescent="0.25">
      <c r="E1207" t="str">
        <f>"CLS202102171722"</f>
        <v>CLS202102171722</v>
      </c>
      <c r="F1207" t="str">
        <f t="shared" si="16"/>
        <v>COLONIAL</v>
      </c>
      <c r="G1207" s="3">
        <v>374.86</v>
      </c>
      <c r="H1207" t="str">
        <f t="shared" si="17"/>
        <v>COLONIAL</v>
      </c>
    </row>
    <row r="1208" spans="1:8" x14ac:dyDescent="0.25">
      <c r="E1208" t="str">
        <f>"CLS202102171723"</f>
        <v>CLS202102171723</v>
      </c>
      <c r="F1208" t="str">
        <f t="shared" si="16"/>
        <v>COLONIAL</v>
      </c>
      <c r="G1208" s="3">
        <v>15.73</v>
      </c>
      <c r="H1208" t="str">
        <f t="shared" si="17"/>
        <v>COLONIAL</v>
      </c>
    </row>
    <row r="1209" spans="1:8" x14ac:dyDescent="0.25">
      <c r="E1209" t="str">
        <f>"CLT202102021522"</f>
        <v>CLT202102021522</v>
      </c>
      <c r="F1209" t="str">
        <f t="shared" si="16"/>
        <v>COLONIAL</v>
      </c>
      <c r="G1209" s="3">
        <v>260.32</v>
      </c>
      <c r="H1209" t="str">
        <f t="shared" si="17"/>
        <v>COLONIAL</v>
      </c>
    </row>
    <row r="1210" spans="1:8" x14ac:dyDescent="0.25">
      <c r="E1210" t="str">
        <f>"CLT202102171722"</f>
        <v>CLT202102171722</v>
      </c>
      <c r="F1210" t="str">
        <f t="shared" si="16"/>
        <v>COLONIAL</v>
      </c>
      <c r="G1210" s="3">
        <v>260.32</v>
      </c>
      <c r="H1210" t="str">
        <f t="shared" si="17"/>
        <v>COLONIAL</v>
      </c>
    </row>
    <row r="1211" spans="1:8" x14ac:dyDescent="0.25">
      <c r="E1211" t="str">
        <f>"CLU202102021522"</f>
        <v>CLU202102021522</v>
      </c>
      <c r="F1211" t="str">
        <f t="shared" si="16"/>
        <v>COLONIAL</v>
      </c>
      <c r="G1211" s="3">
        <v>111.55</v>
      </c>
      <c r="H1211" t="str">
        <f t="shared" si="17"/>
        <v>COLONIAL</v>
      </c>
    </row>
    <row r="1212" spans="1:8" x14ac:dyDescent="0.25">
      <c r="E1212" t="str">
        <f>"CLU202102171722"</f>
        <v>CLU202102171722</v>
      </c>
      <c r="F1212" t="str">
        <f t="shared" si="16"/>
        <v>COLONIAL</v>
      </c>
      <c r="G1212" s="3">
        <v>111.55</v>
      </c>
      <c r="H1212" t="str">
        <f t="shared" si="17"/>
        <v>COLONIAL</v>
      </c>
    </row>
    <row r="1213" spans="1:8" x14ac:dyDescent="0.25">
      <c r="E1213" t="str">
        <f>"CLW202102021522"</f>
        <v>CLW202102021522</v>
      </c>
      <c r="F1213" t="str">
        <f t="shared" si="16"/>
        <v>COLONIAL</v>
      </c>
      <c r="G1213" s="3">
        <v>266.69</v>
      </c>
      <c r="H1213" t="str">
        <f t="shared" si="17"/>
        <v>COLONIAL</v>
      </c>
    </row>
    <row r="1214" spans="1:8" x14ac:dyDescent="0.25">
      <c r="E1214" t="str">
        <f>"CLW202102171722"</f>
        <v>CLW202102171722</v>
      </c>
      <c r="F1214" t="str">
        <f t="shared" si="16"/>
        <v>COLONIAL</v>
      </c>
      <c r="G1214" s="3">
        <v>266.69</v>
      </c>
      <c r="H1214" t="str">
        <f t="shared" si="17"/>
        <v>COLONIAL</v>
      </c>
    </row>
    <row r="1215" spans="1:8" x14ac:dyDescent="0.25">
      <c r="A1215" t="s">
        <v>338</v>
      </c>
      <c r="B1215">
        <v>901</v>
      </c>
      <c r="C1215" s="3">
        <v>7653.07</v>
      </c>
      <c r="D1215" s="6">
        <v>44232</v>
      </c>
      <c r="E1215" t="str">
        <f>"CPI202102021522"</f>
        <v>CPI202102021522</v>
      </c>
      <c r="F1215" t="str">
        <f>"DEFERRED COMP 457B PAYABLE"</f>
        <v>DEFERRED COMP 457B PAYABLE</v>
      </c>
      <c r="G1215" s="3">
        <v>7558.07</v>
      </c>
      <c r="H1215" t="str">
        <f>"DEFERRED COMP 457B PAYABLE"</f>
        <v>DEFERRED COMP 457B PAYABLE</v>
      </c>
    </row>
    <row r="1216" spans="1:8" x14ac:dyDescent="0.25">
      <c r="E1216" t="str">
        <f>"CPI202102021523"</f>
        <v>CPI202102021523</v>
      </c>
      <c r="F1216" t="str">
        <f>"DEFERRED COMP 457B PAYABLE"</f>
        <v>DEFERRED COMP 457B PAYABLE</v>
      </c>
      <c r="G1216" s="3">
        <v>95</v>
      </c>
      <c r="H1216" t="str">
        <f>"DEFERRED COMP 457B PAYABLE"</f>
        <v>DEFERRED COMP 457B PAYABLE</v>
      </c>
    </row>
    <row r="1217" spans="1:8" x14ac:dyDescent="0.25">
      <c r="A1217" t="s">
        <v>338</v>
      </c>
      <c r="B1217">
        <v>910</v>
      </c>
      <c r="C1217" s="3">
        <v>8161.95</v>
      </c>
      <c r="D1217" s="6">
        <v>44246</v>
      </c>
      <c r="E1217" t="str">
        <f>"CPI202102171722"</f>
        <v>CPI202102171722</v>
      </c>
      <c r="F1217" t="str">
        <f>"DEFERRED COMP 457B PAYABLE"</f>
        <v>DEFERRED COMP 457B PAYABLE</v>
      </c>
      <c r="G1217" s="3">
        <v>8066.95</v>
      </c>
      <c r="H1217" t="str">
        <f>"DEFERRED COMP 457B PAYABLE"</f>
        <v>DEFERRED COMP 457B PAYABLE</v>
      </c>
    </row>
    <row r="1218" spans="1:8" x14ac:dyDescent="0.25">
      <c r="E1218" t="str">
        <f>"CPI202102171723"</f>
        <v>CPI202102171723</v>
      </c>
      <c r="F1218" t="str">
        <f>"DEFERRED COMP 457B PAYABLE"</f>
        <v>DEFERRED COMP 457B PAYABLE</v>
      </c>
      <c r="G1218" s="3">
        <v>95</v>
      </c>
      <c r="H1218" t="str">
        <f>"DEFERRED COMP 457B PAYABLE"</f>
        <v>DEFERRED COMP 457B PAYABLE</v>
      </c>
    </row>
    <row r="1219" spans="1:8" x14ac:dyDescent="0.25">
      <c r="A1219" t="s">
        <v>339</v>
      </c>
      <c r="B1219">
        <v>907</v>
      </c>
      <c r="C1219" s="3">
        <v>816.47</v>
      </c>
      <c r="D1219" s="6">
        <v>44237</v>
      </c>
      <c r="E1219" t="str">
        <f>"202102101698"</f>
        <v>202102101698</v>
      </c>
      <c r="F1219" t="str">
        <f>"RETIREE INS REFUND"</f>
        <v>RETIREE INS REFUND</v>
      </c>
      <c r="G1219" s="3">
        <v>816.47</v>
      </c>
      <c r="H1219" t="str">
        <f>"RETIREE INS REFUND"</f>
        <v>RETIREE INS REFUND</v>
      </c>
    </row>
    <row r="1220" spans="1:8" x14ac:dyDescent="0.25">
      <c r="A1220" t="s">
        <v>340</v>
      </c>
      <c r="B1220">
        <v>914</v>
      </c>
      <c r="C1220" s="3">
        <v>39108.42</v>
      </c>
      <c r="D1220" s="6">
        <v>44253</v>
      </c>
      <c r="E1220" t="str">
        <f>"ADC202102021522"</f>
        <v>ADC202102021522</v>
      </c>
      <c r="F1220" t="str">
        <f t="shared" ref="F1220:F1232" si="18">"GUARDIAN"</f>
        <v>GUARDIAN</v>
      </c>
      <c r="G1220" s="3">
        <v>4.7699999999999996</v>
      </c>
      <c r="H1220" t="str">
        <f t="shared" ref="H1220:H1283" si="19">"GUARDIAN"</f>
        <v>GUARDIAN</v>
      </c>
    </row>
    <row r="1221" spans="1:8" x14ac:dyDescent="0.25">
      <c r="E1221" t="str">
        <f>"ADC202102021523"</f>
        <v>ADC202102021523</v>
      </c>
      <c r="F1221" t="str">
        <f t="shared" si="18"/>
        <v>GUARDIAN</v>
      </c>
      <c r="G1221" s="3">
        <v>0.16</v>
      </c>
      <c r="H1221" t="str">
        <f t="shared" si="19"/>
        <v>GUARDIAN</v>
      </c>
    </row>
    <row r="1222" spans="1:8" x14ac:dyDescent="0.25">
      <c r="E1222" t="str">
        <f>"ADC202102171722"</f>
        <v>ADC202102171722</v>
      </c>
      <c r="F1222" t="str">
        <f t="shared" si="18"/>
        <v>GUARDIAN</v>
      </c>
      <c r="G1222" s="3">
        <v>4.7699999999999996</v>
      </c>
      <c r="H1222" t="str">
        <f t="shared" si="19"/>
        <v>GUARDIAN</v>
      </c>
    </row>
    <row r="1223" spans="1:8" x14ac:dyDescent="0.25">
      <c r="E1223" t="str">
        <f>"ADC202102171723"</f>
        <v>ADC202102171723</v>
      </c>
      <c r="F1223" t="str">
        <f t="shared" si="18"/>
        <v>GUARDIAN</v>
      </c>
      <c r="G1223" s="3">
        <v>0.16</v>
      </c>
      <c r="H1223" t="str">
        <f t="shared" si="19"/>
        <v>GUARDIAN</v>
      </c>
    </row>
    <row r="1224" spans="1:8" x14ac:dyDescent="0.25">
      <c r="E1224" t="str">
        <f>"ADE202102021522"</f>
        <v>ADE202102021522</v>
      </c>
      <c r="F1224" t="str">
        <f t="shared" si="18"/>
        <v>GUARDIAN</v>
      </c>
      <c r="G1224" s="3">
        <v>234.13</v>
      </c>
      <c r="H1224" t="str">
        <f t="shared" si="19"/>
        <v>GUARDIAN</v>
      </c>
    </row>
    <row r="1225" spans="1:8" x14ac:dyDescent="0.25">
      <c r="E1225" t="str">
        <f>"ADE202102021523"</f>
        <v>ADE202102021523</v>
      </c>
      <c r="F1225" t="str">
        <f t="shared" si="18"/>
        <v>GUARDIAN</v>
      </c>
      <c r="G1225" s="3">
        <v>5.55</v>
      </c>
      <c r="H1225" t="str">
        <f t="shared" si="19"/>
        <v>GUARDIAN</v>
      </c>
    </row>
    <row r="1226" spans="1:8" x14ac:dyDescent="0.25">
      <c r="E1226" t="str">
        <f>"ADE202102171722"</f>
        <v>ADE202102171722</v>
      </c>
      <c r="F1226" t="str">
        <f t="shared" si="18"/>
        <v>GUARDIAN</v>
      </c>
      <c r="G1226" s="3">
        <v>234.13</v>
      </c>
      <c r="H1226" t="str">
        <f t="shared" si="19"/>
        <v>GUARDIAN</v>
      </c>
    </row>
    <row r="1227" spans="1:8" x14ac:dyDescent="0.25">
      <c r="E1227" t="str">
        <f>"ADE202102171723"</f>
        <v>ADE202102171723</v>
      </c>
      <c r="F1227" t="str">
        <f t="shared" si="18"/>
        <v>GUARDIAN</v>
      </c>
      <c r="G1227" s="3">
        <v>5.55</v>
      </c>
      <c r="H1227" t="str">
        <f t="shared" si="19"/>
        <v>GUARDIAN</v>
      </c>
    </row>
    <row r="1228" spans="1:8" x14ac:dyDescent="0.25">
      <c r="E1228" t="str">
        <f>"ADS202102021522"</f>
        <v>ADS202102021522</v>
      </c>
      <c r="F1228" t="str">
        <f t="shared" si="18"/>
        <v>GUARDIAN</v>
      </c>
      <c r="G1228" s="3">
        <v>44.14</v>
      </c>
      <c r="H1228" t="str">
        <f t="shared" si="19"/>
        <v>GUARDIAN</v>
      </c>
    </row>
    <row r="1229" spans="1:8" x14ac:dyDescent="0.25">
      <c r="E1229" t="str">
        <f>"ADS202102021523"</f>
        <v>ADS202102021523</v>
      </c>
      <c r="F1229" t="str">
        <f t="shared" si="18"/>
        <v>GUARDIAN</v>
      </c>
      <c r="G1229" s="3">
        <v>0.53</v>
      </c>
      <c r="H1229" t="str">
        <f t="shared" si="19"/>
        <v>GUARDIAN</v>
      </c>
    </row>
    <row r="1230" spans="1:8" x14ac:dyDescent="0.25">
      <c r="E1230" t="str">
        <f>"ADS202102171722"</f>
        <v>ADS202102171722</v>
      </c>
      <c r="F1230" t="str">
        <f t="shared" si="18"/>
        <v>GUARDIAN</v>
      </c>
      <c r="G1230" s="3">
        <v>44.14</v>
      </c>
      <c r="H1230" t="str">
        <f t="shared" si="19"/>
        <v>GUARDIAN</v>
      </c>
    </row>
    <row r="1231" spans="1:8" x14ac:dyDescent="0.25">
      <c r="E1231" t="str">
        <f>"ADS202102171723"</f>
        <v>ADS202102171723</v>
      </c>
      <c r="F1231" t="str">
        <f t="shared" si="18"/>
        <v>GUARDIAN</v>
      </c>
      <c r="G1231" s="3">
        <v>0.53</v>
      </c>
      <c r="H1231" t="str">
        <f t="shared" si="19"/>
        <v>GUARDIAN</v>
      </c>
    </row>
    <row r="1232" spans="1:8" x14ac:dyDescent="0.25">
      <c r="E1232" t="str">
        <f>"GDC202102021522"</f>
        <v>GDC202102021522</v>
      </c>
      <c r="F1232" t="str">
        <f t="shared" si="18"/>
        <v>GUARDIAN</v>
      </c>
      <c r="G1232" s="3">
        <v>2818.68</v>
      </c>
      <c r="H1232" t="str">
        <f t="shared" si="19"/>
        <v>GUARDIAN</v>
      </c>
    </row>
    <row r="1233" spans="5:8" x14ac:dyDescent="0.25">
      <c r="E1233" t="str">
        <f>""</f>
        <v/>
      </c>
      <c r="F1233" t="str">
        <f>""</f>
        <v/>
      </c>
      <c r="H1233" t="str">
        <f t="shared" si="19"/>
        <v>GUARDIAN</v>
      </c>
    </row>
    <row r="1234" spans="5:8" x14ac:dyDescent="0.25">
      <c r="E1234" t="str">
        <f>""</f>
        <v/>
      </c>
      <c r="F1234" t="str">
        <f>""</f>
        <v/>
      </c>
      <c r="H1234" t="str">
        <f t="shared" si="19"/>
        <v>GUARDIAN</v>
      </c>
    </row>
    <row r="1235" spans="5:8" x14ac:dyDescent="0.25">
      <c r="E1235" t="str">
        <f>""</f>
        <v/>
      </c>
      <c r="F1235" t="str">
        <f>""</f>
        <v/>
      </c>
      <c r="H1235" t="str">
        <f t="shared" si="19"/>
        <v>GUARDIAN</v>
      </c>
    </row>
    <row r="1236" spans="5:8" x14ac:dyDescent="0.25">
      <c r="E1236" t="str">
        <f>""</f>
        <v/>
      </c>
      <c r="F1236" t="str">
        <f>""</f>
        <v/>
      </c>
      <c r="H1236" t="str">
        <f t="shared" si="19"/>
        <v>GUARDIAN</v>
      </c>
    </row>
    <row r="1237" spans="5:8" x14ac:dyDescent="0.25">
      <c r="E1237" t="str">
        <f>""</f>
        <v/>
      </c>
      <c r="F1237" t="str">
        <f>""</f>
        <v/>
      </c>
      <c r="H1237" t="str">
        <f t="shared" si="19"/>
        <v>GUARDIAN</v>
      </c>
    </row>
    <row r="1238" spans="5:8" x14ac:dyDescent="0.25">
      <c r="E1238" t="str">
        <f>""</f>
        <v/>
      </c>
      <c r="F1238" t="str">
        <f>""</f>
        <v/>
      </c>
      <c r="H1238" t="str">
        <f t="shared" si="19"/>
        <v>GUARDIAN</v>
      </c>
    </row>
    <row r="1239" spans="5:8" x14ac:dyDescent="0.25">
      <c r="E1239" t="str">
        <f>""</f>
        <v/>
      </c>
      <c r="F1239" t="str">
        <f>""</f>
        <v/>
      </c>
      <c r="H1239" t="str">
        <f t="shared" si="19"/>
        <v>GUARDIAN</v>
      </c>
    </row>
    <row r="1240" spans="5:8" x14ac:dyDescent="0.25">
      <c r="E1240" t="str">
        <f>""</f>
        <v/>
      </c>
      <c r="F1240" t="str">
        <f>""</f>
        <v/>
      </c>
      <c r="H1240" t="str">
        <f t="shared" si="19"/>
        <v>GUARDIAN</v>
      </c>
    </row>
    <row r="1241" spans="5:8" x14ac:dyDescent="0.25">
      <c r="E1241" t="str">
        <f>""</f>
        <v/>
      </c>
      <c r="F1241" t="str">
        <f>""</f>
        <v/>
      </c>
      <c r="H1241" t="str">
        <f t="shared" si="19"/>
        <v>GUARDIAN</v>
      </c>
    </row>
    <row r="1242" spans="5:8" x14ac:dyDescent="0.25">
      <c r="E1242" t="str">
        <f>""</f>
        <v/>
      </c>
      <c r="F1242" t="str">
        <f>""</f>
        <v/>
      </c>
      <c r="H1242" t="str">
        <f t="shared" si="19"/>
        <v>GUARDIAN</v>
      </c>
    </row>
    <row r="1243" spans="5:8" x14ac:dyDescent="0.25">
      <c r="E1243" t="str">
        <f>""</f>
        <v/>
      </c>
      <c r="F1243" t="str">
        <f>""</f>
        <v/>
      </c>
      <c r="H1243" t="str">
        <f t="shared" si="19"/>
        <v>GUARDIAN</v>
      </c>
    </row>
    <row r="1244" spans="5:8" x14ac:dyDescent="0.25">
      <c r="E1244" t="str">
        <f>""</f>
        <v/>
      </c>
      <c r="F1244" t="str">
        <f>""</f>
        <v/>
      </c>
      <c r="H1244" t="str">
        <f t="shared" si="19"/>
        <v>GUARDIAN</v>
      </c>
    </row>
    <row r="1245" spans="5:8" x14ac:dyDescent="0.25">
      <c r="E1245" t="str">
        <f>""</f>
        <v/>
      </c>
      <c r="F1245" t="str">
        <f>""</f>
        <v/>
      </c>
      <c r="H1245" t="str">
        <f t="shared" si="19"/>
        <v>GUARDIAN</v>
      </c>
    </row>
    <row r="1246" spans="5:8" x14ac:dyDescent="0.25">
      <c r="E1246" t="str">
        <f>""</f>
        <v/>
      </c>
      <c r="F1246" t="str">
        <f>""</f>
        <v/>
      </c>
      <c r="H1246" t="str">
        <f t="shared" si="19"/>
        <v>GUARDIAN</v>
      </c>
    </row>
    <row r="1247" spans="5:8" x14ac:dyDescent="0.25">
      <c r="E1247" t="str">
        <f>""</f>
        <v/>
      </c>
      <c r="F1247" t="str">
        <f>""</f>
        <v/>
      </c>
      <c r="H1247" t="str">
        <f t="shared" si="19"/>
        <v>GUARDIAN</v>
      </c>
    </row>
    <row r="1248" spans="5:8" x14ac:dyDescent="0.25">
      <c r="E1248" t="str">
        <f>""</f>
        <v/>
      </c>
      <c r="F1248" t="str">
        <f>""</f>
        <v/>
      </c>
      <c r="H1248" t="str">
        <f t="shared" si="19"/>
        <v>GUARDIAN</v>
      </c>
    </row>
    <row r="1249" spans="5:8" x14ac:dyDescent="0.25">
      <c r="E1249" t="str">
        <f>""</f>
        <v/>
      </c>
      <c r="F1249" t="str">
        <f>""</f>
        <v/>
      </c>
      <c r="H1249" t="str">
        <f t="shared" si="19"/>
        <v>GUARDIAN</v>
      </c>
    </row>
    <row r="1250" spans="5:8" x14ac:dyDescent="0.25">
      <c r="E1250" t="str">
        <f>""</f>
        <v/>
      </c>
      <c r="F1250" t="str">
        <f>""</f>
        <v/>
      </c>
      <c r="H1250" t="str">
        <f t="shared" si="19"/>
        <v>GUARDIAN</v>
      </c>
    </row>
    <row r="1251" spans="5:8" x14ac:dyDescent="0.25">
      <c r="E1251" t="str">
        <f>""</f>
        <v/>
      </c>
      <c r="F1251" t="str">
        <f>""</f>
        <v/>
      </c>
      <c r="H1251" t="str">
        <f t="shared" si="19"/>
        <v>GUARDIAN</v>
      </c>
    </row>
    <row r="1252" spans="5:8" x14ac:dyDescent="0.25">
      <c r="E1252" t="str">
        <f>""</f>
        <v/>
      </c>
      <c r="F1252" t="str">
        <f>""</f>
        <v/>
      </c>
      <c r="H1252" t="str">
        <f t="shared" si="19"/>
        <v>GUARDIAN</v>
      </c>
    </row>
    <row r="1253" spans="5:8" x14ac:dyDescent="0.25">
      <c r="E1253" t="str">
        <f>""</f>
        <v/>
      </c>
      <c r="F1253" t="str">
        <f>""</f>
        <v/>
      </c>
      <c r="H1253" t="str">
        <f t="shared" si="19"/>
        <v>GUARDIAN</v>
      </c>
    </row>
    <row r="1254" spans="5:8" x14ac:dyDescent="0.25">
      <c r="E1254" t="str">
        <f>""</f>
        <v/>
      </c>
      <c r="F1254" t="str">
        <f>""</f>
        <v/>
      </c>
      <c r="H1254" t="str">
        <f t="shared" si="19"/>
        <v>GUARDIAN</v>
      </c>
    </row>
    <row r="1255" spans="5:8" x14ac:dyDescent="0.25">
      <c r="E1255" t="str">
        <f>""</f>
        <v/>
      </c>
      <c r="F1255" t="str">
        <f>""</f>
        <v/>
      </c>
      <c r="H1255" t="str">
        <f t="shared" si="19"/>
        <v>GUARDIAN</v>
      </c>
    </row>
    <row r="1256" spans="5:8" x14ac:dyDescent="0.25">
      <c r="E1256" t="str">
        <f>""</f>
        <v/>
      </c>
      <c r="F1256" t="str">
        <f>""</f>
        <v/>
      </c>
      <c r="H1256" t="str">
        <f t="shared" si="19"/>
        <v>GUARDIAN</v>
      </c>
    </row>
    <row r="1257" spans="5:8" x14ac:dyDescent="0.25">
      <c r="E1257" t="str">
        <f>""</f>
        <v/>
      </c>
      <c r="F1257" t="str">
        <f>""</f>
        <v/>
      </c>
      <c r="H1257" t="str">
        <f t="shared" si="19"/>
        <v>GUARDIAN</v>
      </c>
    </row>
    <row r="1258" spans="5:8" x14ac:dyDescent="0.25">
      <c r="E1258" t="str">
        <f>""</f>
        <v/>
      </c>
      <c r="F1258" t="str">
        <f>""</f>
        <v/>
      </c>
      <c r="H1258" t="str">
        <f t="shared" si="19"/>
        <v>GUARDIAN</v>
      </c>
    </row>
    <row r="1259" spans="5:8" x14ac:dyDescent="0.25">
      <c r="E1259" t="str">
        <f>""</f>
        <v/>
      </c>
      <c r="F1259" t="str">
        <f>""</f>
        <v/>
      </c>
      <c r="H1259" t="str">
        <f t="shared" si="19"/>
        <v>GUARDIAN</v>
      </c>
    </row>
    <row r="1260" spans="5:8" x14ac:dyDescent="0.25">
      <c r="E1260" t="str">
        <f>""</f>
        <v/>
      </c>
      <c r="F1260" t="str">
        <f>""</f>
        <v/>
      </c>
      <c r="H1260" t="str">
        <f t="shared" si="19"/>
        <v>GUARDIAN</v>
      </c>
    </row>
    <row r="1261" spans="5:8" x14ac:dyDescent="0.25">
      <c r="E1261" t="str">
        <f>""</f>
        <v/>
      </c>
      <c r="F1261" t="str">
        <f>""</f>
        <v/>
      </c>
      <c r="H1261" t="str">
        <f t="shared" si="19"/>
        <v>GUARDIAN</v>
      </c>
    </row>
    <row r="1262" spans="5:8" x14ac:dyDescent="0.25">
      <c r="E1262" t="str">
        <f>""</f>
        <v/>
      </c>
      <c r="F1262" t="str">
        <f>""</f>
        <v/>
      </c>
      <c r="H1262" t="str">
        <f t="shared" si="19"/>
        <v>GUARDIAN</v>
      </c>
    </row>
    <row r="1263" spans="5:8" x14ac:dyDescent="0.25">
      <c r="E1263" t="str">
        <f>""</f>
        <v/>
      </c>
      <c r="F1263" t="str">
        <f>""</f>
        <v/>
      </c>
      <c r="H1263" t="str">
        <f t="shared" si="19"/>
        <v>GUARDIAN</v>
      </c>
    </row>
    <row r="1264" spans="5:8" x14ac:dyDescent="0.25">
      <c r="E1264" t="str">
        <f>""</f>
        <v/>
      </c>
      <c r="F1264" t="str">
        <f>""</f>
        <v/>
      </c>
      <c r="H1264" t="str">
        <f t="shared" si="19"/>
        <v>GUARDIAN</v>
      </c>
    </row>
    <row r="1265" spans="5:8" x14ac:dyDescent="0.25">
      <c r="E1265" t="str">
        <f>""</f>
        <v/>
      </c>
      <c r="F1265" t="str">
        <f>""</f>
        <v/>
      </c>
      <c r="H1265" t="str">
        <f t="shared" si="19"/>
        <v>GUARDIAN</v>
      </c>
    </row>
    <row r="1266" spans="5:8" x14ac:dyDescent="0.25">
      <c r="E1266" t="str">
        <f>"GDC202102021523"</f>
        <v>GDC202102021523</v>
      </c>
      <c r="F1266" t="str">
        <f>"GUARDIAN"</f>
        <v>GUARDIAN</v>
      </c>
      <c r="G1266" s="3">
        <v>101.88</v>
      </c>
      <c r="H1266" t="str">
        <f t="shared" si="19"/>
        <v>GUARDIAN</v>
      </c>
    </row>
    <row r="1267" spans="5:8" x14ac:dyDescent="0.25">
      <c r="E1267" t="str">
        <f>""</f>
        <v/>
      </c>
      <c r="F1267" t="str">
        <f>""</f>
        <v/>
      </c>
      <c r="H1267" t="str">
        <f t="shared" si="19"/>
        <v>GUARDIAN</v>
      </c>
    </row>
    <row r="1268" spans="5:8" x14ac:dyDescent="0.25">
      <c r="E1268" t="str">
        <f>"GDC202102171722"</f>
        <v>GDC202102171722</v>
      </c>
      <c r="F1268" t="str">
        <f>"GUARDIAN"</f>
        <v>GUARDIAN</v>
      </c>
      <c r="G1268" s="3">
        <v>2818.68</v>
      </c>
      <c r="H1268" t="str">
        <f t="shared" si="19"/>
        <v>GUARDIAN</v>
      </c>
    </row>
    <row r="1269" spans="5:8" x14ac:dyDescent="0.25">
      <c r="E1269" t="str">
        <f>""</f>
        <v/>
      </c>
      <c r="F1269" t="str">
        <f>""</f>
        <v/>
      </c>
      <c r="H1269" t="str">
        <f t="shared" si="19"/>
        <v>GUARDIAN</v>
      </c>
    </row>
    <row r="1270" spans="5:8" x14ac:dyDescent="0.25">
      <c r="E1270" t="str">
        <f>""</f>
        <v/>
      </c>
      <c r="F1270" t="str">
        <f>""</f>
        <v/>
      </c>
      <c r="H1270" t="str">
        <f t="shared" si="19"/>
        <v>GUARDIAN</v>
      </c>
    </row>
    <row r="1271" spans="5:8" x14ac:dyDescent="0.25">
      <c r="E1271" t="str">
        <f>""</f>
        <v/>
      </c>
      <c r="F1271" t="str">
        <f>""</f>
        <v/>
      </c>
      <c r="H1271" t="str">
        <f t="shared" si="19"/>
        <v>GUARDIAN</v>
      </c>
    </row>
    <row r="1272" spans="5:8" x14ac:dyDescent="0.25">
      <c r="E1272" t="str">
        <f>""</f>
        <v/>
      </c>
      <c r="F1272" t="str">
        <f>""</f>
        <v/>
      </c>
      <c r="H1272" t="str">
        <f t="shared" si="19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19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19"/>
        <v>GUARDIAN</v>
      </c>
    </row>
    <row r="1275" spans="5:8" x14ac:dyDescent="0.25">
      <c r="E1275" t="str">
        <f>""</f>
        <v/>
      </c>
      <c r="F1275" t="str">
        <f>""</f>
        <v/>
      </c>
      <c r="H1275" t="str">
        <f t="shared" si="19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19"/>
        <v>GUARDIAN</v>
      </c>
    </row>
    <row r="1277" spans="5:8" x14ac:dyDescent="0.25">
      <c r="E1277" t="str">
        <f>""</f>
        <v/>
      </c>
      <c r="F1277" t="str">
        <f>""</f>
        <v/>
      </c>
      <c r="H1277" t="str">
        <f t="shared" si="19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19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19"/>
        <v>GUARDIAN</v>
      </c>
    </row>
    <row r="1280" spans="5:8" x14ac:dyDescent="0.25">
      <c r="E1280" t="str">
        <f>""</f>
        <v/>
      </c>
      <c r="F1280" t="str">
        <f>""</f>
        <v/>
      </c>
      <c r="H1280" t="str">
        <f t="shared" si="19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19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19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19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ref="H1284:H1347" si="20">"GUARDIAN"</f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0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0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0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0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0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0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0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0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si="20"/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0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0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0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si="20"/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0"/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 t="shared" si="20"/>
        <v>GUARDIAN</v>
      </c>
    </row>
    <row r="1300" spans="5:8" x14ac:dyDescent="0.25">
      <c r="E1300" t="str">
        <f>""</f>
        <v/>
      </c>
      <c r="F1300" t="str">
        <f>""</f>
        <v/>
      </c>
      <c r="H1300" t="str">
        <f t="shared" si="20"/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 t="shared" si="20"/>
        <v>GUARDIAN</v>
      </c>
    </row>
    <row r="1302" spans="5:8" x14ac:dyDescent="0.25">
      <c r="E1302" t="str">
        <f>"GDC202102171723"</f>
        <v>GDC202102171723</v>
      </c>
      <c r="F1302" t="str">
        <f>"GUARDIAN"</f>
        <v>GUARDIAN</v>
      </c>
      <c r="G1302" s="3">
        <v>101.88</v>
      </c>
      <c r="H1302" t="str">
        <f t="shared" si="20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0"/>
        <v>GUARDIAN</v>
      </c>
    </row>
    <row r="1304" spans="5:8" x14ac:dyDescent="0.25">
      <c r="E1304" t="str">
        <f>"GDE202102021522"</f>
        <v>GDE202102021522</v>
      </c>
      <c r="F1304" t="str">
        <f>"GUARDIAN"</f>
        <v>GUARDIAN</v>
      </c>
      <c r="G1304" s="3">
        <v>4540.05</v>
      </c>
      <c r="H1304" t="str">
        <f t="shared" si="20"/>
        <v>GUARDIAN</v>
      </c>
    </row>
    <row r="1305" spans="5:8" x14ac:dyDescent="0.25">
      <c r="E1305" t="str">
        <f>""</f>
        <v/>
      </c>
      <c r="F1305" t="str">
        <f>""</f>
        <v/>
      </c>
      <c r="H1305" t="str">
        <f t="shared" si="20"/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 t="shared" si="20"/>
        <v>GUARDIAN</v>
      </c>
    </row>
    <row r="1307" spans="5:8" x14ac:dyDescent="0.25">
      <c r="E1307" t="str">
        <f>""</f>
        <v/>
      </c>
      <c r="F1307" t="str">
        <f>""</f>
        <v/>
      </c>
      <c r="H1307" t="str">
        <f t="shared" si="20"/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 t="shared" si="20"/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 t="shared" si="20"/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 t="shared" si="20"/>
        <v>GUARDIAN</v>
      </c>
    </row>
    <row r="1311" spans="5:8" x14ac:dyDescent="0.25">
      <c r="E1311" t="str">
        <f>""</f>
        <v/>
      </c>
      <c r="F1311" t="str">
        <f>""</f>
        <v/>
      </c>
      <c r="H1311" t="str">
        <f t="shared" si="20"/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 t="shared" si="20"/>
        <v>GUARDIAN</v>
      </c>
    </row>
    <row r="1313" spans="5:8" x14ac:dyDescent="0.25">
      <c r="E1313" t="str">
        <f>""</f>
        <v/>
      </c>
      <c r="F1313" t="str">
        <f>""</f>
        <v/>
      </c>
      <c r="H1313" t="str">
        <f t="shared" si="20"/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 t="shared" si="20"/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 t="shared" si="20"/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0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0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0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0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0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0"/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 t="shared" si="20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0"/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 t="shared" si="20"/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0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0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si="20"/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0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0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0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0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0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0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0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0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0"/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 t="shared" si="20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0"/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 t="shared" si="20"/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 t="shared" si="20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0"/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 t="shared" si="20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0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0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0"/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 t="shared" si="20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si="20"/>
        <v>GUARDIAN</v>
      </c>
    </row>
    <row r="1348" spans="5:8" x14ac:dyDescent="0.25">
      <c r="E1348" t="str">
        <f>"GDE202102021523"</f>
        <v>GDE202102021523</v>
      </c>
      <c r="F1348" t="str">
        <f>"GUARDIAN"</f>
        <v>GUARDIAN</v>
      </c>
      <c r="G1348" s="3">
        <v>153.9</v>
      </c>
      <c r="H1348" t="str">
        <f t="shared" ref="H1348:H1411" si="21">"GUARDIAN"</f>
        <v>GUARDIAN</v>
      </c>
    </row>
    <row r="1349" spans="5:8" x14ac:dyDescent="0.25">
      <c r="E1349" t="str">
        <f>"GDE202102171722"</f>
        <v>GDE202102171722</v>
      </c>
      <c r="F1349" t="str">
        <f>"GUARDIAN"</f>
        <v>GUARDIAN</v>
      </c>
      <c r="G1349" s="3">
        <v>4540.05</v>
      </c>
      <c r="H1349" t="str">
        <f t="shared" si="21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1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1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1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1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1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1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1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1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1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1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1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21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1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21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21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21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21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21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1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21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1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21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1"/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 t="shared" si="21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1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1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1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1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1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21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1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1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1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1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1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1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21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21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21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1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1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21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1"/>
        <v>GUARDIAN</v>
      </c>
    </row>
    <row r="1393" spans="5:8" x14ac:dyDescent="0.25">
      <c r="E1393" t="str">
        <f>"GDE202102171723"</f>
        <v>GDE202102171723</v>
      </c>
      <c r="F1393" t="str">
        <f>"GUARDIAN"</f>
        <v>GUARDIAN</v>
      </c>
      <c r="G1393" s="3">
        <v>153.9</v>
      </c>
      <c r="H1393" t="str">
        <f t="shared" si="21"/>
        <v>GUARDIAN</v>
      </c>
    </row>
    <row r="1394" spans="5:8" x14ac:dyDescent="0.25">
      <c r="E1394" t="str">
        <f>"GDF202102021522"</f>
        <v>GDF202102021522</v>
      </c>
      <c r="F1394" t="str">
        <f>"GUARDIAN"</f>
        <v>GUARDIAN</v>
      </c>
      <c r="G1394" s="3">
        <v>2241.7399999999998</v>
      </c>
      <c r="H1394" t="str">
        <f t="shared" si="21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21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1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21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21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21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21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21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21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21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21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21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21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21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21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1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1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21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ref="H1412:H1475" si="22">"GUARDIAN"</f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2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2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2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2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2"/>
        <v>GUARDIAN</v>
      </c>
    </row>
    <row r="1418" spans="5:8" x14ac:dyDescent="0.25">
      <c r="E1418" t="str">
        <f>"GDF202102021523"</f>
        <v>GDF202102021523</v>
      </c>
      <c r="F1418" t="str">
        <f>"GUARDIAN"</f>
        <v>GUARDIAN</v>
      </c>
      <c r="G1418" s="3">
        <v>100.42</v>
      </c>
      <c r="H1418" t="str">
        <f t="shared" si="22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2"/>
        <v>GUARDIAN</v>
      </c>
    </row>
    <row r="1420" spans="5:8" x14ac:dyDescent="0.25">
      <c r="E1420" t="str">
        <f>"GDF202102171722"</f>
        <v>GDF202102171722</v>
      </c>
      <c r="F1420" t="str">
        <f>"GUARDIAN"</f>
        <v>GUARDIAN</v>
      </c>
      <c r="G1420" s="3">
        <v>2209.2399999999998</v>
      </c>
      <c r="H1420" t="str">
        <f t="shared" si="22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2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2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2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2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2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2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2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2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2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2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2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22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22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2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2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2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2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2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2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2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2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2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2"/>
        <v>GUARDIAN</v>
      </c>
    </row>
    <row r="1444" spans="5:8" x14ac:dyDescent="0.25">
      <c r="E1444" t="str">
        <f>"GDF202102171723"</f>
        <v>GDF202102171723</v>
      </c>
      <c r="F1444" t="str">
        <f>"GUARDIAN"</f>
        <v>GUARDIAN</v>
      </c>
      <c r="G1444" s="3">
        <v>100.42</v>
      </c>
      <c r="H1444" t="str">
        <f t="shared" si="22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2"/>
        <v>GUARDIAN</v>
      </c>
    </row>
    <row r="1446" spans="5:8" x14ac:dyDescent="0.25">
      <c r="E1446" t="str">
        <f>"GDS202102021522"</f>
        <v>GDS202102021522</v>
      </c>
      <c r="F1446" t="str">
        <f>"GUARDIAN"</f>
        <v>GUARDIAN</v>
      </c>
      <c r="G1446" s="3">
        <v>1954.26</v>
      </c>
      <c r="H1446" t="str">
        <f t="shared" si="22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2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2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2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2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2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22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2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2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2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2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22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2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22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2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2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2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2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2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2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2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2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2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2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2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2"/>
        <v>GUARDIAN</v>
      </c>
    </row>
    <row r="1472" spans="5:8" x14ac:dyDescent="0.25">
      <c r="E1472" t="str">
        <f>"GDS202102171722"</f>
        <v>GDS202102171722</v>
      </c>
      <c r="F1472" t="str">
        <f>"GUARDIAN"</f>
        <v>GUARDIAN</v>
      </c>
      <c r="G1472" s="3">
        <v>1954.26</v>
      </c>
      <c r="H1472" t="str">
        <f t="shared" si="22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2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2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2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ref="H1476:H1497" si="23">"GUARDIAN"</f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3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3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3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3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3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3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3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3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3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3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3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3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3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3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3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3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3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3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3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3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3"/>
        <v>GUARDIAN</v>
      </c>
    </row>
    <row r="1498" spans="5:8" x14ac:dyDescent="0.25">
      <c r="E1498" t="str">
        <f>"GV1202102021522"</f>
        <v>GV1202102021522</v>
      </c>
      <c r="F1498" t="str">
        <f>"GUARDIAN VISION"</f>
        <v>GUARDIAN VISION</v>
      </c>
      <c r="G1498" s="3">
        <v>459.2</v>
      </c>
      <c r="H1498" t="str">
        <f>"GUARDIAN VISION"</f>
        <v>GUARDIAN VISION</v>
      </c>
    </row>
    <row r="1499" spans="5:8" x14ac:dyDescent="0.25">
      <c r="E1499" t="str">
        <f>"GV1202102021523"</f>
        <v>GV1202102021523</v>
      </c>
      <c r="F1499" t="str">
        <f>"GUARDIAN VISION"</f>
        <v>GUARDIAN VISION</v>
      </c>
      <c r="G1499" s="3">
        <v>5.6</v>
      </c>
      <c r="H1499" t="str">
        <f>"GUARDIAN VISION"</f>
        <v>GUARDIAN VISION</v>
      </c>
    </row>
    <row r="1500" spans="5:8" x14ac:dyDescent="0.25">
      <c r="E1500" t="str">
        <f>"GV1202102171722"</f>
        <v>GV1202102171722</v>
      </c>
      <c r="F1500" t="str">
        <f>"GUARDIAN VISION"</f>
        <v>GUARDIAN VISION</v>
      </c>
      <c r="G1500" s="3">
        <v>459.2</v>
      </c>
      <c r="H1500" t="str">
        <f>"GUARDIAN VISION"</f>
        <v>GUARDIAN VISION</v>
      </c>
    </row>
    <row r="1501" spans="5:8" x14ac:dyDescent="0.25">
      <c r="E1501" t="str">
        <f>"GV1202102171723"</f>
        <v>GV1202102171723</v>
      </c>
      <c r="F1501" t="str">
        <f>"GUARDIAN VISION"</f>
        <v>GUARDIAN VISION</v>
      </c>
      <c r="G1501" s="3">
        <v>5.6</v>
      </c>
      <c r="H1501" t="str">
        <f>"GUARDIAN VISION"</f>
        <v>GUARDIAN VISION</v>
      </c>
    </row>
    <row r="1502" spans="5:8" x14ac:dyDescent="0.25">
      <c r="E1502" t="str">
        <f>"GVE202102021522"</f>
        <v>GVE202102021522</v>
      </c>
      <c r="F1502" t="str">
        <f>"GUARDIAN VISION VENDOR"</f>
        <v>GUARDIAN VISION VENDOR</v>
      </c>
      <c r="G1502" s="3">
        <v>612.54</v>
      </c>
      <c r="H1502" t="str">
        <f>"GUARDIAN VISION VENDOR"</f>
        <v>GUARDIAN VISION VENDOR</v>
      </c>
    </row>
    <row r="1503" spans="5:8" x14ac:dyDescent="0.25">
      <c r="E1503" t="str">
        <f>"GVE202102021523"</f>
        <v>GVE202102021523</v>
      </c>
      <c r="F1503" t="str">
        <f>"GUARDIAN VISION VENDOR"</f>
        <v>GUARDIAN VISION VENDOR</v>
      </c>
      <c r="G1503" s="3">
        <v>29.52</v>
      </c>
      <c r="H1503" t="str">
        <f>"GUARDIAN VISION VENDOR"</f>
        <v>GUARDIAN VISION VENDOR</v>
      </c>
    </row>
    <row r="1504" spans="5:8" x14ac:dyDescent="0.25">
      <c r="E1504" t="str">
        <f>"GVE202102171722"</f>
        <v>GVE202102171722</v>
      </c>
      <c r="F1504" t="str">
        <f>"GUARDIAN VISION VENDOR"</f>
        <v>GUARDIAN VISION VENDOR</v>
      </c>
      <c r="G1504" s="3">
        <v>612.54</v>
      </c>
      <c r="H1504" t="str">
        <f>"GUARDIAN VISION VENDOR"</f>
        <v>GUARDIAN VISION VENDOR</v>
      </c>
    </row>
    <row r="1505" spans="5:8" x14ac:dyDescent="0.25">
      <c r="E1505" t="str">
        <f>"GVE202102171723"</f>
        <v>GVE202102171723</v>
      </c>
      <c r="F1505" t="str">
        <f>"GUARDIAN VISION VENDOR"</f>
        <v>GUARDIAN VISION VENDOR</v>
      </c>
      <c r="G1505" s="3">
        <v>29.52</v>
      </c>
      <c r="H1505" t="str">
        <f>"GUARDIAN VISION VENDOR"</f>
        <v>GUARDIAN VISION VENDOR</v>
      </c>
    </row>
    <row r="1506" spans="5:8" x14ac:dyDescent="0.25">
      <c r="E1506" t="str">
        <f>"GVF202102021522"</f>
        <v>GVF202102021522</v>
      </c>
      <c r="F1506" t="str">
        <f>"GUARDIAN VISION"</f>
        <v>GUARDIAN VISION</v>
      </c>
      <c r="G1506" s="3">
        <v>561.45000000000005</v>
      </c>
      <c r="H1506" t="str">
        <f>"GUARDIAN VISION"</f>
        <v>GUARDIAN VISION</v>
      </c>
    </row>
    <row r="1507" spans="5:8" x14ac:dyDescent="0.25">
      <c r="E1507" t="str">
        <f>"GVF202102021523"</f>
        <v>GVF202102021523</v>
      </c>
      <c r="F1507" t="str">
        <f>"GUARDIAN VISION VENDOR"</f>
        <v>GUARDIAN VISION VENDOR</v>
      </c>
      <c r="G1507" s="3">
        <v>19.7</v>
      </c>
      <c r="H1507" t="str">
        <f>"GUARDIAN VISION VENDOR"</f>
        <v>GUARDIAN VISION VENDOR</v>
      </c>
    </row>
    <row r="1508" spans="5:8" x14ac:dyDescent="0.25">
      <c r="E1508" t="str">
        <f>"GVF202102171722"</f>
        <v>GVF202102171722</v>
      </c>
      <c r="F1508" t="str">
        <f>"GUARDIAN VISION"</f>
        <v>GUARDIAN VISION</v>
      </c>
      <c r="G1508" s="3">
        <v>561.45000000000005</v>
      </c>
      <c r="H1508" t="str">
        <f>"GUARDIAN VISION"</f>
        <v>GUARDIAN VISION</v>
      </c>
    </row>
    <row r="1509" spans="5:8" x14ac:dyDescent="0.25">
      <c r="E1509" t="str">
        <f>"GVF202102171723"</f>
        <v>GVF202102171723</v>
      </c>
      <c r="F1509" t="str">
        <f>"GUARDIAN VISION VENDOR"</f>
        <v>GUARDIAN VISION VENDOR</v>
      </c>
      <c r="G1509" s="3">
        <v>19.7</v>
      </c>
      <c r="H1509" t="str">
        <f>"GUARDIAN VISION VENDOR"</f>
        <v>GUARDIAN VISION VENDOR</v>
      </c>
    </row>
    <row r="1510" spans="5:8" x14ac:dyDescent="0.25">
      <c r="E1510" t="str">
        <f>"LIA202102021522"</f>
        <v>LIA202102021522</v>
      </c>
      <c r="F1510" t="str">
        <f>"GUARDIAN"</f>
        <v>GUARDIAN</v>
      </c>
      <c r="G1510" s="3">
        <v>232.99</v>
      </c>
      <c r="H1510" t="str">
        <f t="shared" ref="H1510:H1541" si="24">"GUARDIAN"</f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4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4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4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4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4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4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4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4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4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4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4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4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4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4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4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4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4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4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4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4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4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4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4"/>
        <v>GUARDIAN</v>
      </c>
    </row>
    <row r="1534" spans="5:8" x14ac:dyDescent="0.25">
      <c r="E1534" t="str">
        <f>"LIA202102021523"</f>
        <v>LIA202102021523</v>
      </c>
      <c r="F1534" t="str">
        <f>"GUARDIAN"</f>
        <v>GUARDIAN</v>
      </c>
      <c r="G1534" s="3">
        <v>40.99</v>
      </c>
      <c r="H1534" t="str">
        <f t="shared" si="24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4"/>
        <v>GUARDIAN</v>
      </c>
    </row>
    <row r="1536" spans="5:8" x14ac:dyDescent="0.25">
      <c r="E1536" t="str">
        <f>"LIA202102171722"</f>
        <v>LIA202102171722</v>
      </c>
      <c r="F1536" t="str">
        <f>"GUARDIAN"</f>
        <v>GUARDIAN</v>
      </c>
      <c r="G1536" s="3">
        <v>234.49</v>
      </c>
      <c r="H1536" t="str">
        <f t="shared" si="24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4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4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4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4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4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ref="H1542:H1573" si="25">"GUARDIAN"</f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5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5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5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5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5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5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5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5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5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5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5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5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5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5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5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5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5"/>
        <v>GUARDIAN</v>
      </c>
    </row>
    <row r="1560" spans="5:8" x14ac:dyDescent="0.25">
      <c r="E1560" t="str">
        <f>"LIA202102171723"</f>
        <v>LIA202102171723</v>
      </c>
      <c r="F1560" t="str">
        <f>"GUARDIAN"</f>
        <v>GUARDIAN</v>
      </c>
      <c r="G1560" s="3">
        <v>40.99</v>
      </c>
      <c r="H1560" t="str">
        <f t="shared" si="25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5"/>
        <v>GUARDIAN</v>
      </c>
    </row>
    <row r="1562" spans="5:8" x14ac:dyDescent="0.25">
      <c r="E1562" t="str">
        <f>"LIC202102021522"</f>
        <v>LIC202102021522</v>
      </c>
      <c r="F1562" t="str">
        <f>"GUARDIAN"</f>
        <v>GUARDIAN</v>
      </c>
      <c r="G1562" s="3">
        <v>33.950000000000003</v>
      </c>
      <c r="H1562" t="str">
        <f t="shared" si="25"/>
        <v>GUARDIAN</v>
      </c>
    </row>
    <row r="1563" spans="5:8" x14ac:dyDescent="0.25">
      <c r="E1563" t="str">
        <f>"LIC202102021523"</f>
        <v>LIC202102021523</v>
      </c>
      <c r="F1563" t="str">
        <f>"GUARDIAN"</f>
        <v>GUARDIAN</v>
      </c>
      <c r="G1563" s="3">
        <v>0.7</v>
      </c>
      <c r="H1563" t="str">
        <f t="shared" si="25"/>
        <v>GUARDIAN</v>
      </c>
    </row>
    <row r="1564" spans="5:8" x14ac:dyDescent="0.25">
      <c r="E1564" t="str">
        <f>"LIC202102171722"</f>
        <v>LIC202102171722</v>
      </c>
      <c r="F1564" t="str">
        <f>"GUARDIAN"</f>
        <v>GUARDIAN</v>
      </c>
      <c r="G1564" s="3">
        <v>33.950000000000003</v>
      </c>
      <c r="H1564" t="str">
        <f t="shared" si="25"/>
        <v>GUARDIAN</v>
      </c>
    </row>
    <row r="1565" spans="5:8" x14ac:dyDescent="0.25">
      <c r="E1565" t="str">
        <f>"LIC202102171723"</f>
        <v>LIC202102171723</v>
      </c>
      <c r="F1565" t="str">
        <f>"GUARDIAN"</f>
        <v>GUARDIAN</v>
      </c>
      <c r="G1565" s="3">
        <v>0.7</v>
      </c>
      <c r="H1565" t="str">
        <f t="shared" si="25"/>
        <v>GUARDIAN</v>
      </c>
    </row>
    <row r="1566" spans="5:8" x14ac:dyDescent="0.25">
      <c r="E1566" t="str">
        <f>"LIE202102021522"</f>
        <v>LIE202102021522</v>
      </c>
      <c r="F1566" t="str">
        <f>"GUARDIAN"</f>
        <v>GUARDIAN</v>
      </c>
      <c r="G1566" s="3">
        <v>3846.2</v>
      </c>
      <c r="H1566" t="str">
        <f t="shared" si="25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5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5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5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5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5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5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5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ref="H1574:H1605" si="26">"GUARDIAN"</f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6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6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6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6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6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6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6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6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6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6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6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6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6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6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6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6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6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6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6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6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6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6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6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6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6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6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6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6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6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ref="H1606:H1637" si="27">"GUARDIAN"</f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7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7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"LIE202102021523"</f>
        <v>LIE202102021523</v>
      </c>
      <c r="F1617" t="str">
        <f>"GUARDIAN"</f>
        <v>GUARDIAN</v>
      </c>
      <c r="G1617" s="3">
        <v>75.099999999999994</v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"LIE202102171722"</f>
        <v>LIE202102171722</v>
      </c>
      <c r="F1619" t="str">
        <f>"GUARDIAN"</f>
        <v>GUARDIAN</v>
      </c>
      <c r="G1619" s="3">
        <v>3846.2</v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ref="H1638:H1669" si="28">"GUARDIAN"</f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8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8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8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8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8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8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8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8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8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8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8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8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8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1:8" x14ac:dyDescent="0.25">
      <c r="E1665" t="str">
        <f>""</f>
        <v/>
      </c>
      <c r="F1665" t="str">
        <f>""</f>
        <v/>
      </c>
      <c r="H1665" t="str">
        <f t="shared" si="28"/>
        <v>GUARDIAN</v>
      </c>
    </row>
    <row r="1666" spans="1:8" x14ac:dyDescent="0.25">
      <c r="E1666" t="str">
        <f>""</f>
        <v/>
      </c>
      <c r="F1666" t="str">
        <f>""</f>
        <v/>
      </c>
      <c r="H1666" t="str">
        <f t="shared" si="28"/>
        <v>GUARDIAN</v>
      </c>
    </row>
    <row r="1667" spans="1:8" x14ac:dyDescent="0.25">
      <c r="E1667" t="str">
        <f>""</f>
        <v/>
      </c>
      <c r="F1667" t="str">
        <f>""</f>
        <v/>
      </c>
      <c r="H1667" t="str">
        <f t="shared" si="28"/>
        <v>GUARDIAN</v>
      </c>
    </row>
    <row r="1668" spans="1:8" x14ac:dyDescent="0.25">
      <c r="E1668" t="str">
        <f>""</f>
        <v/>
      </c>
      <c r="F1668" t="str">
        <f>""</f>
        <v/>
      </c>
      <c r="H1668" t="str">
        <f t="shared" si="28"/>
        <v>GUARDIAN</v>
      </c>
    </row>
    <row r="1669" spans="1:8" x14ac:dyDescent="0.25">
      <c r="E1669" t="str">
        <f>""</f>
        <v/>
      </c>
      <c r="F1669" t="str">
        <f>""</f>
        <v/>
      </c>
      <c r="H1669" t="str">
        <f t="shared" si="28"/>
        <v>GUARDIAN</v>
      </c>
    </row>
    <row r="1670" spans="1:8" x14ac:dyDescent="0.25">
      <c r="E1670" t="str">
        <f>"LIE202102171723"</f>
        <v>LIE202102171723</v>
      </c>
      <c r="F1670" t="str">
        <f>"GUARDIAN"</f>
        <v>GUARDIAN</v>
      </c>
      <c r="G1670" s="3">
        <v>75.099999999999994</v>
      </c>
      <c r="H1670" t="str">
        <f t="shared" ref="H1670:H1681" si="29">"GUARDIAN"</f>
        <v>GUARDIAN</v>
      </c>
    </row>
    <row r="1671" spans="1:8" x14ac:dyDescent="0.25">
      <c r="E1671" t="str">
        <f>""</f>
        <v/>
      </c>
      <c r="F1671" t="str">
        <f>""</f>
        <v/>
      </c>
      <c r="H1671" t="str">
        <f t="shared" si="29"/>
        <v>GUARDIAN</v>
      </c>
    </row>
    <row r="1672" spans="1:8" x14ac:dyDescent="0.25">
      <c r="E1672" t="str">
        <f>"LIS202102021522"</f>
        <v>LIS202102021522</v>
      </c>
      <c r="F1672" t="str">
        <f t="shared" ref="F1672:F1681" si="30">"GUARDIAN"</f>
        <v>GUARDIAN</v>
      </c>
      <c r="G1672" s="3">
        <v>503.27</v>
      </c>
      <c r="H1672" t="str">
        <f t="shared" si="29"/>
        <v>GUARDIAN</v>
      </c>
    </row>
    <row r="1673" spans="1:8" x14ac:dyDescent="0.25">
      <c r="E1673" t="str">
        <f>"LIS202102021523"</f>
        <v>LIS202102021523</v>
      </c>
      <c r="F1673" t="str">
        <f t="shared" si="30"/>
        <v>GUARDIAN</v>
      </c>
      <c r="G1673" s="3">
        <v>36.15</v>
      </c>
      <c r="H1673" t="str">
        <f t="shared" si="29"/>
        <v>GUARDIAN</v>
      </c>
    </row>
    <row r="1674" spans="1:8" x14ac:dyDescent="0.25">
      <c r="E1674" t="str">
        <f>"LIS202102171722"</f>
        <v>LIS202102171722</v>
      </c>
      <c r="F1674" t="str">
        <f t="shared" si="30"/>
        <v>GUARDIAN</v>
      </c>
      <c r="G1674" s="3">
        <v>503.27</v>
      </c>
      <c r="H1674" t="str">
        <f t="shared" si="29"/>
        <v>GUARDIAN</v>
      </c>
    </row>
    <row r="1675" spans="1:8" x14ac:dyDescent="0.25">
      <c r="E1675" t="str">
        <f>"LIS202102171723"</f>
        <v>LIS202102171723</v>
      </c>
      <c r="F1675" t="str">
        <f t="shared" si="30"/>
        <v>GUARDIAN</v>
      </c>
      <c r="G1675" s="3">
        <v>36.15</v>
      </c>
      <c r="H1675" t="str">
        <f t="shared" si="29"/>
        <v>GUARDIAN</v>
      </c>
    </row>
    <row r="1676" spans="1:8" x14ac:dyDescent="0.25">
      <c r="E1676" t="str">
        <f>"LTD202102021522"</f>
        <v>LTD202102021522</v>
      </c>
      <c r="F1676" t="str">
        <f t="shared" si="30"/>
        <v>GUARDIAN</v>
      </c>
      <c r="G1676" s="3">
        <v>912.14</v>
      </c>
      <c r="H1676" t="str">
        <f t="shared" si="29"/>
        <v>GUARDIAN</v>
      </c>
    </row>
    <row r="1677" spans="1:8" x14ac:dyDescent="0.25">
      <c r="E1677" t="str">
        <f>"LTD202102171722"</f>
        <v>LTD202102171722</v>
      </c>
      <c r="F1677" t="str">
        <f t="shared" si="30"/>
        <v>GUARDIAN</v>
      </c>
      <c r="G1677" s="3">
        <v>912.14</v>
      </c>
      <c r="H1677" t="str">
        <f t="shared" si="29"/>
        <v>GUARDIAN</v>
      </c>
    </row>
    <row r="1678" spans="1:8" x14ac:dyDescent="0.25">
      <c r="A1678" t="s">
        <v>340</v>
      </c>
      <c r="B1678">
        <v>915</v>
      </c>
      <c r="C1678" s="3">
        <v>98.36</v>
      </c>
      <c r="D1678" s="6">
        <v>44253</v>
      </c>
      <c r="E1678" t="str">
        <f>"AEG202102021522"</f>
        <v>AEG202102021522</v>
      </c>
      <c r="F1678" t="str">
        <f t="shared" si="30"/>
        <v>GUARDIAN</v>
      </c>
      <c r="G1678" s="3">
        <v>6.66</v>
      </c>
      <c r="H1678" t="str">
        <f t="shared" si="29"/>
        <v>GUARDIAN</v>
      </c>
    </row>
    <row r="1679" spans="1:8" x14ac:dyDescent="0.25">
      <c r="E1679" t="str">
        <f>"AEG202102171722"</f>
        <v>AEG202102171722</v>
      </c>
      <c r="F1679" t="str">
        <f t="shared" si="30"/>
        <v>GUARDIAN</v>
      </c>
      <c r="G1679" s="3">
        <v>6.66</v>
      </c>
      <c r="H1679" t="str">
        <f t="shared" si="29"/>
        <v>GUARDIAN</v>
      </c>
    </row>
    <row r="1680" spans="1:8" x14ac:dyDescent="0.25">
      <c r="E1680" t="str">
        <f>"AFG202102021522"</f>
        <v>AFG202102021522</v>
      </c>
      <c r="F1680" t="str">
        <f t="shared" si="30"/>
        <v>GUARDIAN</v>
      </c>
      <c r="G1680" s="3">
        <v>42.52</v>
      </c>
      <c r="H1680" t="str">
        <f t="shared" si="29"/>
        <v>GUARDIAN</v>
      </c>
    </row>
    <row r="1681" spans="1:8" x14ac:dyDescent="0.25">
      <c r="E1681" t="str">
        <f>"AFG202102171722"</f>
        <v>AFG202102171722</v>
      </c>
      <c r="F1681" t="str">
        <f t="shared" si="30"/>
        <v>GUARDIAN</v>
      </c>
      <c r="G1681" s="3">
        <v>42.52</v>
      </c>
      <c r="H1681" t="str">
        <f t="shared" si="29"/>
        <v>GUARDIAN</v>
      </c>
    </row>
    <row r="1682" spans="1:8" x14ac:dyDescent="0.25">
      <c r="A1682" t="s">
        <v>340</v>
      </c>
      <c r="B1682">
        <v>920</v>
      </c>
      <c r="C1682" s="3">
        <v>3550.29</v>
      </c>
      <c r="D1682" s="6">
        <v>44253</v>
      </c>
      <c r="E1682" t="str">
        <f>"202102241807"</f>
        <v>202102241807</v>
      </c>
      <c r="F1682" t="str">
        <f>"RETIREE INS - FEBRUARY 2021"</f>
        <v>RETIREE INS - FEBRUARY 2021</v>
      </c>
      <c r="G1682" s="3">
        <v>3359.73</v>
      </c>
      <c r="H1682" t="str">
        <f>"RETIREE INS - FEBRUARY 2021"</f>
        <v>RETIREE INS - FEBRUARY 2021</v>
      </c>
    </row>
    <row r="1683" spans="1:8" x14ac:dyDescent="0.25">
      <c r="E1683" t="str">
        <f>"202102241808"</f>
        <v>202102241808</v>
      </c>
      <c r="F1683" t="str">
        <f>"COBRA - FEBRUARY 2021"</f>
        <v>COBRA - FEBRUARY 2021</v>
      </c>
      <c r="G1683" s="3">
        <v>175.2</v>
      </c>
      <c r="H1683" t="str">
        <f>"COBRA - FEBRUARY 2021"</f>
        <v>COBRA - FEBRUARY 2021</v>
      </c>
    </row>
    <row r="1684" spans="1:8" x14ac:dyDescent="0.25">
      <c r="E1684" t="str">
        <f>"202102241809"</f>
        <v>202102241809</v>
      </c>
      <c r="F1684" t="str">
        <f>"ADJ - ODALIS GARCIA"</f>
        <v>ADJ - ODALIS GARCIA</v>
      </c>
      <c r="G1684" s="3">
        <v>0.14000000000000001</v>
      </c>
      <c r="H1684" t="str">
        <f>"ADJ - ODALIS GARCIA"</f>
        <v>ADJ - ODALIS GARCIA</v>
      </c>
    </row>
    <row r="1685" spans="1:8" x14ac:dyDescent="0.25">
      <c r="E1685" t="str">
        <f>"202102241810"</f>
        <v>202102241810</v>
      </c>
      <c r="F1685" t="str">
        <f>"ADJ - JOHN LEWIS"</f>
        <v>ADJ - JOHN LEWIS</v>
      </c>
      <c r="G1685" s="3">
        <v>15.22</v>
      </c>
      <c r="H1685" t="str">
        <f>"ADJ - JOHN LEWIS"</f>
        <v>ADJ - JOHN LEWIS</v>
      </c>
    </row>
    <row r="1686" spans="1:8" x14ac:dyDescent="0.25">
      <c r="A1686" t="s">
        <v>341</v>
      </c>
      <c r="B1686">
        <v>899</v>
      </c>
      <c r="C1686" s="3">
        <v>245038.96</v>
      </c>
      <c r="D1686" s="6">
        <v>44232</v>
      </c>
      <c r="E1686" t="str">
        <f>"T1 202102021522"</f>
        <v>T1 202102021522</v>
      </c>
      <c r="F1686" t="str">
        <f>"FEDERAL WITHHOLDING"</f>
        <v>FEDERAL WITHHOLDING</v>
      </c>
      <c r="G1686" s="3">
        <v>81309.39</v>
      </c>
      <c r="H1686" t="str">
        <f>"FEDERAL WITHHOLDING"</f>
        <v>FEDERAL WITHHOLDING</v>
      </c>
    </row>
    <row r="1687" spans="1:8" x14ac:dyDescent="0.25">
      <c r="E1687" t="str">
        <f>"T1 202102021523"</f>
        <v>T1 202102021523</v>
      </c>
      <c r="F1687" t="str">
        <f>"FEDERAL WITHHOLDING"</f>
        <v>FEDERAL WITHHOLDING</v>
      </c>
      <c r="G1687" s="3">
        <v>2856.81</v>
      </c>
      <c r="H1687" t="str">
        <f>"FEDERAL WITHHOLDING"</f>
        <v>FEDERAL WITHHOLDING</v>
      </c>
    </row>
    <row r="1688" spans="1:8" x14ac:dyDescent="0.25">
      <c r="E1688" t="str">
        <f>"T1 202102021524"</f>
        <v>T1 202102021524</v>
      </c>
      <c r="F1688" t="str">
        <f>"FEDERAL WITHHOLDING"</f>
        <v>FEDERAL WITHHOLDING</v>
      </c>
      <c r="G1688" s="3">
        <v>3160.36</v>
      </c>
      <c r="H1688" t="str">
        <f>"FEDERAL WITHHOLDING"</f>
        <v>FEDERAL WITHHOLDING</v>
      </c>
    </row>
    <row r="1689" spans="1:8" x14ac:dyDescent="0.25">
      <c r="E1689" t="str">
        <f>"T3 202102021522"</f>
        <v>T3 202102021522</v>
      </c>
      <c r="F1689" t="str">
        <f>"SOCIAL SECURITY TAXES"</f>
        <v>SOCIAL SECURITY TAXES</v>
      </c>
      <c r="G1689" s="3">
        <v>118947.36</v>
      </c>
      <c r="H1689" t="str">
        <f t="shared" ref="H1689:H1720" si="31">"SOCIAL SECURITY TAXES"</f>
        <v>SOCIAL SECURITY TAXES</v>
      </c>
    </row>
    <row r="1690" spans="1:8" x14ac:dyDescent="0.25">
      <c r="E1690" t="str">
        <f>""</f>
        <v/>
      </c>
      <c r="F1690" t="str">
        <f>""</f>
        <v/>
      </c>
      <c r="H1690" t="str">
        <f t="shared" si="31"/>
        <v>SOCIAL SECURITY TAXES</v>
      </c>
    </row>
    <row r="1691" spans="1:8" x14ac:dyDescent="0.25">
      <c r="E1691" t="str">
        <f>""</f>
        <v/>
      </c>
      <c r="F1691" t="str">
        <f>""</f>
        <v/>
      </c>
      <c r="H1691" t="str">
        <f t="shared" si="31"/>
        <v>SOCIAL SECURITY TAXES</v>
      </c>
    </row>
    <row r="1692" spans="1:8" x14ac:dyDescent="0.25">
      <c r="E1692" t="str">
        <f>""</f>
        <v/>
      </c>
      <c r="F1692" t="str">
        <f>""</f>
        <v/>
      </c>
      <c r="H1692" t="str">
        <f t="shared" si="31"/>
        <v>SOCIAL SECURITY TAXES</v>
      </c>
    </row>
    <row r="1693" spans="1:8" x14ac:dyDescent="0.25">
      <c r="E1693" t="str">
        <f>""</f>
        <v/>
      </c>
      <c r="F1693" t="str">
        <f>""</f>
        <v/>
      </c>
      <c r="H1693" t="str">
        <f t="shared" si="31"/>
        <v>SOCIAL SECURITY TAXES</v>
      </c>
    </row>
    <row r="1694" spans="1:8" x14ac:dyDescent="0.25">
      <c r="E1694" t="str">
        <f>""</f>
        <v/>
      </c>
      <c r="F1694" t="str">
        <f>""</f>
        <v/>
      </c>
      <c r="H1694" t="str">
        <f t="shared" si="31"/>
        <v>SOCIAL SECURITY TAXES</v>
      </c>
    </row>
    <row r="1695" spans="1:8" x14ac:dyDescent="0.25">
      <c r="E1695" t="str">
        <f>""</f>
        <v/>
      </c>
      <c r="F1695" t="str">
        <f>""</f>
        <v/>
      </c>
      <c r="H1695" t="str">
        <f t="shared" si="31"/>
        <v>SOCIAL SECURITY TAXES</v>
      </c>
    </row>
    <row r="1696" spans="1:8" x14ac:dyDescent="0.25">
      <c r="E1696" t="str">
        <f>""</f>
        <v/>
      </c>
      <c r="F1696" t="str">
        <f>""</f>
        <v/>
      </c>
      <c r="H1696" t="str">
        <f t="shared" si="31"/>
        <v>SOCIAL SECURITY TAXES</v>
      </c>
    </row>
    <row r="1697" spans="5:8" x14ac:dyDescent="0.25">
      <c r="E1697" t="str">
        <f>""</f>
        <v/>
      </c>
      <c r="F1697" t="str">
        <f>""</f>
        <v/>
      </c>
      <c r="H1697" t="str">
        <f t="shared" si="31"/>
        <v>SOCIAL SECURITY TAXES</v>
      </c>
    </row>
    <row r="1698" spans="5:8" x14ac:dyDescent="0.25">
      <c r="E1698" t="str">
        <f>""</f>
        <v/>
      </c>
      <c r="F1698" t="str">
        <f>""</f>
        <v/>
      </c>
      <c r="H1698" t="str">
        <f t="shared" si="31"/>
        <v>SOCIAL SECURITY TAXES</v>
      </c>
    </row>
    <row r="1699" spans="5:8" x14ac:dyDescent="0.25">
      <c r="E1699" t="str">
        <f>""</f>
        <v/>
      </c>
      <c r="F1699" t="str">
        <f>""</f>
        <v/>
      </c>
      <c r="H1699" t="str">
        <f t="shared" si="31"/>
        <v>SOCIAL SECURITY TAXES</v>
      </c>
    </row>
    <row r="1700" spans="5:8" x14ac:dyDescent="0.25">
      <c r="E1700" t="str">
        <f>""</f>
        <v/>
      </c>
      <c r="F1700" t="str">
        <f>""</f>
        <v/>
      </c>
      <c r="H1700" t="str">
        <f t="shared" si="31"/>
        <v>SOCIAL SECURITY TAXES</v>
      </c>
    </row>
    <row r="1701" spans="5:8" x14ac:dyDescent="0.25">
      <c r="E1701" t="str">
        <f>""</f>
        <v/>
      </c>
      <c r="F1701" t="str">
        <f>""</f>
        <v/>
      </c>
      <c r="H1701" t="str">
        <f t="shared" si="31"/>
        <v>SOCIAL SECURITY TAXES</v>
      </c>
    </row>
    <row r="1702" spans="5:8" x14ac:dyDescent="0.25">
      <c r="E1702" t="str">
        <f>""</f>
        <v/>
      </c>
      <c r="F1702" t="str">
        <f>""</f>
        <v/>
      </c>
      <c r="H1702" t="str">
        <f t="shared" si="31"/>
        <v>SOCIAL SECURITY TAXES</v>
      </c>
    </row>
    <row r="1703" spans="5:8" x14ac:dyDescent="0.25">
      <c r="E1703" t="str">
        <f>""</f>
        <v/>
      </c>
      <c r="F1703" t="str">
        <f>""</f>
        <v/>
      </c>
      <c r="H1703" t="str">
        <f t="shared" si="31"/>
        <v>SOCIAL SECURITY TAXES</v>
      </c>
    </row>
    <row r="1704" spans="5:8" x14ac:dyDescent="0.25">
      <c r="E1704" t="str">
        <f>""</f>
        <v/>
      </c>
      <c r="F1704" t="str">
        <f>""</f>
        <v/>
      </c>
      <c r="H1704" t="str">
        <f t="shared" si="31"/>
        <v>SOCIAL SECURITY TAXES</v>
      </c>
    </row>
    <row r="1705" spans="5:8" x14ac:dyDescent="0.25">
      <c r="E1705" t="str">
        <f>""</f>
        <v/>
      </c>
      <c r="F1705" t="str">
        <f>""</f>
        <v/>
      </c>
      <c r="H1705" t="str">
        <f t="shared" si="31"/>
        <v>SOCIAL SECURITY TAXES</v>
      </c>
    </row>
    <row r="1706" spans="5:8" x14ac:dyDescent="0.25">
      <c r="E1706" t="str">
        <f>""</f>
        <v/>
      </c>
      <c r="F1706" t="str">
        <f>""</f>
        <v/>
      </c>
      <c r="H1706" t="str">
        <f t="shared" si="31"/>
        <v>SOCIAL SECURITY TAXES</v>
      </c>
    </row>
    <row r="1707" spans="5:8" x14ac:dyDescent="0.25">
      <c r="E1707" t="str">
        <f>""</f>
        <v/>
      </c>
      <c r="F1707" t="str">
        <f>""</f>
        <v/>
      </c>
      <c r="H1707" t="str">
        <f t="shared" si="31"/>
        <v>SOCIAL SECURITY TAXES</v>
      </c>
    </row>
    <row r="1708" spans="5:8" x14ac:dyDescent="0.25">
      <c r="E1708" t="str">
        <f>""</f>
        <v/>
      </c>
      <c r="F1708" t="str">
        <f>""</f>
        <v/>
      </c>
      <c r="H1708" t="str">
        <f t="shared" si="31"/>
        <v>SOCIAL SECURITY TAXES</v>
      </c>
    </row>
    <row r="1709" spans="5:8" x14ac:dyDescent="0.25">
      <c r="E1709" t="str">
        <f>""</f>
        <v/>
      </c>
      <c r="F1709" t="str">
        <f>""</f>
        <v/>
      </c>
      <c r="H1709" t="str">
        <f t="shared" si="31"/>
        <v>SOCIAL SECURITY TAXES</v>
      </c>
    </row>
    <row r="1710" spans="5:8" x14ac:dyDescent="0.25">
      <c r="E1710" t="str">
        <f>""</f>
        <v/>
      </c>
      <c r="F1710" t="str">
        <f>""</f>
        <v/>
      </c>
      <c r="H1710" t="str">
        <f t="shared" si="31"/>
        <v>SOCIAL SECURITY TAXES</v>
      </c>
    </row>
    <row r="1711" spans="5:8" x14ac:dyDescent="0.25">
      <c r="E1711" t="str">
        <f>""</f>
        <v/>
      </c>
      <c r="F1711" t="str">
        <f>""</f>
        <v/>
      </c>
      <c r="H1711" t="str">
        <f t="shared" si="31"/>
        <v>SOCIAL SECURITY TAXES</v>
      </c>
    </row>
    <row r="1712" spans="5:8" x14ac:dyDescent="0.25">
      <c r="E1712" t="str">
        <f>""</f>
        <v/>
      </c>
      <c r="F1712" t="str">
        <f>""</f>
        <v/>
      </c>
      <c r="H1712" t="str">
        <f t="shared" si="31"/>
        <v>SOCIAL SECURITY TAXES</v>
      </c>
    </row>
    <row r="1713" spans="5:8" x14ac:dyDescent="0.25">
      <c r="E1713" t="str">
        <f>""</f>
        <v/>
      </c>
      <c r="F1713" t="str">
        <f>""</f>
        <v/>
      </c>
      <c r="H1713" t="str">
        <f t="shared" si="31"/>
        <v>SOCIAL SECURITY TAXES</v>
      </c>
    </row>
    <row r="1714" spans="5:8" x14ac:dyDescent="0.25">
      <c r="E1714" t="str">
        <f>""</f>
        <v/>
      </c>
      <c r="F1714" t="str">
        <f>""</f>
        <v/>
      </c>
      <c r="H1714" t="str">
        <f t="shared" si="31"/>
        <v>SOCIAL SECURITY TAXES</v>
      </c>
    </row>
    <row r="1715" spans="5:8" x14ac:dyDescent="0.25">
      <c r="E1715" t="str">
        <f>""</f>
        <v/>
      </c>
      <c r="F1715" t="str">
        <f>""</f>
        <v/>
      </c>
      <c r="H1715" t="str">
        <f t="shared" si="31"/>
        <v>SOCIAL SECURITY TAXES</v>
      </c>
    </row>
    <row r="1716" spans="5:8" x14ac:dyDescent="0.25">
      <c r="E1716" t="str">
        <f>""</f>
        <v/>
      </c>
      <c r="F1716" t="str">
        <f>""</f>
        <v/>
      </c>
      <c r="H1716" t="str">
        <f t="shared" si="31"/>
        <v>SOCIAL SECURITY TAXES</v>
      </c>
    </row>
    <row r="1717" spans="5:8" x14ac:dyDescent="0.25">
      <c r="E1717" t="str">
        <f>""</f>
        <v/>
      </c>
      <c r="F1717" t="str">
        <f>""</f>
        <v/>
      </c>
      <c r="H1717" t="str">
        <f t="shared" si="31"/>
        <v>SOCIAL SECURITY TAXES</v>
      </c>
    </row>
    <row r="1718" spans="5:8" x14ac:dyDescent="0.25">
      <c r="E1718" t="str">
        <f>""</f>
        <v/>
      </c>
      <c r="F1718" t="str">
        <f>""</f>
        <v/>
      </c>
      <c r="H1718" t="str">
        <f t="shared" si="31"/>
        <v>SOCIAL SECURITY TAXES</v>
      </c>
    </row>
    <row r="1719" spans="5:8" x14ac:dyDescent="0.25">
      <c r="E1719" t="str">
        <f>""</f>
        <v/>
      </c>
      <c r="F1719" t="str">
        <f>""</f>
        <v/>
      </c>
      <c r="H1719" t="str">
        <f t="shared" si="31"/>
        <v>SOCIAL SECURITY TAXES</v>
      </c>
    </row>
    <row r="1720" spans="5:8" x14ac:dyDescent="0.25">
      <c r="E1720" t="str">
        <f>""</f>
        <v/>
      </c>
      <c r="F1720" t="str">
        <f>""</f>
        <v/>
      </c>
      <c r="H1720" t="str">
        <f t="shared" si="31"/>
        <v>SOCIAL SECURITY TAXES</v>
      </c>
    </row>
    <row r="1721" spans="5:8" x14ac:dyDescent="0.25">
      <c r="E1721" t="str">
        <f>""</f>
        <v/>
      </c>
      <c r="F1721" t="str">
        <f>""</f>
        <v/>
      </c>
      <c r="H1721" t="str">
        <f t="shared" ref="H1721:H1746" si="32">"SOCIAL SECURITY TAXES"</f>
        <v>SOCIAL SECURITY TAXES</v>
      </c>
    </row>
    <row r="1722" spans="5:8" x14ac:dyDescent="0.25">
      <c r="E1722" t="str">
        <f>""</f>
        <v/>
      </c>
      <c r="F1722" t="str">
        <f>""</f>
        <v/>
      </c>
      <c r="H1722" t="str">
        <f t="shared" si="32"/>
        <v>SOCIAL SECURITY TAXES</v>
      </c>
    </row>
    <row r="1723" spans="5:8" x14ac:dyDescent="0.25">
      <c r="E1723" t="str">
        <f>""</f>
        <v/>
      </c>
      <c r="F1723" t="str">
        <f>""</f>
        <v/>
      </c>
      <c r="H1723" t="str">
        <f t="shared" si="32"/>
        <v>SOCIAL SECURITY TAXES</v>
      </c>
    </row>
    <row r="1724" spans="5:8" x14ac:dyDescent="0.25">
      <c r="E1724" t="str">
        <f>""</f>
        <v/>
      </c>
      <c r="F1724" t="str">
        <f>""</f>
        <v/>
      </c>
      <c r="H1724" t="str">
        <f t="shared" si="32"/>
        <v>SOCIAL SECURITY TAXES</v>
      </c>
    </row>
    <row r="1725" spans="5:8" x14ac:dyDescent="0.25">
      <c r="E1725" t="str">
        <f>""</f>
        <v/>
      </c>
      <c r="F1725" t="str">
        <f>""</f>
        <v/>
      </c>
      <c r="H1725" t="str">
        <f t="shared" si="32"/>
        <v>SOCIAL SECURITY TAXES</v>
      </c>
    </row>
    <row r="1726" spans="5:8" x14ac:dyDescent="0.25">
      <c r="E1726" t="str">
        <f>""</f>
        <v/>
      </c>
      <c r="F1726" t="str">
        <f>""</f>
        <v/>
      </c>
      <c r="H1726" t="str">
        <f t="shared" si="32"/>
        <v>SOCIAL SECURITY TAXES</v>
      </c>
    </row>
    <row r="1727" spans="5:8" x14ac:dyDescent="0.25">
      <c r="E1727" t="str">
        <f>""</f>
        <v/>
      </c>
      <c r="F1727" t="str">
        <f>""</f>
        <v/>
      </c>
      <c r="H1727" t="str">
        <f t="shared" si="32"/>
        <v>SOCIAL SECURITY TAXES</v>
      </c>
    </row>
    <row r="1728" spans="5:8" x14ac:dyDescent="0.25">
      <c r="E1728" t="str">
        <f>""</f>
        <v/>
      </c>
      <c r="F1728" t="str">
        <f>""</f>
        <v/>
      </c>
      <c r="H1728" t="str">
        <f t="shared" si="32"/>
        <v>SOCIAL SECURITY TAXES</v>
      </c>
    </row>
    <row r="1729" spans="5:8" x14ac:dyDescent="0.25">
      <c r="E1729" t="str">
        <f>""</f>
        <v/>
      </c>
      <c r="F1729" t="str">
        <f>""</f>
        <v/>
      </c>
      <c r="H1729" t="str">
        <f t="shared" si="32"/>
        <v>SOCIAL SECURITY TAXES</v>
      </c>
    </row>
    <row r="1730" spans="5:8" x14ac:dyDescent="0.25">
      <c r="E1730" t="str">
        <f>""</f>
        <v/>
      </c>
      <c r="F1730" t="str">
        <f>""</f>
        <v/>
      </c>
      <c r="H1730" t="str">
        <f t="shared" si="32"/>
        <v>SOCIAL SECURITY TAXES</v>
      </c>
    </row>
    <row r="1731" spans="5:8" x14ac:dyDescent="0.25">
      <c r="E1731" t="str">
        <f>""</f>
        <v/>
      </c>
      <c r="F1731" t="str">
        <f>""</f>
        <v/>
      </c>
      <c r="H1731" t="str">
        <f t="shared" si="32"/>
        <v>SOCIAL SECURITY TAXES</v>
      </c>
    </row>
    <row r="1732" spans="5:8" x14ac:dyDescent="0.25">
      <c r="E1732" t="str">
        <f>""</f>
        <v/>
      </c>
      <c r="F1732" t="str">
        <f>""</f>
        <v/>
      </c>
      <c r="H1732" t="str">
        <f t="shared" si="32"/>
        <v>SOCIAL SECURITY TAXES</v>
      </c>
    </row>
    <row r="1733" spans="5:8" x14ac:dyDescent="0.25">
      <c r="E1733" t="str">
        <f>""</f>
        <v/>
      </c>
      <c r="F1733" t="str">
        <f>""</f>
        <v/>
      </c>
      <c r="H1733" t="str">
        <f t="shared" si="32"/>
        <v>SOCIAL SECURITY TAXES</v>
      </c>
    </row>
    <row r="1734" spans="5:8" x14ac:dyDescent="0.25">
      <c r="E1734" t="str">
        <f>""</f>
        <v/>
      </c>
      <c r="F1734" t="str">
        <f>""</f>
        <v/>
      </c>
      <c r="H1734" t="str">
        <f t="shared" si="32"/>
        <v>SOCIAL SECURITY TAXES</v>
      </c>
    </row>
    <row r="1735" spans="5:8" x14ac:dyDescent="0.25">
      <c r="E1735" t="str">
        <f>""</f>
        <v/>
      </c>
      <c r="F1735" t="str">
        <f>""</f>
        <v/>
      </c>
      <c r="H1735" t="str">
        <f t="shared" si="32"/>
        <v>SOCIAL SECURITY TAXES</v>
      </c>
    </row>
    <row r="1736" spans="5:8" x14ac:dyDescent="0.25">
      <c r="E1736" t="str">
        <f>""</f>
        <v/>
      </c>
      <c r="F1736" t="str">
        <f>""</f>
        <v/>
      </c>
      <c r="H1736" t="str">
        <f t="shared" si="32"/>
        <v>SOCIAL SECURITY TAXES</v>
      </c>
    </row>
    <row r="1737" spans="5:8" x14ac:dyDescent="0.25">
      <c r="E1737" t="str">
        <f>""</f>
        <v/>
      </c>
      <c r="F1737" t="str">
        <f>""</f>
        <v/>
      </c>
      <c r="H1737" t="str">
        <f t="shared" si="32"/>
        <v>SOCIAL SECURITY TAXES</v>
      </c>
    </row>
    <row r="1738" spans="5:8" x14ac:dyDescent="0.25">
      <c r="E1738" t="str">
        <f>""</f>
        <v/>
      </c>
      <c r="F1738" t="str">
        <f>""</f>
        <v/>
      </c>
      <c r="H1738" t="str">
        <f t="shared" si="32"/>
        <v>SOCIAL SECURITY TAXES</v>
      </c>
    </row>
    <row r="1739" spans="5:8" x14ac:dyDescent="0.25">
      <c r="E1739" t="str">
        <f>""</f>
        <v/>
      </c>
      <c r="F1739" t="str">
        <f>""</f>
        <v/>
      </c>
      <c r="H1739" t="str">
        <f t="shared" si="32"/>
        <v>SOCIAL SECURITY TAXES</v>
      </c>
    </row>
    <row r="1740" spans="5:8" x14ac:dyDescent="0.25">
      <c r="E1740" t="str">
        <f>""</f>
        <v/>
      </c>
      <c r="F1740" t="str">
        <f>""</f>
        <v/>
      </c>
      <c r="H1740" t="str">
        <f t="shared" si="32"/>
        <v>SOCIAL SECURITY TAXES</v>
      </c>
    </row>
    <row r="1741" spans="5:8" x14ac:dyDescent="0.25">
      <c r="E1741" t="str">
        <f>""</f>
        <v/>
      </c>
      <c r="F1741" t="str">
        <f>""</f>
        <v/>
      </c>
      <c r="H1741" t="str">
        <f t="shared" si="32"/>
        <v>SOCIAL SECURITY TAXES</v>
      </c>
    </row>
    <row r="1742" spans="5:8" x14ac:dyDescent="0.25">
      <c r="E1742" t="str">
        <f>""</f>
        <v/>
      </c>
      <c r="F1742" t="str">
        <f>""</f>
        <v/>
      </c>
      <c r="H1742" t="str">
        <f t="shared" si="32"/>
        <v>SOCIAL SECURITY TAXES</v>
      </c>
    </row>
    <row r="1743" spans="5:8" x14ac:dyDescent="0.25">
      <c r="E1743" t="str">
        <f>"T3 202102021523"</f>
        <v>T3 202102021523</v>
      </c>
      <c r="F1743" t="str">
        <f>"SOCIAL SECURITY TAXES"</f>
        <v>SOCIAL SECURITY TAXES</v>
      </c>
      <c r="G1743" s="3">
        <v>4081.64</v>
      </c>
      <c r="H1743" t="str">
        <f t="shared" si="32"/>
        <v>SOCIAL SECURITY TAXES</v>
      </c>
    </row>
    <row r="1744" spans="5:8" x14ac:dyDescent="0.25">
      <c r="E1744" t="str">
        <f>""</f>
        <v/>
      </c>
      <c r="F1744" t="str">
        <f>""</f>
        <v/>
      </c>
      <c r="H1744" t="str">
        <f t="shared" si="32"/>
        <v>SOCIAL SECURITY TAXES</v>
      </c>
    </row>
    <row r="1745" spans="5:8" x14ac:dyDescent="0.25">
      <c r="E1745" t="str">
        <f>"T3 202102021524"</f>
        <v>T3 202102021524</v>
      </c>
      <c r="F1745" t="str">
        <f>"SOCIAL SECURITY TAXES"</f>
        <v>SOCIAL SECURITY TAXES</v>
      </c>
      <c r="G1745" s="3">
        <v>4790.12</v>
      </c>
      <c r="H1745" t="str">
        <f t="shared" si="32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32"/>
        <v>SOCIAL SECURITY TAXES</v>
      </c>
    </row>
    <row r="1747" spans="5:8" x14ac:dyDescent="0.25">
      <c r="E1747" t="str">
        <f>"T4 202102021522"</f>
        <v>T4 202102021522</v>
      </c>
      <c r="F1747" t="str">
        <f>"MEDICARE TAXES"</f>
        <v>MEDICARE TAXES</v>
      </c>
      <c r="G1747" s="3">
        <v>27818.34</v>
      </c>
      <c r="H1747" t="str">
        <f t="shared" ref="H1747:H1778" si="33">"MEDICARE TAXES"</f>
        <v>MEDICARE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33"/>
        <v>MEDICARE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33"/>
        <v>MEDICARE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33"/>
        <v>MEDICARE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33"/>
        <v>MEDICARE TAXES</v>
      </c>
    </row>
    <row r="1752" spans="5:8" x14ac:dyDescent="0.25">
      <c r="E1752" t="str">
        <f>""</f>
        <v/>
      </c>
      <c r="F1752" t="str">
        <f>""</f>
        <v/>
      </c>
      <c r="H1752" t="str">
        <f t="shared" si="33"/>
        <v>MEDICARE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33"/>
        <v>MEDICARE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33"/>
        <v>MEDICARE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33"/>
        <v>MEDICARE TAXES</v>
      </c>
    </row>
    <row r="1756" spans="5:8" x14ac:dyDescent="0.25">
      <c r="E1756" t="str">
        <f>""</f>
        <v/>
      </c>
      <c r="F1756" t="str">
        <f>""</f>
        <v/>
      </c>
      <c r="H1756" t="str">
        <f t="shared" si="33"/>
        <v>MEDICARE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33"/>
        <v>MEDICARE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33"/>
        <v>MEDICARE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33"/>
        <v>MEDICARE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33"/>
        <v>MEDICARE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33"/>
        <v>MEDICARE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33"/>
        <v>MEDICARE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33"/>
        <v>MEDICARE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33"/>
        <v>MEDICARE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33"/>
        <v>MEDICARE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33"/>
        <v>MEDICARE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33"/>
        <v>MEDICARE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33"/>
        <v>MEDICARE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33"/>
        <v>MEDICARE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33"/>
        <v>MEDICARE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33"/>
        <v>MEDICARE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33"/>
        <v>MEDICARE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33"/>
        <v>MEDICARE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33"/>
        <v>MEDICARE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33"/>
        <v>MEDICARE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33"/>
        <v>MEDICARE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33"/>
        <v>MEDICARE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33"/>
        <v>MEDICARE TAXES</v>
      </c>
    </row>
    <row r="1779" spans="5:8" x14ac:dyDescent="0.25">
      <c r="E1779" t="str">
        <f>""</f>
        <v/>
      </c>
      <c r="F1779" t="str">
        <f>""</f>
        <v/>
      </c>
      <c r="H1779" t="str">
        <f t="shared" ref="H1779:H1804" si="34">"MEDICARE TAXES"</f>
        <v>MEDICARE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34"/>
        <v>MEDICARE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34"/>
        <v>MEDICARE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34"/>
        <v>MEDICARE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34"/>
        <v>MEDICARE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34"/>
        <v>MEDICARE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34"/>
        <v>MEDICARE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34"/>
        <v>MEDICARE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34"/>
        <v>MEDICARE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34"/>
        <v>MEDICARE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34"/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34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34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34"/>
        <v>MEDICARE TAXES</v>
      </c>
    </row>
    <row r="1793" spans="1:8" x14ac:dyDescent="0.25">
      <c r="E1793" t="str">
        <f>""</f>
        <v/>
      </c>
      <c r="F1793" t="str">
        <f>""</f>
        <v/>
      </c>
      <c r="H1793" t="str">
        <f t="shared" si="34"/>
        <v>MEDICARE TAXES</v>
      </c>
    </row>
    <row r="1794" spans="1:8" x14ac:dyDescent="0.25">
      <c r="E1794" t="str">
        <f>""</f>
        <v/>
      </c>
      <c r="F1794" t="str">
        <f>""</f>
        <v/>
      </c>
      <c r="H1794" t="str">
        <f t="shared" si="34"/>
        <v>MEDICARE TAXES</v>
      </c>
    </row>
    <row r="1795" spans="1:8" x14ac:dyDescent="0.25">
      <c r="E1795" t="str">
        <f>""</f>
        <v/>
      </c>
      <c r="F1795" t="str">
        <f>""</f>
        <v/>
      </c>
      <c r="H1795" t="str">
        <f t="shared" si="34"/>
        <v>MEDICARE TAXES</v>
      </c>
    </row>
    <row r="1796" spans="1:8" x14ac:dyDescent="0.25">
      <c r="E1796" t="str">
        <f>""</f>
        <v/>
      </c>
      <c r="F1796" t="str">
        <f>""</f>
        <v/>
      </c>
      <c r="H1796" t="str">
        <f t="shared" si="34"/>
        <v>MEDICARE TAXES</v>
      </c>
    </row>
    <row r="1797" spans="1:8" x14ac:dyDescent="0.25">
      <c r="E1797" t="str">
        <f>""</f>
        <v/>
      </c>
      <c r="F1797" t="str">
        <f>""</f>
        <v/>
      </c>
      <c r="H1797" t="str">
        <f t="shared" si="34"/>
        <v>MEDICARE TAXES</v>
      </c>
    </row>
    <row r="1798" spans="1:8" x14ac:dyDescent="0.25">
      <c r="E1798" t="str">
        <f>""</f>
        <v/>
      </c>
      <c r="F1798" t="str">
        <f>""</f>
        <v/>
      </c>
      <c r="H1798" t="str">
        <f t="shared" si="34"/>
        <v>MEDICARE TAXES</v>
      </c>
    </row>
    <row r="1799" spans="1:8" x14ac:dyDescent="0.25">
      <c r="E1799" t="str">
        <f>""</f>
        <v/>
      </c>
      <c r="F1799" t="str">
        <f>""</f>
        <v/>
      </c>
      <c r="H1799" t="str">
        <f t="shared" si="34"/>
        <v>MEDICARE TAXES</v>
      </c>
    </row>
    <row r="1800" spans="1:8" x14ac:dyDescent="0.25">
      <c r="E1800" t="str">
        <f>""</f>
        <v/>
      </c>
      <c r="F1800" t="str">
        <f>""</f>
        <v/>
      </c>
      <c r="H1800" t="str">
        <f t="shared" si="34"/>
        <v>MEDICARE TAXES</v>
      </c>
    </row>
    <row r="1801" spans="1:8" x14ac:dyDescent="0.25">
      <c r="E1801" t="str">
        <f>"T4 202102021523"</f>
        <v>T4 202102021523</v>
      </c>
      <c r="F1801" t="str">
        <f>"MEDICARE TAXES"</f>
        <v>MEDICARE TAXES</v>
      </c>
      <c r="G1801" s="3">
        <v>954.62</v>
      </c>
      <c r="H1801" t="str">
        <f t="shared" si="34"/>
        <v>MEDICARE TAXES</v>
      </c>
    </row>
    <row r="1802" spans="1:8" x14ac:dyDescent="0.25">
      <c r="E1802" t="str">
        <f>""</f>
        <v/>
      </c>
      <c r="F1802" t="str">
        <f>""</f>
        <v/>
      </c>
      <c r="H1802" t="str">
        <f t="shared" si="34"/>
        <v>MEDICARE TAXES</v>
      </c>
    </row>
    <row r="1803" spans="1:8" x14ac:dyDescent="0.25">
      <c r="E1803" t="str">
        <f>"T4 202102021524"</f>
        <v>T4 202102021524</v>
      </c>
      <c r="F1803" t="str">
        <f>"MEDICARE TAXES"</f>
        <v>MEDICARE TAXES</v>
      </c>
      <c r="G1803" s="3">
        <v>1120.32</v>
      </c>
      <c r="H1803" t="str">
        <f t="shared" si="34"/>
        <v>MEDICARE TAXES</v>
      </c>
    </row>
    <row r="1804" spans="1:8" x14ac:dyDescent="0.25">
      <c r="E1804" t="str">
        <f>""</f>
        <v/>
      </c>
      <c r="F1804" t="str">
        <f>""</f>
        <v/>
      </c>
      <c r="H1804" t="str">
        <f t="shared" si="34"/>
        <v>MEDICARE TAXES</v>
      </c>
    </row>
    <row r="1805" spans="1:8" x14ac:dyDescent="0.25">
      <c r="A1805" t="s">
        <v>341</v>
      </c>
      <c r="B1805">
        <v>908</v>
      </c>
      <c r="C1805" s="3">
        <v>245942.88</v>
      </c>
      <c r="D1805" s="6">
        <v>44246</v>
      </c>
      <c r="E1805" t="str">
        <f>"T1 202102171722"</f>
        <v>T1 202102171722</v>
      </c>
      <c r="F1805" t="str">
        <f>"FEDERAL WITHHOLDING"</f>
        <v>FEDERAL WITHHOLDING</v>
      </c>
      <c r="G1805" s="3">
        <v>81555.179999999993</v>
      </c>
      <c r="H1805" t="str">
        <f>"FEDERAL WITHHOLDING"</f>
        <v>FEDERAL WITHHOLDING</v>
      </c>
    </row>
    <row r="1806" spans="1:8" x14ac:dyDescent="0.25">
      <c r="E1806" t="str">
        <f>"T1 202102171723"</f>
        <v>T1 202102171723</v>
      </c>
      <c r="F1806" t="str">
        <f>"FEDERAL WITHHOLDING"</f>
        <v>FEDERAL WITHHOLDING</v>
      </c>
      <c r="G1806" s="3">
        <v>2960.32</v>
      </c>
      <c r="H1806" t="str">
        <f>"FEDERAL WITHHOLDING"</f>
        <v>FEDERAL WITHHOLDING</v>
      </c>
    </row>
    <row r="1807" spans="1:8" x14ac:dyDescent="0.25">
      <c r="E1807" t="str">
        <f>"T1 202102171724"</f>
        <v>T1 202102171724</v>
      </c>
      <c r="F1807" t="str">
        <f>"FEDERAL WITHHOLDING"</f>
        <v>FEDERAL WITHHOLDING</v>
      </c>
      <c r="G1807" s="3">
        <v>3279.1</v>
      </c>
      <c r="H1807" t="str">
        <f>"FEDERAL WITHHOLDING"</f>
        <v>FEDERAL WITHHOLDING</v>
      </c>
    </row>
    <row r="1808" spans="1:8" x14ac:dyDescent="0.25">
      <c r="E1808" t="str">
        <f>"T3 202102171722"</f>
        <v>T3 202102171722</v>
      </c>
      <c r="F1808" t="str">
        <f>"SOCIAL SECURITY TAXES"</f>
        <v>SOCIAL SECURITY TAXES</v>
      </c>
      <c r="G1808" s="3">
        <v>119058.08</v>
      </c>
      <c r="H1808" t="str">
        <f t="shared" ref="H1808:H1839" si="35">"SOCIAL SECURITY TAXES"</f>
        <v>SOCIAL SECURITY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35"/>
        <v>SOCIAL SECURITY TAXES</v>
      </c>
    </row>
    <row r="1810" spans="5:8" x14ac:dyDescent="0.25">
      <c r="E1810" t="str">
        <f>""</f>
        <v/>
      </c>
      <c r="F1810" t="str">
        <f>""</f>
        <v/>
      </c>
      <c r="H1810" t="str">
        <f t="shared" si="35"/>
        <v>SOCIAL SECURITY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35"/>
        <v>SOCIAL SECURITY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35"/>
        <v>SOCIAL SECURITY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35"/>
        <v>SOCIAL SECURITY TAXES</v>
      </c>
    </row>
    <row r="1814" spans="5:8" x14ac:dyDescent="0.25">
      <c r="E1814" t="str">
        <f>""</f>
        <v/>
      </c>
      <c r="F1814" t="str">
        <f>""</f>
        <v/>
      </c>
      <c r="H1814" t="str">
        <f t="shared" si="35"/>
        <v>SOCIAL SECURITY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35"/>
        <v>SOCIAL SECURITY TAXES</v>
      </c>
    </row>
    <row r="1816" spans="5:8" x14ac:dyDescent="0.25">
      <c r="E1816" t="str">
        <f>""</f>
        <v/>
      </c>
      <c r="F1816" t="str">
        <f>""</f>
        <v/>
      </c>
      <c r="H1816" t="str">
        <f t="shared" si="35"/>
        <v>SOCIAL SECURITY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35"/>
        <v>SOCIAL SECURITY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35"/>
        <v>SOCIAL SECURITY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35"/>
        <v>SOCIAL SECURITY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35"/>
        <v>SOCIAL SECURITY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35"/>
        <v>SOCIAL SECURITY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35"/>
        <v>SOCIAL SECURITY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35"/>
        <v>SOCIAL SECURITY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35"/>
        <v>SOCIAL SECURITY TAXES</v>
      </c>
    </row>
    <row r="1825" spans="5:8" x14ac:dyDescent="0.25">
      <c r="E1825" t="str">
        <f>""</f>
        <v/>
      </c>
      <c r="F1825" t="str">
        <f>""</f>
        <v/>
      </c>
      <c r="H1825" t="str">
        <f t="shared" si="35"/>
        <v>SOCIAL SECURITY TAXES</v>
      </c>
    </row>
    <row r="1826" spans="5:8" x14ac:dyDescent="0.25">
      <c r="E1826" t="str">
        <f>""</f>
        <v/>
      </c>
      <c r="F1826" t="str">
        <f>""</f>
        <v/>
      </c>
      <c r="H1826" t="str">
        <f t="shared" si="35"/>
        <v>SOCIAL SECURITY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35"/>
        <v>SOCIAL SECURITY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35"/>
        <v>SOCIAL SECURITY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35"/>
        <v>SOCIAL SECURITY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35"/>
        <v>SOCIAL SECURITY TAXES</v>
      </c>
    </row>
    <row r="1831" spans="5:8" x14ac:dyDescent="0.25">
      <c r="E1831" t="str">
        <f>""</f>
        <v/>
      </c>
      <c r="F1831" t="str">
        <f>""</f>
        <v/>
      </c>
      <c r="H1831" t="str">
        <f t="shared" si="35"/>
        <v>SOCIAL SECURITY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35"/>
        <v>SOCIAL SECURITY TAXES</v>
      </c>
    </row>
    <row r="1833" spans="5:8" x14ac:dyDescent="0.25">
      <c r="E1833" t="str">
        <f>""</f>
        <v/>
      </c>
      <c r="F1833" t="str">
        <f>""</f>
        <v/>
      </c>
      <c r="H1833" t="str">
        <f t="shared" si="35"/>
        <v>SOCIAL SECURITY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35"/>
        <v>SOCIAL SECURITY TAXES</v>
      </c>
    </row>
    <row r="1835" spans="5:8" x14ac:dyDescent="0.25">
      <c r="E1835" t="str">
        <f>""</f>
        <v/>
      </c>
      <c r="F1835" t="str">
        <f>""</f>
        <v/>
      </c>
      <c r="H1835" t="str">
        <f t="shared" si="35"/>
        <v>SOCIAL SECURITY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35"/>
        <v>SOCIAL SECURITY TAXES</v>
      </c>
    </row>
    <row r="1837" spans="5:8" x14ac:dyDescent="0.25">
      <c r="E1837" t="str">
        <f>""</f>
        <v/>
      </c>
      <c r="F1837" t="str">
        <f>""</f>
        <v/>
      </c>
      <c r="H1837" t="str">
        <f t="shared" si="35"/>
        <v>SOCIAL SECURITY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35"/>
        <v>SOCIAL SECURITY TAXES</v>
      </c>
    </row>
    <row r="1839" spans="5:8" x14ac:dyDescent="0.25">
      <c r="E1839" t="str">
        <f>""</f>
        <v/>
      </c>
      <c r="F1839" t="str">
        <f>""</f>
        <v/>
      </c>
      <c r="H1839" t="str">
        <f t="shared" si="35"/>
        <v>SOCIAL SECURITY TAXES</v>
      </c>
    </row>
    <row r="1840" spans="5:8" x14ac:dyDescent="0.25">
      <c r="E1840" t="str">
        <f>""</f>
        <v/>
      </c>
      <c r="F1840" t="str">
        <f>""</f>
        <v/>
      </c>
      <c r="H1840" t="str">
        <f t="shared" ref="H1840:H1864" si="36">"SOCIAL SECURITY TAXES"</f>
        <v>SOCIAL SECURITY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36"/>
        <v>SOCIAL SECURITY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36"/>
        <v>SOCIAL SECURITY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36"/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6"/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6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6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6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6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6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6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6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6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6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6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36"/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6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6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6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6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6"/>
        <v>SOCIAL SECURITY TAXES</v>
      </c>
    </row>
    <row r="1861" spans="5:8" x14ac:dyDescent="0.25">
      <c r="E1861" t="str">
        <f>"T3 202102171723"</f>
        <v>T3 202102171723</v>
      </c>
      <c r="F1861" t="str">
        <f>"SOCIAL SECURITY TAXES"</f>
        <v>SOCIAL SECURITY TAXES</v>
      </c>
      <c r="G1861" s="3">
        <v>4191.74</v>
      </c>
      <c r="H1861" t="str">
        <f t="shared" si="36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6"/>
        <v>SOCIAL SECURITY TAXES</v>
      </c>
    </row>
    <row r="1863" spans="5:8" x14ac:dyDescent="0.25">
      <c r="E1863" t="str">
        <f>"T3 202102171724"</f>
        <v>T3 202102171724</v>
      </c>
      <c r="F1863" t="str">
        <f>"SOCIAL SECURITY TAXES"</f>
        <v>SOCIAL SECURITY TAXES</v>
      </c>
      <c r="G1863" s="3">
        <v>4922.5600000000004</v>
      </c>
      <c r="H1863" t="str">
        <f t="shared" si="36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6"/>
        <v>SOCIAL SECURITY TAXES</v>
      </c>
    </row>
    <row r="1865" spans="5:8" x14ac:dyDescent="0.25">
      <c r="E1865" t="str">
        <f>"T4 202102171722"</f>
        <v>T4 202102171722</v>
      </c>
      <c r="F1865" t="str">
        <f>"MEDICARE TAXES"</f>
        <v>MEDICARE TAXES</v>
      </c>
      <c r="G1865" s="3">
        <v>27844.22</v>
      </c>
      <c r="H1865" t="str">
        <f t="shared" ref="H1865:H1896" si="37">"MEDICARE TAXES"</f>
        <v>MEDICARE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7"/>
        <v>MEDICARE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7"/>
        <v>MEDICARE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7"/>
        <v>MEDICARE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7"/>
        <v>MEDICARE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7"/>
        <v>MEDICARE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7"/>
        <v>MEDICARE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37"/>
        <v>MEDICARE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7"/>
        <v>MEDICARE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7"/>
        <v>MEDICARE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7"/>
        <v>MEDICARE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7"/>
        <v>MEDICARE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7"/>
        <v>MEDICARE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7"/>
        <v>MEDICARE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7"/>
        <v>MEDICARE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7"/>
        <v>MEDICARE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7"/>
        <v>MEDICARE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7"/>
        <v>MEDICARE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7"/>
        <v>MEDICARE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7"/>
        <v>MEDICARE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7"/>
        <v>MEDICARE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7"/>
        <v>MEDICARE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7"/>
        <v>MEDICARE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7"/>
        <v>MEDICARE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7"/>
        <v>MEDICARE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7"/>
        <v>MEDICARE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7"/>
        <v>MEDICARE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7"/>
        <v>MEDICARE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7"/>
        <v>MEDICARE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7"/>
        <v>MEDICARE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7"/>
        <v>MEDICARE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7"/>
        <v>MEDICARE TAXES</v>
      </c>
    </row>
    <row r="1897" spans="5:8" x14ac:dyDescent="0.25">
      <c r="E1897" t="str">
        <f>""</f>
        <v/>
      </c>
      <c r="F1897" t="str">
        <f>""</f>
        <v/>
      </c>
      <c r="H1897" t="str">
        <f t="shared" ref="H1897:H1921" si="38">"MEDICARE TAXES"</f>
        <v>MEDICARE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8"/>
        <v>MEDICARE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8"/>
        <v>MEDICARE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8"/>
        <v>MEDICARE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8"/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8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8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8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8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8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8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8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8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8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8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8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8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8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8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8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8"/>
        <v>MEDICARE TAXES</v>
      </c>
    </row>
    <row r="1918" spans="5:8" x14ac:dyDescent="0.25">
      <c r="E1918" t="str">
        <f>"T4 202102171723"</f>
        <v>T4 202102171723</v>
      </c>
      <c r="F1918" t="str">
        <f>"MEDICARE TAXES"</f>
        <v>MEDICARE TAXES</v>
      </c>
      <c r="G1918" s="3">
        <v>980.38</v>
      </c>
      <c r="H1918" t="str">
        <f t="shared" si="38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8"/>
        <v>MEDICARE TAXES</v>
      </c>
    </row>
    <row r="1920" spans="5:8" x14ac:dyDescent="0.25">
      <c r="E1920" t="str">
        <f>"T4 202102171724"</f>
        <v>T4 202102171724</v>
      </c>
      <c r="F1920" t="str">
        <f>"MEDICARE TAXES"</f>
        <v>MEDICARE TAXES</v>
      </c>
      <c r="G1920" s="3">
        <v>1151.3</v>
      </c>
      <c r="H1920" t="str">
        <f t="shared" si="38"/>
        <v>MEDICARE TAXES</v>
      </c>
    </row>
    <row r="1921" spans="1:8" x14ac:dyDescent="0.25">
      <c r="E1921" t="str">
        <f>""</f>
        <v/>
      </c>
      <c r="F1921" t="str">
        <f>""</f>
        <v/>
      </c>
      <c r="H1921" t="str">
        <f t="shared" si="38"/>
        <v>MEDICARE TAXES</v>
      </c>
    </row>
    <row r="1922" spans="1:8" x14ac:dyDescent="0.25">
      <c r="A1922" t="s">
        <v>342</v>
      </c>
      <c r="B1922">
        <v>906</v>
      </c>
      <c r="C1922" s="3">
        <v>9.36</v>
      </c>
      <c r="D1922" s="6">
        <v>44237</v>
      </c>
      <c r="E1922" t="str">
        <f>"202102101699"</f>
        <v>202102101699</v>
      </c>
      <c r="F1922" t="str">
        <f>"RETIREE INS REFUND"</f>
        <v>RETIREE INS REFUND</v>
      </c>
      <c r="G1922" s="3">
        <v>9.36</v>
      </c>
      <c r="H1922" t="str">
        <f>"RETIREE INS REFUND"</f>
        <v>RETIREE INS REFUND</v>
      </c>
    </row>
    <row r="1923" spans="1:8" x14ac:dyDescent="0.25">
      <c r="A1923" t="s">
        <v>343</v>
      </c>
      <c r="B1923">
        <v>48298</v>
      </c>
      <c r="C1923" s="3">
        <v>160</v>
      </c>
      <c r="D1923" s="6">
        <v>44251</v>
      </c>
      <c r="E1923" t="str">
        <f>"202102241797"</f>
        <v>202102241797</v>
      </c>
      <c r="F1923" t="str">
        <f>"TASC Reimbursement - J Hines"</f>
        <v>TASC Reimbursement - J Hines</v>
      </c>
      <c r="G1923" s="3">
        <v>160</v>
      </c>
      <c r="H1923" t="str">
        <f>"TASC Reimbursement - J Hines"</f>
        <v>TASC Reimbursement - J Hines</v>
      </c>
    </row>
    <row r="1924" spans="1:8" x14ac:dyDescent="0.25">
      <c r="A1924" t="s">
        <v>344</v>
      </c>
      <c r="B1924">
        <v>916</v>
      </c>
      <c r="C1924" s="3">
        <v>535.82000000000005</v>
      </c>
      <c r="D1924" s="6">
        <v>44251</v>
      </c>
      <c r="E1924" t="str">
        <f>"LIX202102021522"</f>
        <v>LIX202102021522</v>
      </c>
      <c r="F1924" t="str">
        <f>"TEXAS LIFE/OLIVO GROUP"</f>
        <v>TEXAS LIFE/OLIVO GROUP</v>
      </c>
      <c r="G1924" s="3">
        <v>267.91000000000003</v>
      </c>
      <c r="H1924" t="str">
        <f>"TEXAS LIFE/OLIVO GROUP"</f>
        <v>TEXAS LIFE/OLIVO GROUP</v>
      </c>
    </row>
    <row r="1925" spans="1:8" x14ac:dyDescent="0.25">
      <c r="E1925" t="str">
        <f>"LIX202102171722"</f>
        <v>LIX202102171722</v>
      </c>
      <c r="F1925" t="str">
        <f>"TEXAS LIFE/OLIVO GROUP"</f>
        <v>TEXAS LIFE/OLIVO GROUP</v>
      </c>
      <c r="G1925" s="3">
        <v>267.91000000000003</v>
      </c>
      <c r="H1925" t="str">
        <f>"TEXAS LIFE/OLIVO GROUP"</f>
        <v>TEXAS LIFE/OLIVO GROUP</v>
      </c>
    </row>
    <row r="1926" spans="1:8" x14ac:dyDescent="0.25">
      <c r="A1926" t="s">
        <v>345</v>
      </c>
      <c r="B1926">
        <v>48302</v>
      </c>
      <c r="C1926" s="3">
        <v>386766.52</v>
      </c>
      <c r="D1926" s="6">
        <v>44253</v>
      </c>
      <c r="E1926" t="str">
        <f>"202102241800"</f>
        <v>202102241800</v>
      </c>
      <c r="F1926" t="str">
        <f>"RETIREE INS - FEBRUARY 2021"</f>
        <v>RETIREE INS - FEBRUARY 2021</v>
      </c>
      <c r="G1926" s="3">
        <v>16919.560000000001</v>
      </c>
      <c r="H1926" t="str">
        <f>"RETIREE INS - FEBRUARY 2021"</f>
        <v>RETIREE INS - FEBRUARY 2021</v>
      </c>
    </row>
    <row r="1927" spans="1:8" x14ac:dyDescent="0.25">
      <c r="E1927" t="str">
        <f>"2EC202102021522"</f>
        <v>2EC202102021522</v>
      </c>
      <c r="F1927" t="str">
        <f>"BCBS PAYABLE"</f>
        <v>BCBS PAYABLE</v>
      </c>
      <c r="G1927" s="3">
        <v>51673.599999999999</v>
      </c>
      <c r="H1927" t="str">
        <f t="shared" ref="H1927:H1990" si="39">"BCBS PAYABLE"</f>
        <v>BCBS PAYABLE</v>
      </c>
    </row>
    <row r="1928" spans="1:8" x14ac:dyDescent="0.25">
      <c r="E1928" t="str">
        <f>""</f>
        <v/>
      </c>
      <c r="F1928" t="str">
        <f>""</f>
        <v/>
      </c>
      <c r="H1928" t="str">
        <f t="shared" si="39"/>
        <v>BCBS PAYABLE</v>
      </c>
    </row>
    <row r="1929" spans="1:8" x14ac:dyDescent="0.25">
      <c r="E1929" t="str">
        <f>""</f>
        <v/>
      </c>
      <c r="F1929" t="str">
        <f>""</f>
        <v/>
      </c>
      <c r="H1929" t="str">
        <f t="shared" si="39"/>
        <v>BCBS PAYABLE</v>
      </c>
    </row>
    <row r="1930" spans="1:8" x14ac:dyDescent="0.25">
      <c r="E1930" t="str">
        <f>""</f>
        <v/>
      </c>
      <c r="F1930" t="str">
        <f>""</f>
        <v/>
      </c>
      <c r="H1930" t="str">
        <f t="shared" si="39"/>
        <v>BCBS PAYABLE</v>
      </c>
    </row>
    <row r="1931" spans="1:8" x14ac:dyDescent="0.25">
      <c r="E1931" t="str">
        <f>""</f>
        <v/>
      </c>
      <c r="F1931" t="str">
        <f>""</f>
        <v/>
      </c>
      <c r="H1931" t="str">
        <f t="shared" si="39"/>
        <v>BCBS PAYABLE</v>
      </c>
    </row>
    <row r="1932" spans="1:8" x14ac:dyDescent="0.25">
      <c r="E1932" t="str">
        <f>""</f>
        <v/>
      </c>
      <c r="F1932" t="str">
        <f>""</f>
        <v/>
      </c>
      <c r="H1932" t="str">
        <f t="shared" si="39"/>
        <v>BCBS PAYABLE</v>
      </c>
    </row>
    <row r="1933" spans="1:8" x14ac:dyDescent="0.25">
      <c r="E1933" t="str">
        <f>""</f>
        <v/>
      </c>
      <c r="F1933" t="str">
        <f>""</f>
        <v/>
      </c>
      <c r="H1933" t="str">
        <f t="shared" si="39"/>
        <v>BCBS PAYABLE</v>
      </c>
    </row>
    <row r="1934" spans="1:8" x14ac:dyDescent="0.25">
      <c r="E1934" t="str">
        <f>""</f>
        <v/>
      </c>
      <c r="F1934" t="str">
        <f>""</f>
        <v/>
      </c>
      <c r="H1934" t="str">
        <f t="shared" si="39"/>
        <v>BCBS PAYABLE</v>
      </c>
    </row>
    <row r="1935" spans="1:8" x14ac:dyDescent="0.25">
      <c r="E1935" t="str">
        <f>""</f>
        <v/>
      </c>
      <c r="F1935" t="str">
        <f>""</f>
        <v/>
      </c>
      <c r="H1935" t="str">
        <f t="shared" si="39"/>
        <v>BCBS PAYABLE</v>
      </c>
    </row>
    <row r="1936" spans="1:8" x14ac:dyDescent="0.25">
      <c r="E1936" t="str">
        <f>""</f>
        <v/>
      </c>
      <c r="F1936" t="str">
        <f>""</f>
        <v/>
      </c>
      <c r="H1936" t="str">
        <f t="shared" si="39"/>
        <v>BCBS PAYABLE</v>
      </c>
    </row>
    <row r="1937" spans="5:8" x14ac:dyDescent="0.25">
      <c r="E1937" t="str">
        <f>""</f>
        <v/>
      </c>
      <c r="F1937" t="str">
        <f>""</f>
        <v/>
      </c>
      <c r="H1937" t="str">
        <f t="shared" si="39"/>
        <v>BCBS PAYABLE</v>
      </c>
    </row>
    <row r="1938" spans="5:8" x14ac:dyDescent="0.25">
      <c r="E1938" t="str">
        <f>""</f>
        <v/>
      </c>
      <c r="F1938" t="str">
        <f>""</f>
        <v/>
      </c>
      <c r="H1938" t="str">
        <f t="shared" si="39"/>
        <v>BCBS PAYABLE</v>
      </c>
    </row>
    <row r="1939" spans="5:8" x14ac:dyDescent="0.25">
      <c r="E1939" t="str">
        <f>""</f>
        <v/>
      </c>
      <c r="F1939" t="str">
        <f>""</f>
        <v/>
      </c>
      <c r="H1939" t="str">
        <f t="shared" si="39"/>
        <v>BCBS PAYABLE</v>
      </c>
    </row>
    <row r="1940" spans="5:8" x14ac:dyDescent="0.25">
      <c r="E1940" t="str">
        <f>""</f>
        <v/>
      </c>
      <c r="F1940" t="str">
        <f>""</f>
        <v/>
      </c>
      <c r="H1940" t="str">
        <f t="shared" si="39"/>
        <v>BCBS PAYABLE</v>
      </c>
    </row>
    <row r="1941" spans="5:8" x14ac:dyDescent="0.25">
      <c r="E1941" t="str">
        <f>""</f>
        <v/>
      </c>
      <c r="F1941" t="str">
        <f>""</f>
        <v/>
      </c>
      <c r="H1941" t="str">
        <f t="shared" si="39"/>
        <v>BCBS PAYABLE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BCBS PAYABLE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BCBS PAYABLE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BCBS PAYABLE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BCBS PAYABLE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BCBS PAYABLE</v>
      </c>
    </row>
    <row r="1947" spans="5:8" x14ac:dyDescent="0.25">
      <c r="E1947" t="str">
        <f>""</f>
        <v/>
      </c>
      <c r="F1947" t="str">
        <f>""</f>
        <v/>
      </c>
      <c r="H1947" t="str">
        <f t="shared" si="39"/>
        <v>BCBS PAYABLE</v>
      </c>
    </row>
    <row r="1948" spans="5:8" x14ac:dyDescent="0.25">
      <c r="E1948" t="str">
        <f>""</f>
        <v/>
      </c>
      <c r="F1948" t="str">
        <f>""</f>
        <v/>
      </c>
      <c r="H1948" t="str">
        <f t="shared" si="39"/>
        <v>BCBS PAYABLE</v>
      </c>
    </row>
    <row r="1949" spans="5:8" x14ac:dyDescent="0.25">
      <c r="E1949" t="str">
        <f>""</f>
        <v/>
      </c>
      <c r="F1949" t="str">
        <f>""</f>
        <v/>
      </c>
      <c r="H1949" t="str">
        <f t="shared" si="39"/>
        <v>BCBS PAYABLE</v>
      </c>
    </row>
    <row r="1950" spans="5:8" x14ac:dyDescent="0.25">
      <c r="E1950" t="str">
        <f>""</f>
        <v/>
      </c>
      <c r="F1950" t="str">
        <f>""</f>
        <v/>
      </c>
      <c r="H1950" t="str">
        <f t="shared" si="39"/>
        <v>BCBS PAYABLE</v>
      </c>
    </row>
    <row r="1951" spans="5:8" x14ac:dyDescent="0.25">
      <c r="E1951" t="str">
        <f>""</f>
        <v/>
      </c>
      <c r="F1951" t="str">
        <f>""</f>
        <v/>
      </c>
      <c r="H1951" t="str">
        <f t="shared" si="39"/>
        <v>BCBS PAYABLE</v>
      </c>
    </row>
    <row r="1952" spans="5:8" x14ac:dyDescent="0.25">
      <c r="E1952" t="str">
        <f>""</f>
        <v/>
      </c>
      <c r="F1952" t="str">
        <f>""</f>
        <v/>
      </c>
      <c r="H1952" t="str">
        <f t="shared" si="39"/>
        <v>BCBS PAYABLE</v>
      </c>
    </row>
    <row r="1953" spans="5:8" x14ac:dyDescent="0.25">
      <c r="E1953" t="str">
        <f>""</f>
        <v/>
      </c>
      <c r="F1953" t="str">
        <f>""</f>
        <v/>
      </c>
      <c r="H1953" t="str">
        <f t="shared" si="39"/>
        <v>BCBS PAYABLE</v>
      </c>
    </row>
    <row r="1954" spans="5:8" x14ac:dyDescent="0.25">
      <c r="E1954" t="str">
        <f>""</f>
        <v/>
      </c>
      <c r="F1954" t="str">
        <f>""</f>
        <v/>
      </c>
      <c r="H1954" t="str">
        <f t="shared" si="39"/>
        <v>BCBS PAYABLE</v>
      </c>
    </row>
    <row r="1955" spans="5:8" x14ac:dyDescent="0.25">
      <c r="E1955" t="str">
        <f>""</f>
        <v/>
      </c>
      <c r="F1955" t="str">
        <f>""</f>
        <v/>
      </c>
      <c r="H1955" t="str">
        <f t="shared" si="39"/>
        <v>BCBS PAYABLE</v>
      </c>
    </row>
    <row r="1956" spans="5:8" x14ac:dyDescent="0.25">
      <c r="E1956" t="str">
        <f>""</f>
        <v/>
      </c>
      <c r="F1956" t="str">
        <f>""</f>
        <v/>
      </c>
      <c r="H1956" t="str">
        <f t="shared" si="39"/>
        <v>BCBS PAYABLE</v>
      </c>
    </row>
    <row r="1957" spans="5:8" x14ac:dyDescent="0.25">
      <c r="E1957" t="str">
        <f>""</f>
        <v/>
      </c>
      <c r="F1957" t="str">
        <f>""</f>
        <v/>
      </c>
      <c r="H1957" t="str">
        <f t="shared" si="39"/>
        <v>BCBS PAYABLE</v>
      </c>
    </row>
    <row r="1958" spans="5:8" x14ac:dyDescent="0.25">
      <c r="E1958" t="str">
        <f>""</f>
        <v/>
      </c>
      <c r="F1958" t="str">
        <f>""</f>
        <v/>
      </c>
      <c r="H1958" t="str">
        <f t="shared" si="39"/>
        <v>BCBS PAYABLE</v>
      </c>
    </row>
    <row r="1959" spans="5:8" x14ac:dyDescent="0.25">
      <c r="E1959" t="str">
        <f>""</f>
        <v/>
      </c>
      <c r="F1959" t="str">
        <f>""</f>
        <v/>
      </c>
      <c r="H1959" t="str">
        <f t="shared" si="39"/>
        <v>BCBS PAYABLE</v>
      </c>
    </row>
    <row r="1960" spans="5:8" x14ac:dyDescent="0.25">
      <c r="E1960" t="str">
        <f>"2EC202102021523"</f>
        <v>2EC202102021523</v>
      </c>
      <c r="F1960" t="str">
        <f>"BCBS PAYABLE"</f>
        <v>BCBS PAYABLE</v>
      </c>
      <c r="G1960" s="3">
        <v>2348.8000000000002</v>
      </c>
      <c r="H1960" t="str">
        <f t="shared" si="39"/>
        <v>BCBS PAYABLE</v>
      </c>
    </row>
    <row r="1961" spans="5:8" x14ac:dyDescent="0.25">
      <c r="E1961" t="str">
        <f>""</f>
        <v/>
      </c>
      <c r="F1961" t="str">
        <f>""</f>
        <v/>
      </c>
      <c r="H1961" t="str">
        <f t="shared" si="39"/>
        <v>BCBS PAYABLE</v>
      </c>
    </row>
    <row r="1962" spans="5:8" x14ac:dyDescent="0.25">
      <c r="E1962" t="str">
        <f>"2EC202102171722"</f>
        <v>2EC202102171722</v>
      </c>
      <c r="F1962" t="str">
        <f>"BCBS PAYABLE"</f>
        <v>BCBS PAYABLE</v>
      </c>
      <c r="G1962" s="3">
        <v>51673.599999999999</v>
      </c>
      <c r="H1962" t="str">
        <f t="shared" si="39"/>
        <v>BCBS PAYABLE</v>
      </c>
    </row>
    <row r="1963" spans="5:8" x14ac:dyDescent="0.25">
      <c r="E1963" t="str">
        <f>""</f>
        <v/>
      </c>
      <c r="F1963" t="str">
        <f>""</f>
        <v/>
      </c>
      <c r="H1963" t="str">
        <f t="shared" si="39"/>
        <v>BCBS PAYABLE</v>
      </c>
    </row>
    <row r="1964" spans="5:8" x14ac:dyDescent="0.25">
      <c r="E1964" t="str">
        <f>""</f>
        <v/>
      </c>
      <c r="F1964" t="str">
        <f>""</f>
        <v/>
      </c>
      <c r="H1964" t="str">
        <f t="shared" si="39"/>
        <v>BCBS PAYABLE</v>
      </c>
    </row>
    <row r="1965" spans="5:8" x14ac:dyDescent="0.25">
      <c r="E1965" t="str">
        <f>""</f>
        <v/>
      </c>
      <c r="F1965" t="str">
        <f>""</f>
        <v/>
      </c>
      <c r="H1965" t="str">
        <f t="shared" si="39"/>
        <v>BCBS PAYABLE</v>
      </c>
    </row>
    <row r="1966" spans="5:8" x14ac:dyDescent="0.25">
      <c r="E1966" t="str">
        <f>""</f>
        <v/>
      </c>
      <c r="F1966" t="str">
        <f>""</f>
        <v/>
      </c>
      <c r="H1966" t="str">
        <f t="shared" si="39"/>
        <v>BCBS PAYABLE</v>
      </c>
    </row>
    <row r="1967" spans="5:8" x14ac:dyDescent="0.25">
      <c r="E1967" t="str">
        <f>""</f>
        <v/>
      </c>
      <c r="F1967" t="str">
        <f>""</f>
        <v/>
      </c>
      <c r="H1967" t="str">
        <f t="shared" si="39"/>
        <v>BCBS PAYABLE</v>
      </c>
    </row>
    <row r="1968" spans="5:8" x14ac:dyDescent="0.25">
      <c r="E1968" t="str">
        <f>""</f>
        <v/>
      </c>
      <c r="F1968" t="str">
        <f>""</f>
        <v/>
      </c>
      <c r="H1968" t="str">
        <f t="shared" si="39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39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39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39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39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39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39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si="39"/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39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39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39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39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39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39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39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39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39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39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39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39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39"/>
        <v>BCBS PAYABLE</v>
      </c>
    </row>
    <row r="1989" spans="5:8" x14ac:dyDescent="0.25">
      <c r="E1989" t="str">
        <f>""</f>
        <v/>
      </c>
      <c r="F1989" t="str">
        <f>""</f>
        <v/>
      </c>
      <c r="H1989" t="str">
        <f t="shared" si="39"/>
        <v>BCBS PAYABLE</v>
      </c>
    </row>
    <row r="1990" spans="5:8" x14ac:dyDescent="0.25">
      <c r="E1990" t="str">
        <f>""</f>
        <v/>
      </c>
      <c r="F1990" t="str">
        <f>""</f>
        <v/>
      </c>
      <c r="H1990" t="str">
        <f t="shared" si="39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ref="H1991:H2054" si="40">"BCBS PAYABLE"</f>
        <v>BCBS PAYABLE</v>
      </c>
    </row>
    <row r="1992" spans="5:8" x14ac:dyDescent="0.25">
      <c r="E1992" t="str">
        <f>""</f>
        <v/>
      </c>
      <c r="F1992" t="str">
        <f>""</f>
        <v/>
      </c>
      <c r="H1992" t="str">
        <f t="shared" si="40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0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si="40"/>
        <v>BCBS PAYABLE</v>
      </c>
    </row>
    <row r="1995" spans="5:8" x14ac:dyDescent="0.25">
      <c r="E1995" t="str">
        <f>"2EC202102171723"</f>
        <v>2EC202102171723</v>
      </c>
      <c r="F1995" t="str">
        <f>"BCBS PAYABLE"</f>
        <v>BCBS PAYABLE</v>
      </c>
      <c r="G1995" s="3">
        <v>2348.8000000000002</v>
      </c>
      <c r="H1995" t="str">
        <f t="shared" si="40"/>
        <v>BCBS PAYABLE</v>
      </c>
    </row>
    <row r="1996" spans="5:8" x14ac:dyDescent="0.25">
      <c r="E1996" t="str">
        <f>""</f>
        <v/>
      </c>
      <c r="F1996" t="str">
        <f>""</f>
        <v/>
      </c>
      <c r="H1996" t="str">
        <f t="shared" si="40"/>
        <v>BCBS PAYABLE</v>
      </c>
    </row>
    <row r="1997" spans="5:8" x14ac:dyDescent="0.25">
      <c r="E1997" t="str">
        <f>"2EF202102021522"</f>
        <v>2EF202102021522</v>
      </c>
      <c r="F1997" t="str">
        <f>"BCBS PAYABLE"</f>
        <v>BCBS PAYABLE</v>
      </c>
      <c r="G1997" s="3">
        <v>1866.54</v>
      </c>
      <c r="H1997" t="str">
        <f t="shared" si="40"/>
        <v>BCBS PAYABLE</v>
      </c>
    </row>
    <row r="1998" spans="5:8" x14ac:dyDescent="0.25">
      <c r="E1998" t="str">
        <f>""</f>
        <v/>
      </c>
      <c r="F1998" t="str">
        <f>""</f>
        <v/>
      </c>
      <c r="H1998" t="str">
        <f t="shared" si="40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0"/>
        <v>BCBS PAYABLE</v>
      </c>
    </row>
    <row r="2000" spans="5:8" x14ac:dyDescent="0.25">
      <c r="E2000" t="str">
        <f>"2EF202102171722"</f>
        <v>2EF202102171722</v>
      </c>
      <c r="F2000" t="str">
        <f>"BCBS PAYABLE"</f>
        <v>BCBS PAYABLE</v>
      </c>
      <c r="G2000" s="3">
        <v>1866.54</v>
      </c>
      <c r="H2000" t="str">
        <f t="shared" si="40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0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0"/>
        <v>BCBS PAYABLE</v>
      </c>
    </row>
    <row r="2003" spans="5:8" x14ac:dyDescent="0.25">
      <c r="E2003" t="str">
        <f>"2EO202102021522"</f>
        <v>2EO202102021522</v>
      </c>
      <c r="F2003" t="str">
        <f>"BCBS PAYABLE"</f>
        <v>BCBS PAYABLE</v>
      </c>
      <c r="G2003" s="3">
        <v>108018.28</v>
      </c>
      <c r="H2003" t="str">
        <f t="shared" si="40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0"/>
        <v>BCBS PAYABLE</v>
      </c>
    </row>
    <row r="2005" spans="5:8" x14ac:dyDescent="0.25">
      <c r="E2005" t="str">
        <f>""</f>
        <v/>
      </c>
      <c r="F2005" t="str">
        <f>""</f>
        <v/>
      </c>
      <c r="H2005" t="str">
        <f t="shared" si="40"/>
        <v>BCBS PAYABLE</v>
      </c>
    </row>
    <row r="2006" spans="5:8" x14ac:dyDescent="0.25">
      <c r="E2006" t="str">
        <f>""</f>
        <v/>
      </c>
      <c r="F2006" t="str">
        <f>""</f>
        <v/>
      </c>
      <c r="H2006" t="str">
        <f t="shared" si="40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0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0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0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0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si="40"/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0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0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0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0"/>
        <v>BCBS PAYABLE</v>
      </c>
    </row>
    <row r="2016" spans="5:8" x14ac:dyDescent="0.25">
      <c r="E2016" t="str">
        <f>""</f>
        <v/>
      </c>
      <c r="F2016" t="str">
        <f>""</f>
        <v/>
      </c>
      <c r="H2016" t="str">
        <f t="shared" si="40"/>
        <v>BCBS PAYABLE</v>
      </c>
    </row>
    <row r="2017" spans="5:8" x14ac:dyDescent="0.25">
      <c r="E2017" t="str">
        <f>""</f>
        <v/>
      </c>
      <c r="F2017" t="str">
        <f>""</f>
        <v/>
      </c>
      <c r="H2017" t="str">
        <f t="shared" si="40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0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0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0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0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0"/>
        <v>BCBS PAYABLE</v>
      </c>
    </row>
    <row r="2023" spans="5:8" x14ac:dyDescent="0.25">
      <c r="E2023" t="str">
        <f>""</f>
        <v/>
      </c>
      <c r="F2023" t="str">
        <f>""</f>
        <v/>
      </c>
      <c r="H2023" t="str">
        <f t="shared" si="40"/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0"/>
        <v>BCBS PAYABLE</v>
      </c>
    </row>
    <row r="2025" spans="5:8" x14ac:dyDescent="0.25">
      <c r="E2025" t="str">
        <f>""</f>
        <v/>
      </c>
      <c r="F2025" t="str">
        <f>""</f>
        <v/>
      </c>
      <c r="H2025" t="str">
        <f t="shared" si="40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0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si="40"/>
        <v>BCBS PAYABLE</v>
      </c>
    </row>
    <row r="2028" spans="5:8" x14ac:dyDescent="0.25">
      <c r="E2028" t="str">
        <f>""</f>
        <v/>
      </c>
      <c r="F2028" t="str">
        <f>""</f>
        <v/>
      </c>
      <c r="H2028" t="str">
        <f t="shared" si="40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0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0"/>
        <v>BCBS PAYABLE</v>
      </c>
    </row>
    <row r="2031" spans="5:8" x14ac:dyDescent="0.25">
      <c r="E2031" t="str">
        <f>""</f>
        <v/>
      </c>
      <c r="F2031" t="str">
        <f>""</f>
        <v/>
      </c>
      <c r="H2031" t="str">
        <f t="shared" si="40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0"/>
        <v>BCBS PAYABLE</v>
      </c>
    </row>
    <row r="2033" spans="5:8" x14ac:dyDescent="0.25">
      <c r="E2033" t="str">
        <f>""</f>
        <v/>
      </c>
      <c r="F2033" t="str">
        <f>""</f>
        <v/>
      </c>
      <c r="H2033" t="str">
        <f t="shared" si="40"/>
        <v>BCBS PAYABLE</v>
      </c>
    </row>
    <row r="2034" spans="5:8" x14ac:dyDescent="0.25">
      <c r="E2034" t="str">
        <f>""</f>
        <v/>
      </c>
      <c r="F2034" t="str">
        <f>""</f>
        <v/>
      </c>
      <c r="H2034" t="str">
        <f t="shared" si="40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0"/>
        <v>BCBS PAYABLE</v>
      </c>
    </row>
    <row r="2036" spans="5:8" x14ac:dyDescent="0.25">
      <c r="E2036" t="str">
        <f>""</f>
        <v/>
      </c>
      <c r="F2036" t="str">
        <f>""</f>
        <v/>
      </c>
      <c r="H2036" t="str">
        <f t="shared" si="40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0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0"/>
        <v>BCBS PAYABLE</v>
      </c>
    </row>
    <row r="2039" spans="5:8" x14ac:dyDescent="0.25">
      <c r="E2039" t="str">
        <f>""</f>
        <v/>
      </c>
      <c r="F2039" t="str">
        <f>""</f>
        <v/>
      </c>
      <c r="H2039" t="str">
        <f t="shared" si="40"/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0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0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0"/>
        <v>BCBS PAYABLE</v>
      </c>
    </row>
    <row r="2043" spans="5:8" x14ac:dyDescent="0.25">
      <c r="E2043" t="str">
        <f>""</f>
        <v/>
      </c>
      <c r="F2043" t="str">
        <f>""</f>
        <v/>
      </c>
      <c r="H2043" t="str">
        <f t="shared" si="40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si="40"/>
        <v>BCBS PAYABLE</v>
      </c>
    </row>
    <row r="2045" spans="5:8" x14ac:dyDescent="0.25">
      <c r="E2045" t="str">
        <f>""</f>
        <v/>
      </c>
      <c r="F2045" t="str">
        <f>""</f>
        <v/>
      </c>
      <c r="H2045" t="str">
        <f t="shared" si="40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0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0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0"/>
        <v>BCBS PAYABLE</v>
      </c>
    </row>
    <row r="2049" spans="5:8" x14ac:dyDescent="0.25">
      <c r="E2049" t="str">
        <f>""</f>
        <v/>
      </c>
      <c r="F2049" t="str">
        <f>""</f>
        <v/>
      </c>
      <c r="H2049" t="str">
        <f t="shared" si="40"/>
        <v>BCBS PAYABLE</v>
      </c>
    </row>
    <row r="2050" spans="5:8" x14ac:dyDescent="0.25">
      <c r="E2050" t="str">
        <f>"2EO202102021523"</f>
        <v>2EO202102021523</v>
      </c>
      <c r="F2050" t="str">
        <f>"BCBS PAYABLE"</f>
        <v>BCBS PAYABLE</v>
      </c>
      <c r="G2050" s="3">
        <v>3076.47</v>
      </c>
      <c r="H2050" t="str">
        <f t="shared" si="40"/>
        <v>BCBS PAYABLE</v>
      </c>
    </row>
    <row r="2051" spans="5:8" x14ac:dyDescent="0.25">
      <c r="E2051" t="str">
        <f>"2EO202102171722"</f>
        <v>2EO202102171722</v>
      </c>
      <c r="F2051" t="str">
        <f>"BCBS PAYABLE"</f>
        <v>BCBS PAYABLE</v>
      </c>
      <c r="G2051" s="3">
        <v>108018.28</v>
      </c>
      <c r="H2051" t="str">
        <f t="shared" si="40"/>
        <v>BCBS PAYABLE</v>
      </c>
    </row>
    <row r="2052" spans="5:8" x14ac:dyDescent="0.25">
      <c r="E2052" t="str">
        <f>""</f>
        <v/>
      </c>
      <c r="F2052" t="str">
        <f>""</f>
        <v/>
      </c>
      <c r="H2052" t="str">
        <f t="shared" si="40"/>
        <v>BCBS PAYABLE</v>
      </c>
    </row>
    <row r="2053" spans="5:8" x14ac:dyDescent="0.25">
      <c r="E2053" t="str">
        <f>""</f>
        <v/>
      </c>
      <c r="F2053" t="str">
        <f>""</f>
        <v/>
      </c>
      <c r="H2053" t="str">
        <f t="shared" si="40"/>
        <v>BCBS PAYABLE</v>
      </c>
    </row>
    <row r="2054" spans="5:8" x14ac:dyDescent="0.25">
      <c r="E2054" t="str">
        <f>""</f>
        <v/>
      </c>
      <c r="F2054" t="str">
        <f>""</f>
        <v/>
      </c>
      <c r="H2054" t="str">
        <f t="shared" si="40"/>
        <v>BCBS PAYABLE</v>
      </c>
    </row>
    <row r="2055" spans="5:8" x14ac:dyDescent="0.25">
      <c r="E2055" t="str">
        <f>""</f>
        <v/>
      </c>
      <c r="F2055" t="str">
        <f>""</f>
        <v/>
      </c>
      <c r="H2055" t="str">
        <f t="shared" ref="H2055:H2118" si="41">"BCBS PAYABLE"</f>
        <v>BCBS PAYABLE</v>
      </c>
    </row>
    <row r="2056" spans="5:8" x14ac:dyDescent="0.25">
      <c r="E2056" t="str">
        <f>""</f>
        <v/>
      </c>
      <c r="F2056" t="str">
        <f>""</f>
        <v/>
      </c>
      <c r="H2056" t="str">
        <f t="shared" si="41"/>
        <v>BCBS PAYABLE</v>
      </c>
    </row>
    <row r="2057" spans="5:8" x14ac:dyDescent="0.25">
      <c r="E2057" t="str">
        <f>""</f>
        <v/>
      </c>
      <c r="F2057" t="str">
        <f>""</f>
        <v/>
      </c>
      <c r="H2057" t="str">
        <f t="shared" si="41"/>
        <v>BCBS PAYABLE</v>
      </c>
    </row>
    <row r="2058" spans="5:8" x14ac:dyDescent="0.25">
      <c r="E2058" t="str">
        <f>""</f>
        <v/>
      </c>
      <c r="F2058" t="str">
        <f>""</f>
        <v/>
      </c>
      <c r="H2058" t="str">
        <f t="shared" si="41"/>
        <v>BCBS PAYABLE</v>
      </c>
    </row>
    <row r="2059" spans="5:8" x14ac:dyDescent="0.25">
      <c r="E2059" t="str">
        <f>""</f>
        <v/>
      </c>
      <c r="F2059" t="str">
        <f>""</f>
        <v/>
      </c>
      <c r="H2059" t="str">
        <f t="shared" si="41"/>
        <v>BCBS PAYABLE</v>
      </c>
    </row>
    <row r="2060" spans="5:8" x14ac:dyDescent="0.25">
      <c r="E2060" t="str">
        <f>""</f>
        <v/>
      </c>
      <c r="F2060" t="str">
        <f>""</f>
        <v/>
      </c>
      <c r="H2060" t="str">
        <f t="shared" si="41"/>
        <v>BCBS PAYABLE</v>
      </c>
    </row>
    <row r="2061" spans="5:8" x14ac:dyDescent="0.25">
      <c r="E2061" t="str">
        <f>""</f>
        <v/>
      </c>
      <c r="F2061" t="str">
        <f>""</f>
        <v/>
      </c>
      <c r="H2061" t="str">
        <f t="shared" si="41"/>
        <v>BCBS PAYABLE</v>
      </c>
    </row>
    <row r="2062" spans="5:8" x14ac:dyDescent="0.25">
      <c r="E2062" t="str">
        <f>""</f>
        <v/>
      </c>
      <c r="F2062" t="str">
        <f>""</f>
        <v/>
      </c>
      <c r="H2062" t="str">
        <f t="shared" si="41"/>
        <v>BCBS PAYABLE</v>
      </c>
    </row>
    <row r="2063" spans="5:8" x14ac:dyDescent="0.25">
      <c r="E2063" t="str">
        <f>""</f>
        <v/>
      </c>
      <c r="F2063" t="str">
        <f>""</f>
        <v/>
      </c>
      <c r="H2063" t="str">
        <f t="shared" si="41"/>
        <v>BCBS PAYABLE</v>
      </c>
    </row>
    <row r="2064" spans="5:8" x14ac:dyDescent="0.25">
      <c r="E2064" t="str">
        <f>""</f>
        <v/>
      </c>
      <c r="F2064" t="str">
        <f>""</f>
        <v/>
      </c>
      <c r="H2064" t="str">
        <f t="shared" si="41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41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41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41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41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41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41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41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41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41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41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41"/>
        <v>BCBS PAYABLE</v>
      </c>
    </row>
    <row r="2076" spans="5:8" x14ac:dyDescent="0.25">
      <c r="E2076" t="str">
        <f>""</f>
        <v/>
      </c>
      <c r="F2076" t="str">
        <f>""</f>
        <v/>
      </c>
      <c r="H2076" t="str">
        <f t="shared" si="41"/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41"/>
        <v>BCBS PAYABLE</v>
      </c>
    </row>
    <row r="2078" spans="5:8" x14ac:dyDescent="0.25">
      <c r="E2078" t="str">
        <f>""</f>
        <v/>
      </c>
      <c r="F2078" t="str">
        <f>""</f>
        <v/>
      </c>
      <c r="H2078" t="str">
        <f t="shared" si="41"/>
        <v>BCBS PAYABLE</v>
      </c>
    </row>
    <row r="2079" spans="5:8" x14ac:dyDescent="0.25">
      <c r="E2079" t="str">
        <f>""</f>
        <v/>
      </c>
      <c r="F2079" t="str">
        <f>""</f>
        <v/>
      </c>
      <c r="H2079" t="str">
        <f t="shared" si="41"/>
        <v>BCBS PAYABLE</v>
      </c>
    </row>
    <row r="2080" spans="5:8" x14ac:dyDescent="0.25">
      <c r="E2080" t="str">
        <f>""</f>
        <v/>
      </c>
      <c r="F2080" t="str">
        <f>""</f>
        <v/>
      </c>
      <c r="H2080" t="str">
        <f t="shared" si="41"/>
        <v>BCBS PAYABLE</v>
      </c>
    </row>
    <row r="2081" spans="5:8" x14ac:dyDescent="0.25">
      <c r="E2081" t="str">
        <f>""</f>
        <v/>
      </c>
      <c r="F2081" t="str">
        <f>""</f>
        <v/>
      </c>
      <c r="H2081" t="str">
        <f t="shared" si="41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41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41"/>
        <v>BCBS PAYABLE</v>
      </c>
    </row>
    <row r="2084" spans="5:8" x14ac:dyDescent="0.25">
      <c r="E2084" t="str">
        <f>""</f>
        <v/>
      </c>
      <c r="F2084" t="str">
        <f>""</f>
        <v/>
      </c>
      <c r="H2084" t="str">
        <f t="shared" si="41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41"/>
        <v>BCBS PAYABLE</v>
      </c>
    </row>
    <row r="2086" spans="5:8" x14ac:dyDescent="0.25">
      <c r="E2086" t="str">
        <f>""</f>
        <v/>
      </c>
      <c r="F2086" t="str">
        <f>""</f>
        <v/>
      </c>
      <c r="H2086" t="str">
        <f t="shared" si="41"/>
        <v>BCBS PAYABLE</v>
      </c>
    </row>
    <row r="2087" spans="5:8" x14ac:dyDescent="0.25">
      <c r="E2087" t="str">
        <f>""</f>
        <v/>
      </c>
      <c r="F2087" t="str">
        <f>""</f>
        <v/>
      </c>
      <c r="H2087" t="str">
        <f t="shared" si="41"/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41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41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si="41"/>
        <v>BCBS PAYABLE</v>
      </c>
    </row>
    <row r="2091" spans="5:8" x14ac:dyDescent="0.25">
      <c r="E2091" t="str">
        <f>""</f>
        <v/>
      </c>
      <c r="F2091" t="str">
        <f>""</f>
        <v/>
      </c>
      <c r="H2091" t="str">
        <f t="shared" si="41"/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41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41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41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41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41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1"/>
        <v>BCBS PAYABLE</v>
      </c>
    </row>
    <row r="2098" spans="5:8" x14ac:dyDescent="0.25">
      <c r="E2098" t="str">
        <f>"2EO202102171723"</f>
        <v>2EO202102171723</v>
      </c>
      <c r="F2098" t="str">
        <f>"BCBS PAYABLE"</f>
        <v>BCBS PAYABLE</v>
      </c>
      <c r="G2098" s="3">
        <v>3076.47</v>
      </c>
      <c r="H2098" t="str">
        <f t="shared" si="41"/>
        <v>BCBS PAYABLE</v>
      </c>
    </row>
    <row r="2099" spans="5:8" x14ac:dyDescent="0.25">
      <c r="E2099" t="str">
        <f>"2ES202102021522"</f>
        <v>2ES202102021522</v>
      </c>
      <c r="F2099" t="str">
        <f>"BCBS PAYABLE"</f>
        <v>BCBS PAYABLE</v>
      </c>
      <c r="G2099" s="3">
        <v>17939.79</v>
      </c>
      <c r="H2099" t="str">
        <f t="shared" si="41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1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1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1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1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1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1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1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1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1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1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1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1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1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1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1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1"/>
        <v>BCBS PAYABLE</v>
      </c>
    </row>
    <row r="2116" spans="5:8" x14ac:dyDescent="0.25">
      <c r="E2116" t="str">
        <f>"2ES202102171722"</f>
        <v>2ES202102171722</v>
      </c>
      <c r="F2116" t="str">
        <f>"BCBS PAYABLE"</f>
        <v>BCBS PAYABLE</v>
      </c>
      <c r="G2116" s="3">
        <v>17939.79</v>
      </c>
      <c r="H2116" t="str">
        <f t="shared" si="41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1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1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ref="H2119:H2132" si="42">"BCBS PAYABLE"</f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2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2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2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2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2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2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2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2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2"/>
        <v>BCBS PAYABLE</v>
      </c>
    </row>
    <row r="2129" spans="1:8" x14ac:dyDescent="0.25">
      <c r="E2129" t="str">
        <f>""</f>
        <v/>
      </c>
      <c r="F2129" t="str">
        <f>""</f>
        <v/>
      </c>
      <c r="H2129" t="str">
        <f t="shared" si="42"/>
        <v>BCBS PAYABLE</v>
      </c>
    </row>
    <row r="2130" spans="1:8" x14ac:dyDescent="0.25">
      <c r="E2130" t="str">
        <f>""</f>
        <v/>
      </c>
      <c r="F2130" t="str">
        <f>""</f>
        <v/>
      </c>
      <c r="H2130" t="str">
        <f t="shared" si="42"/>
        <v>BCBS PAYABLE</v>
      </c>
    </row>
    <row r="2131" spans="1:8" x14ac:dyDescent="0.25">
      <c r="E2131" t="str">
        <f>""</f>
        <v/>
      </c>
      <c r="F2131" t="str">
        <f>""</f>
        <v/>
      </c>
      <c r="H2131" t="str">
        <f t="shared" si="42"/>
        <v>BCBS PAYABLE</v>
      </c>
    </row>
    <row r="2132" spans="1:8" x14ac:dyDescent="0.25">
      <c r="E2132" t="str">
        <f>""</f>
        <v/>
      </c>
      <c r="F2132" t="str">
        <f>""</f>
        <v/>
      </c>
      <c r="H2132" t="str">
        <f t="shared" si="42"/>
        <v>BCBS PAYABLE</v>
      </c>
    </row>
    <row r="2133" spans="1:8" x14ac:dyDescent="0.25">
      <c r="A2133" t="s">
        <v>346</v>
      </c>
      <c r="B2133">
        <v>903</v>
      </c>
      <c r="C2133" s="3">
        <v>13483.01</v>
      </c>
      <c r="D2133" s="6">
        <v>44232</v>
      </c>
      <c r="E2133" t="str">
        <f>"FSA202102021522"</f>
        <v>FSA202102021522</v>
      </c>
      <c r="F2133" t="str">
        <f>"TASC FSA"</f>
        <v>TASC FSA</v>
      </c>
      <c r="G2133" s="3">
        <v>7328.43</v>
      </c>
      <c r="H2133" t="str">
        <f>"TASC FSA"</f>
        <v>TASC FSA</v>
      </c>
    </row>
    <row r="2134" spans="1:8" x14ac:dyDescent="0.25">
      <c r="E2134" t="str">
        <f>"FSA202102021523"</f>
        <v>FSA202102021523</v>
      </c>
      <c r="F2134" t="str">
        <f>"TASC FSA"</f>
        <v>TASC FSA</v>
      </c>
      <c r="G2134" s="3">
        <v>328.74</v>
      </c>
      <c r="H2134" t="str">
        <f>"TASC FSA"</f>
        <v>TASC FSA</v>
      </c>
    </row>
    <row r="2135" spans="1:8" x14ac:dyDescent="0.25">
      <c r="E2135" t="str">
        <f>"FSC202102021522"</f>
        <v>FSC202102021522</v>
      </c>
      <c r="F2135" t="str">
        <f>"TASC DEPENDENT CARE"</f>
        <v>TASC DEPENDENT CARE</v>
      </c>
      <c r="G2135" s="3">
        <v>50</v>
      </c>
      <c r="H2135" t="str">
        <f>"TASC DEPENDENT CARE"</f>
        <v>TASC DEPENDENT CARE</v>
      </c>
    </row>
    <row r="2136" spans="1:8" x14ac:dyDescent="0.25">
      <c r="E2136" t="str">
        <f>"FSF202102021522"</f>
        <v>FSF202102021522</v>
      </c>
      <c r="F2136" t="str">
        <f>"TASC - FSA  FEES"</f>
        <v>TASC - FSA  FEES</v>
      </c>
      <c r="G2136" s="3">
        <v>244.8</v>
      </c>
      <c r="H2136" t="str">
        <f t="shared" ref="H2136:H2175" si="43">"TASC - FSA  FEES"</f>
        <v>TASC - FSA  FEES</v>
      </c>
    </row>
    <row r="2137" spans="1:8" x14ac:dyDescent="0.25">
      <c r="E2137" t="str">
        <f>""</f>
        <v/>
      </c>
      <c r="F2137" t="str">
        <f>""</f>
        <v/>
      </c>
      <c r="H2137" t="str">
        <f t="shared" si="43"/>
        <v>TASC - FSA  FEES</v>
      </c>
    </row>
    <row r="2138" spans="1:8" x14ac:dyDescent="0.25">
      <c r="E2138" t="str">
        <f>""</f>
        <v/>
      </c>
      <c r="F2138" t="str">
        <f>""</f>
        <v/>
      </c>
      <c r="H2138" t="str">
        <f t="shared" si="43"/>
        <v>TASC - FSA  FEES</v>
      </c>
    </row>
    <row r="2139" spans="1:8" x14ac:dyDescent="0.25">
      <c r="E2139" t="str">
        <f>""</f>
        <v/>
      </c>
      <c r="F2139" t="str">
        <f>""</f>
        <v/>
      </c>
      <c r="H2139" t="str">
        <f t="shared" si="43"/>
        <v>TASC - FSA  FEES</v>
      </c>
    </row>
    <row r="2140" spans="1:8" x14ac:dyDescent="0.25">
      <c r="E2140" t="str">
        <f>""</f>
        <v/>
      </c>
      <c r="F2140" t="str">
        <f>""</f>
        <v/>
      </c>
      <c r="H2140" t="str">
        <f t="shared" si="43"/>
        <v>TASC - FSA  FEES</v>
      </c>
    </row>
    <row r="2141" spans="1:8" x14ac:dyDescent="0.25">
      <c r="E2141" t="str">
        <f>""</f>
        <v/>
      </c>
      <c r="F2141" t="str">
        <f>""</f>
        <v/>
      </c>
      <c r="H2141" t="str">
        <f t="shared" si="43"/>
        <v>TASC - FSA  FEES</v>
      </c>
    </row>
    <row r="2142" spans="1:8" x14ac:dyDescent="0.25">
      <c r="E2142" t="str">
        <f>""</f>
        <v/>
      </c>
      <c r="F2142" t="str">
        <f>""</f>
        <v/>
      </c>
      <c r="H2142" t="str">
        <f t="shared" si="43"/>
        <v>TASC - FSA  FEES</v>
      </c>
    </row>
    <row r="2143" spans="1:8" x14ac:dyDescent="0.25">
      <c r="E2143" t="str">
        <f>""</f>
        <v/>
      </c>
      <c r="F2143" t="str">
        <f>""</f>
        <v/>
      </c>
      <c r="H2143" t="str">
        <f t="shared" si="43"/>
        <v>TASC - FSA  FEES</v>
      </c>
    </row>
    <row r="2144" spans="1:8" x14ac:dyDescent="0.25">
      <c r="E2144" t="str">
        <f>""</f>
        <v/>
      </c>
      <c r="F2144" t="str">
        <f>""</f>
        <v/>
      </c>
      <c r="H2144" t="str">
        <f t="shared" si="43"/>
        <v>TASC - FSA  FEES</v>
      </c>
    </row>
    <row r="2145" spans="5:8" x14ac:dyDescent="0.25">
      <c r="E2145" t="str">
        <f>""</f>
        <v/>
      </c>
      <c r="F2145" t="str">
        <f>""</f>
        <v/>
      </c>
      <c r="H2145" t="str">
        <f t="shared" si="43"/>
        <v>TASC - FSA  FEES</v>
      </c>
    </row>
    <row r="2146" spans="5:8" x14ac:dyDescent="0.25">
      <c r="E2146" t="str">
        <f>""</f>
        <v/>
      </c>
      <c r="F2146" t="str">
        <f>""</f>
        <v/>
      </c>
      <c r="H2146" t="str">
        <f t="shared" si="43"/>
        <v>TASC - FSA  FEES</v>
      </c>
    </row>
    <row r="2147" spans="5:8" x14ac:dyDescent="0.25">
      <c r="E2147" t="str">
        <f>""</f>
        <v/>
      </c>
      <c r="F2147" t="str">
        <f>""</f>
        <v/>
      </c>
      <c r="H2147" t="str">
        <f t="shared" si="43"/>
        <v>TASC - FSA  FEES</v>
      </c>
    </row>
    <row r="2148" spans="5:8" x14ac:dyDescent="0.25">
      <c r="E2148" t="str">
        <f>""</f>
        <v/>
      </c>
      <c r="F2148" t="str">
        <f>""</f>
        <v/>
      </c>
      <c r="H2148" t="str">
        <f t="shared" si="43"/>
        <v>TASC - FSA  FEES</v>
      </c>
    </row>
    <row r="2149" spans="5:8" x14ac:dyDescent="0.25">
      <c r="E2149" t="str">
        <f>""</f>
        <v/>
      </c>
      <c r="F2149" t="str">
        <f>""</f>
        <v/>
      </c>
      <c r="H2149" t="str">
        <f t="shared" si="43"/>
        <v>TASC - FSA  FEES</v>
      </c>
    </row>
    <row r="2150" spans="5:8" x14ac:dyDescent="0.25">
      <c r="E2150" t="str">
        <f>""</f>
        <v/>
      </c>
      <c r="F2150" t="str">
        <f>""</f>
        <v/>
      </c>
      <c r="H2150" t="str">
        <f t="shared" si="43"/>
        <v>TASC - FSA  FEES</v>
      </c>
    </row>
    <row r="2151" spans="5:8" x14ac:dyDescent="0.25">
      <c r="E2151" t="str">
        <f>""</f>
        <v/>
      </c>
      <c r="F2151" t="str">
        <f>""</f>
        <v/>
      </c>
      <c r="H2151" t="str">
        <f t="shared" si="43"/>
        <v>TASC - FSA  FEES</v>
      </c>
    </row>
    <row r="2152" spans="5:8" x14ac:dyDescent="0.25">
      <c r="E2152" t="str">
        <f>""</f>
        <v/>
      </c>
      <c r="F2152" t="str">
        <f>""</f>
        <v/>
      </c>
      <c r="H2152" t="str">
        <f t="shared" si="43"/>
        <v>TASC - FSA  FEES</v>
      </c>
    </row>
    <row r="2153" spans="5:8" x14ac:dyDescent="0.25">
      <c r="E2153" t="str">
        <f>""</f>
        <v/>
      </c>
      <c r="F2153" t="str">
        <f>""</f>
        <v/>
      </c>
      <c r="H2153" t="str">
        <f t="shared" si="43"/>
        <v>TASC - FSA  FEES</v>
      </c>
    </row>
    <row r="2154" spans="5:8" x14ac:dyDescent="0.25">
      <c r="E2154" t="str">
        <f>""</f>
        <v/>
      </c>
      <c r="F2154" t="str">
        <f>""</f>
        <v/>
      </c>
      <c r="H2154" t="str">
        <f t="shared" si="43"/>
        <v>TASC - FSA  FEES</v>
      </c>
    </row>
    <row r="2155" spans="5:8" x14ac:dyDescent="0.25">
      <c r="E2155" t="str">
        <f>""</f>
        <v/>
      </c>
      <c r="F2155" t="str">
        <f>""</f>
        <v/>
      </c>
      <c r="H2155" t="str">
        <f t="shared" si="43"/>
        <v>TASC - FSA  FEES</v>
      </c>
    </row>
    <row r="2156" spans="5:8" x14ac:dyDescent="0.25">
      <c r="E2156" t="str">
        <f>""</f>
        <v/>
      </c>
      <c r="F2156" t="str">
        <f>""</f>
        <v/>
      </c>
      <c r="H2156" t="str">
        <f t="shared" si="43"/>
        <v>TASC - FSA  FEES</v>
      </c>
    </row>
    <row r="2157" spans="5:8" x14ac:dyDescent="0.25">
      <c r="E2157" t="str">
        <f>""</f>
        <v/>
      </c>
      <c r="F2157" t="str">
        <f>""</f>
        <v/>
      </c>
      <c r="H2157" t="str">
        <f t="shared" si="43"/>
        <v>TASC - FSA  FEES</v>
      </c>
    </row>
    <row r="2158" spans="5:8" x14ac:dyDescent="0.25">
      <c r="E2158" t="str">
        <f>""</f>
        <v/>
      </c>
      <c r="F2158" t="str">
        <f>""</f>
        <v/>
      </c>
      <c r="H2158" t="str">
        <f t="shared" si="43"/>
        <v>TASC - FSA  FEES</v>
      </c>
    </row>
    <row r="2159" spans="5:8" x14ac:dyDescent="0.25">
      <c r="E2159" t="str">
        <f>""</f>
        <v/>
      </c>
      <c r="F2159" t="str">
        <f>""</f>
        <v/>
      </c>
      <c r="H2159" t="str">
        <f t="shared" si="43"/>
        <v>TASC - FSA  FEES</v>
      </c>
    </row>
    <row r="2160" spans="5:8" x14ac:dyDescent="0.25">
      <c r="E2160" t="str">
        <f>""</f>
        <v/>
      </c>
      <c r="F2160" t="str">
        <f>""</f>
        <v/>
      </c>
      <c r="H2160" t="str">
        <f t="shared" si="43"/>
        <v>TASC - FSA  FEES</v>
      </c>
    </row>
    <row r="2161" spans="5:8" x14ac:dyDescent="0.25">
      <c r="E2161" t="str">
        <f>""</f>
        <v/>
      </c>
      <c r="F2161" t="str">
        <f>""</f>
        <v/>
      </c>
      <c r="H2161" t="str">
        <f t="shared" si="43"/>
        <v>TASC - FSA  FEES</v>
      </c>
    </row>
    <row r="2162" spans="5:8" x14ac:dyDescent="0.25">
      <c r="E2162" t="str">
        <f>""</f>
        <v/>
      </c>
      <c r="F2162" t="str">
        <f>""</f>
        <v/>
      </c>
      <c r="H2162" t="str">
        <f t="shared" si="43"/>
        <v>TASC - FSA  FEES</v>
      </c>
    </row>
    <row r="2163" spans="5:8" x14ac:dyDescent="0.25">
      <c r="E2163" t="str">
        <f>""</f>
        <v/>
      </c>
      <c r="F2163" t="str">
        <f>""</f>
        <v/>
      </c>
      <c r="H2163" t="str">
        <f t="shared" si="43"/>
        <v>TASC - FSA  FEES</v>
      </c>
    </row>
    <row r="2164" spans="5:8" x14ac:dyDescent="0.25">
      <c r="E2164" t="str">
        <f>""</f>
        <v/>
      </c>
      <c r="F2164" t="str">
        <f>""</f>
        <v/>
      </c>
      <c r="H2164" t="str">
        <f t="shared" si="43"/>
        <v>TASC - FSA  FEES</v>
      </c>
    </row>
    <row r="2165" spans="5:8" x14ac:dyDescent="0.25">
      <c r="E2165" t="str">
        <f>""</f>
        <v/>
      </c>
      <c r="F2165" t="str">
        <f>""</f>
        <v/>
      </c>
      <c r="H2165" t="str">
        <f t="shared" si="43"/>
        <v>TASC - FSA  FEES</v>
      </c>
    </row>
    <row r="2166" spans="5:8" x14ac:dyDescent="0.25">
      <c r="E2166" t="str">
        <f>""</f>
        <v/>
      </c>
      <c r="F2166" t="str">
        <f>""</f>
        <v/>
      </c>
      <c r="H2166" t="str">
        <f t="shared" si="43"/>
        <v>TASC - FSA  FEES</v>
      </c>
    </row>
    <row r="2167" spans="5:8" x14ac:dyDescent="0.25">
      <c r="E2167" t="str">
        <f>""</f>
        <v/>
      </c>
      <c r="F2167" t="str">
        <f>""</f>
        <v/>
      </c>
      <c r="H2167" t="str">
        <f t="shared" si="43"/>
        <v>TASC - FSA  FEES</v>
      </c>
    </row>
    <row r="2168" spans="5:8" x14ac:dyDescent="0.25">
      <c r="E2168" t="str">
        <f>""</f>
        <v/>
      </c>
      <c r="F2168" t="str">
        <f>""</f>
        <v/>
      </c>
      <c r="H2168" t="str">
        <f t="shared" si="43"/>
        <v>TASC - FSA  FEES</v>
      </c>
    </row>
    <row r="2169" spans="5:8" x14ac:dyDescent="0.25">
      <c r="E2169" t="str">
        <f>""</f>
        <v/>
      </c>
      <c r="F2169" t="str">
        <f>""</f>
        <v/>
      </c>
      <c r="H2169" t="str">
        <f t="shared" si="43"/>
        <v>TASC - FSA  FEES</v>
      </c>
    </row>
    <row r="2170" spans="5:8" x14ac:dyDescent="0.25">
      <c r="E2170" t="str">
        <f>""</f>
        <v/>
      </c>
      <c r="F2170" t="str">
        <f>""</f>
        <v/>
      </c>
      <c r="H2170" t="str">
        <f t="shared" si="43"/>
        <v>TASC - FSA  FEES</v>
      </c>
    </row>
    <row r="2171" spans="5:8" x14ac:dyDescent="0.25">
      <c r="E2171" t="str">
        <f>""</f>
        <v/>
      </c>
      <c r="F2171" t="str">
        <f>""</f>
        <v/>
      </c>
      <c r="H2171" t="str">
        <f t="shared" si="43"/>
        <v>TASC - FSA  FEES</v>
      </c>
    </row>
    <row r="2172" spans="5:8" x14ac:dyDescent="0.25">
      <c r="E2172" t="str">
        <f>""</f>
        <v/>
      </c>
      <c r="F2172" t="str">
        <f>""</f>
        <v/>
      </c>
      <c r="H2172" t="str">
        <f t="shared" si="43"/>
        <v>TASC - FSA  FEES</v>
      </c>
    </row>
    <row r="2173" spans="5:8" x14ac:dyDescent="0.25">
      <c r="E2173" t="str">
        <f>""</f>
        <v/>
      </c>
      <c r="F2173" t="str">
        <f>""</f>
        <v/>
      </c>
      <c r="H2173" t="str">
        <f t="shared" si="43"/>
        <v>TASC - FSA  FEES</v>
      </c>
    </row>
    <row r="2174" spans="5:8" x14ac:dyDescent="0.25">
      <c r="E2174" t="str">
        <f>""</f>
        <v/>
      </c>
      <c r="F2174" t="str">
        <f>""</f>
        <v/>
      </c>
      <c r="H2174" t="str">
        <f t="shared" si="43"/>
        <v>TASC - FSA  FEES</v>
      </c>
    </row>
    <row r="2175" spans="5:8" x14ac:dyDescent="0.25">
      <c r="E2175" t="str">
        <f>"FSF202102021523"</f>
        <v>FSF202102021523</v>
      </c>
      <c r="F2175" t="str">
        <f>"TASC - FSA  FEES"</f>
        <v>TASC - FSA  FEES</v>
      </c>
      <c r="G2175" s="3">
        <v>10.8</v>
      </c>
      <c r="H2175" t="str">
        <f t="shared" si="43"/>
        <v>TASC - FSA  FEES</v>
      </c>
    </row>
    <row r="2176" spans="5:8" x14ac:dyDescent="0.25">
      <c r="E2176" t="str">
        <f>"HRA202102021522"</f>
        <v>HRA202102021522</v>
      </c>
      <c r="F2176" t="str">
        <f>"TASC HRA"</f>
        <v>TASC HRA</v>
      </c>
      <c r="G2176" s="3">
        <v>4667.04</v>
      </c>
      <c r="H2176" t="str">
        <f t="shared" ref="H2176:H2182" si="44">"TASC HRA"</f>
        <v>TASC HRA</v>
      </c>
    </row>
    <row r="2177" spans="5:8" x14ac:dyDescent="0.25">
      <c r="E2177" t="str">
        <f>""</f>
        <v/>
      </c>
      <c r="F2177" t="str">
        <f>""</f>
        <v/>
      </c>
      <c r="H2177" t="str">
        <f t="shared" si="44"/>
        <v>TASC HRA</v>
      </c>
    </row>
    <row r="2178" spans="5:8" x14ac:dyDescent="0.25">
      <c r="E2178" t="str">
        <f>""</f>
        <v/>
      </c>
      <c r="F2178" t="str">
        <f>""</f>
        <v/>
      </c>
      <c r="H2178" t="str">
        <f t="shared" si="44"/>
        <v>TASC HRA</v>
      </c>
    </row>
    <row r="2179" spans="5:8" x14ac:dyDescent="0.25">
      <c r="E2179" t="str">
        <f>""</f>
        <v/>
      </c>
      <c r="F2179" t="str">
        <f>""</f>
        <v/>
      </c>
      <c r="H2179" t="str">
        <f t="shared" si="44"/>
        <v>TASC HRA</v>
      </c>
    </row>
    <row r="2180" spans="5:8" x14ac:dyDescent="0.25">
      <c r="E2180" t="str">
        <f>""</f>
        <v/>
      </c>
      <c r="F2180" t="str">
        <f>""</f>
        <v/>
      </c>
      <c r="H2180" t="str">
        <f t="shared" si="44"/>
        <v>TASC HRA</v>
      </c>
    </row>
    <row r="2181" spans="5:8" x14ac:dyDescent="0.25">
      <c r="E2181" t="str">
        <f>""</f>
        <v/>
      </c>
      <c r="F2181" t="str">
        <f>""</f>
        <v/>
      </c>
      <c r="H2181" t="str">
        <f t="shared" si="44"/>
        <v>TASC HRA</v>
      </c>
    </row>
    <row r="2182" spans="5:8" x14ac:dyDescent="0.25">
      <c r="E2182" t="str">
        <f>""</f>
        <v/>
      </c>
      <c r="F2182" t="str">
        <f>""</f>
        <v/>
      </c>
      <c r="H2182" t="str">
        <f t="shared" si="44"/>
        <v>TASC HRA</v>
      </c>
    </row>
    <row r="2183" spans="5:8" x14ac:dyDescent="0.25">
      <c r="E2183" t="str">
        <f>"HRF202102021522"</f>
        <v>HRF202102021522</v>
      </c>
      <c r="F2183" t="str">
        <f>"TASC - HRA FEES"</f>
        <v>TASC - HRA FEES</v>
      </c>
      <c r="G2183" s="3">
        <v>828</v>
      </c>
      <c r="H2183" t="str">
        <f t="shared" ref="H2183:H2214" si="45">"TASC - HRA FEES"</f>
        <v>TASC - HRA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45"/>
        <v>TASC - HRA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45"/>
        <v>TASC - HRA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45"/>
        <v>TASC - HRA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45"/>
        <v>TASC - HRA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45"/>
        <v>TASC - HRA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45"/>
        <v>TASC - HRA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45"/>
        <v>TASC - HRA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45"/>
        <v>TASC - HRA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45"/>
        <v>TASC - HRA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45"/>
        <v>TASC - HRA FEES</v>
      </c>
    </row>
    <row r="2194" spans="5:8" x14ac:dyDescent="0.25">
      <c r="E2194" t="str">
        <f>""</f>
        <v/>
      </c>
      <c r="F2194" t="str">
        <f>""</f>
        <v/>
      </c>
      <c r="H2194" t="str">
        <f t="shared" si="45"/>
        <v>TASC - HRA FEES</v>
      </c>
    </row>
    <row r="2195" spans="5:8" x14ac:dyDescent="0.25">
      <c r="E2195" t="str">
        <f>""</f>
        <v/>
      </c>
      <c r="F2195" t="str">
        <f>""</f>
        <v/>
      </c>
      <c r="H2195" t="str">
        <f t="shared" si="45"/>
        <v>TASC - HRA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45"/>
        <v>TASC - HRA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45"/>
        <v>TASC - HRA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45"/>
        <v>TASC - HRA FEES</v>
      </c>
    </row>
    <row r="2199" spans="5:8" x14ac:dyDescent="0.25">
      <c r="E2199" t="str">
        <f>""</f>
        <v/>
      </c>
      <c r="F2199" t="str">
        <f>""</f>
        <v/>
      </c>
      <c r="H2199" t="str">
        <f t="shared" si="45"/>
        <v>TASC - HRA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45"/>
        <v>TASC - HRA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45"/>
        <v>TASC - HRA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45"/>
        <v>TASC - HRA FEES</v>
      </c>
    </row>
    <row r="2203" spans="5:8" x14ac:dyDescent="0.25">
      <c r="E2203" t="str">
        <f>""</f>
        <v/>
      </c>
      <c r="F2203" t="str">
        <f>""</f>
        <v/>
      </c>
      <c r="H2203" t="str">
        <f t="shared" si="45"/>
        <v>TASC - HRA FEES</v>
      </c>
    </row>
    <row r="2204" spans="5:8" x14ac:dyDescent="0.25">
      <c r="E2204" t="str">
        <f>""</f>
        <v/>
      </c>
      <c r="F2204" t="str">
        <f>""</f>
        <v/>
      </c>
      <c r="H2204" t="str">
        <f t="shared" si="45"/>
        <v>TASC - HRA FEES</v>
      </c>
    </row>
    <row r="2205" spans="5:8" x14ac:dyDescent="0.25">
      <c r="E2205" t="str">
        <f>""</f>
        <v/>
      </c>
      <c r="F2205" t="str">
        <f>""</f>
        <v/>
      </c>
      <c r="H2205" t="str">
        <f t="shared" si="45"/>
        <v>TASC - HRA FEES</v>
      </c>
    </row>
    <row r="2206" spans="5:8" x14ac:dyDescent="0.25">
      <c r="E2206" t="str">
        <f>""</f>
        <v/>
      </c>
      <c r="F2206" t="str">
        <f>""</f>
        <v/>
      </c>
      <c r="H2206" t="str">
        <f t="shared" si="45"/>
        <v>TASC - HRA FEES</v>
      </c>
    </row>
    <row r="2207" spans="5:8" x14ac:dyDescent="0.25">
      <c r="E2207" t="str">
        <f>""</f>
        <v/>
      </c>
      <c r="F2207" t="str">
        <f>""</f>
        <v/>
      </c>
      <c r="H2207" t="str">
        <f t="shared" si="45"/>
        <v>TASC - HRA FEES</v>
      </c>
    </row>
    <row r="2208" spans="5:8" x14ac:dyDescent="0.25">
      <c r="E2208" t="str">
        <f>""</f>
        <v/>
      </c>
      <c r="F2208" t="str">
        <f>""</f>
        <v/>
      </c>
      <c r="H2208" t="str">
        <f t="shared" si="45"/>
        <v>TASC - HRA FEES</v>
      </c>
    </row>
    <row r="2209" spans="5:8" x14ac:dyDescent="0.25">
      <c r="E2209" t="str">
        <f>""</f>
        <v/>
      </c>
      <c r="F2209" t="str">
        <f>""</f>
        <v/>
      </c>
      <c r="H2209" t="str">
        <f t="shared" si="45"/>
        <v>TASC - HRA FEES</v>
      </c>
    </row>
    <row r="2210" spans="5:8" x14ac:dyDescent="0.25">
      <c r="E2210" t="str">
        <f>""</f>
        <v/>
      </c>
      <c r="F2210" t="str">
        <f>""</f>
        <v/>
      </c>
      <c r="H2210" t="str">
        <f t="shared" si="45"/>
        <v>TASC - HRA FEES</v>
      </c>
    </row>
    <row r="2211" spans="5:8" x14ac:dyDescent="0.25">
      <c r="E2211" t="str">
        <f>""</f>
        <v/>
      </c>
      <c r="F2211" t="str">
        <f>""</f>
        <v/>
      </c>
      <c r="H2211" t="str">
        <f t="shared" si="45"/>
        <v>TASC - HRA FEES</v>
      </c>
    </row>
    <row r="2212" spans="5:8" x14ac:dyDescent="0.25">
      <c r="E2212" t="str">
        <f>""</f>
        <v/>
      </c>
      <c r="F2212" t="str">
        <f>""</f>
        <v/>
      </c>
      <c r="H2212" t="str">
        <f t="shared" si="45"/>
        <v>TASC - HRA FEES</v>
      </c>
    </row>
    <row r="2213" spans="5:8" x14ac:dyDescent="0.25">
      <c r="E2213" t="str">
        <f>""</f>
        <v/>
      </c>
      <c r="F2213" t="str">
        <f>""</f>
        <v/>
      </c>
      <c r="H2213" t="str">
        <f t="shared" si="45"/>
        <v>TASC - HRA FEES</v>
      </c>
    </row>
    <row r="2214" spans="5:8" x14ac:dyDescent="0.25">
      <c r="E2214" t="str">
        <f>""</f>
        <v/>
      </c>
      <c r="F2214" t="str">
        <f>""</f>
        <v/>
      </c>
      <c r="H2214" t="str">
        <f t="shared" si="45"/>
        <v>TASC - HRA FEES</v>
      </c>
    </row>
    <row r="2215" spans="5:8" x14ac:dyDescent="0.25">
      <c r="E2215" t="str">
        <f>""</f>
        <v/>
      </c>
      <c r="F2215" t="str">
        <f>""</f>
        <v/>
      </c>
      <c r="H2215" t="str">
        <f t="shared" ref="H2215:H2234" si="46">"TASC - HRA FEES"</f>
        <v>TASC - HRA FEES</v>
      </c>
    </row>
    <row r="2216" spans="5:8" x14ac:dyDescent="0.25">
      <c r="E2216" t="str">
        <f>""</f>
        <v/>
      </c>
      <c r="F2216" t="str">
        <f>""</f>
        <v/>
      </c>
      <c r="H2216" t="str">
        <f t="shared" si="46"/>
        <v>TASC - HRA FEES</v>
      </c>
    </row>
    <row r="2217" spans="5:8" x14ac:dyDescent="0.25">
      <c r="E2217" t="str">
        <f>""</f>
        <v/>
      </c>
      <c r="F2217" t="str">
        <f>""</f>
        <v/>
      </c>
      <c r="H2217" t="str">
        <f t="shared" si="46"/>
        <v>TASC - HRA FEES</v>
      </c>
    </row>
    <row r="2218" spans="5:8" x14ac:dyDescent="0.25">
      <c r="E2218" t="str">
        <f>""</f>
        <v/>
      </c>
      <c r="F2218" t="str">
        <f>""</f>
        <v/>
      </c>
      <c r="H2218" t="str">
        <f t="shared" si="46"/>
        <v>TASC - HRA FEES</v>
      </c>
    </row>
    <row r="2219" spans="5:8" x14ac:dyDescent="0.25">
      <c r="E2219" t="str">
        <f>""</f>
        <v/>
      </c>
      <c r="F2219" t="str">
        <f>""</f>
        <v/>
      </c>
      <c r="H2219" t="str">
        <f t="shared" si="46"/>
        <v>TASC - HRA FEES</v>
      </c>
    </row>
    <row r="2220" spans="5:8" x14ac:dyDescent="0.25">
      <c r="E2220" t="str">
        <f>""</f>
        <v/>
      </c>
      <c r="F2220" t="str">
        <f>""</f>
        <v/>
      </c>
      <c r="H2220" t="str">
        <f t="shared" si="46"/>
        <v>TASC - HRA FEES</v>
      </c>
    </row>
    <row r="2221" spans="5:8" x14ac:dyDescent="0.25">
      <c r="E2221" t="str">
        <f>""</f>
        <v/>
      </c>
      <c r="F2221" t="str">
        <f>""</f>
        <v/>
      </c>
      <c r="H2221" t="str">
        <f t="shared" si="46"/>
        <v>TASC - HRA FEES</v>
      </c>
    </row>
    <row r="2222" spans="5:8" x14ac:dyDescent="0.25">
      <c r="E2222" t="str">
        <f>""</f>
        <v/>
      </c>
      <c r="F2222" t="str">
        <f>""</f>
        <v/>
      </c>
      <c r="H2222" t="str">
        <f t="shared" si="46"/>
        <v>TASC - HRA FEES</v>
      </c>
    </row>
    <row r="2223" spans="5:8" x14ac:dyDescent="0.25">
      <c r="E2223" t="str">
        <f>""</f>
        <v/>
      </c>
      <c r="F2223" t="str">
        <f>""</f>
        <v/>
      </c>
      <c r="H2223" t="str">
        <f t="shared" si="46"/>
        <v>TASC - HRA FEES</v>
      </c>
    </row>
    <row r="2224" spans="5:8" x14ac:dyDescent="0.25">
      <c r="E2224" t="str">
        <f>""</f>
        <v/>
      </c>
      <c r="F2224" t="str">
        <f>""</f>
        <v/>
      </c>
      <c r="H2224" t="str">
        <f t="shared" si="46"/>
        <v>TASC - HRA FEES</v>
      </c>
    </row>
    <row r="2225" spans="1:8" x14ac:dyDescent="0.25">
      <c r="E2225" t="str">
        <f>""</f>
        <v/>
      </c>
      <c r="F2225" t="str">
        <f>""</f>
        <v/>
      </c>
      <c r="H2225" t="str">
        <f t="shared" si="46"/>
        <v>TASC - HRA FEES</v>
      </c>
    </row>
    <row r="2226" spans="1:8" x14ac:dyDescent="0.25">
      <c r="E2226" t="str">
        <f>""</f>
        <v/>
      </c>
      <c r="F2226" t="str">
        <f>""</f>
        <v/>
      </c>
      <c r="H2226" t="str">
        <f t="shared" si="46"/>
        <v>TASC - HRA FEES</v>
      </c>
    </row>
    <row r="2227" spans="1:8" x14ac:dyDescent="0.25">
      <c r="E2227" t="str">
        <f>""</f>
        <v/>
      </c>
      <c r="F2227" t="str">
        <f>""</f>
        <v/>
      </c>
      <c r="H2227" t="str">
        <f t="shared" si="46"/>
        <v>TASC - HRA FEES</v>
      </c>
    </row>
    <row r="2228" spans="1:8" x14ac:dyDescent="0.25">
      <c r="E2228" t="str">
        <f>""</f>
        <v/>
      </c>
      <c r="F2228" t="str">
        <f>""</f>
        <v/>
      </c>
      <c r="H2228" t="str">
        <f t="shared" si="46"/>
        <v>TASC - HRA FEES</v>
      </c>
    </row>
    <row r="2229" spans="1:8" x14ac:dyDescent="0.25">
      <c r="E2229" t="str">
        <f>""</f>
        <v/>
      </c>
      <c r="F2229" t="str">
        <f>""</f>
        <v/>
      </c>
      <c r="H2229" t="str">
        <f t="shared" si="46"/>
        <v>TASC - HRA FEES</v>
      </c>
    </row>
    <row r="2230" spans="1:8" x14ac:dyDescent="0.25">
      <c r="E2230" t="str">
        <f>""</f>
        <v/>
      </c>
      <c r="F2230" t="str">
        <f>""</f>
        <v/>
      </c>
      <c r="H2230" t="str">
        <f t="shared" si="46"/>
        <v>TASC - HRA FEES</v>
      </c>
    </row>
    <row r="2231" spans="1:8" x14ac:dyDescent="0.25">
      <c r="E2231" t="str">
        <f>""</f>
        <v/>
      </c>
      <c r="F2231" t="str">
        <f>""</f>
        <v/>
      </c>
      <c r="H2231" t="str">
        <f t="shared" si="46"/>
        <v>TASC - HRA FEES</v>
      </c>
    </row>
    <row r="2232" spans="1:8" x14ac:dyDescent="0.25">
      <c r="E2232" t="str">
        <f>""</f>
        <v/>
      </c>
      <c r="F2232" t="str">
        <f>""</f>
        <v/>
      </c>
      <c r="H2232" t="str">
        <f t="shared" si="46"/>
        <v>TASC - HRA FEES</v>
      </c>
    </row>
    <row r="2233" spans="1:8" x14ac:dyDescent="0.25">
      <c r="E2233" t="str">
        <f>""</f>
        <v/>
      </c>
      <c r="F2233" t="str">
        <f>""</f>
        <v/>
      </c>
      <c r="H2233" t="str">
        <f t="shared" si="46"/>
        <v>TASC - HRA FEES</v>
      </c>
    </row>
    <row r="2234" spans="1:8" x14ac:dyDescent="0.25">
      <c r="E2234" t="str">
        <f>"HRF202102021523"</f>
        <v>HRF202102021523</v>
      </c>
      <c r="F2234" t="str">
        <f>"TASC - HRA FEES"</f>
        <v>TASC - HRA FEES</v>
      </c>
      <c r="G2234" s="3">
        <v>25.2</v>
      </c>
      <c r="H2234" t="str">
        <f t="shared" si="46"/>
        <v>TASC - HRA FEES</v>
      </c>
    </row>
    <row r="2235" spans="1:8" x14ac:dyDescent="0.25">
      <c r="A2235" t="s">
        <v>346</v>
      </c>
      <c r="B2235">
        <v>912</v>
      </c>
      <c r="C2235" s="3">
        <v>8815.9699999999993</v>
      </c>
      <c r="D2235" s="6">
        <v>44246</v>
      </c>
      <c r="E2235" t="str">
        <f>"FSA202102171722"</f>
        <v>FSA202102171722</v>
      </c>
      <c r="F2235" t="str">
        <f>"TASC FSA"</f>
        <v>TASC FSA</v>
      </c>
      <c r="G2235" s="3">
        <v>7328.43</v>
      </c>
      <c r="H2235" t="str">
        <f>"TASC FSA"</f>
        <v>TASC FSA</v>
      </c>
    </row>
    <row r="2236" spans="1:8" x14ac:dyDescent="0.25">
      <c r="E2236" t="str">
        <f>"FSA202102171723"</f>
        <v>FSA202102171723</v>
      </c>
      <c r="F2236" t="str">
        <f>"TASC FSA"</f>
        <v>TASC FSA</v>
      </c>
      <c r="G2236" s="3">
        <v>328.74</v>
      </c>
      <c r="H2236" t="str">
        <f>"TASC FSA"</f>
        <v>TASC FSA</v>
      </c>
    </row>
    <row r="2237" spans="1:8" x14ac:dyDescent="0.25">
      <c r="E2237" t="str">
        <f>"FSC202102171722"</f>
        <v>FSC202102171722</v>
      </c>
      <c r="F2237" t="str">
        <f>"TASC DEPENDENT CARE"</f>
        <v>TASC DEPENDENT CARE</v>
      </c>
      <c r="G2237" s="3">
        <v>50</v>
      </c>
      <c r="H2237" t="str">
        <f>"TASC DEPENDENT CARE"</f>
        <v>TASC DEPENDENT CARE</v>
      </c>
    </row>
    <row r="2238" spans="1:8" x14ac:dyDescent="0.25">
      <c r="E2238" t="str">
        <f>"FSF202102171722"</f>
        <v>FSF202102171722</v>
      </c>
      <c r="F2238" t="str">
        <f>"TASC - FSA  FEES"</f>
        <v>TASC - FSA  FEES</v>
      </c>
      <c r="G2238" s="3">
        <v>244.8</v>
      </c>
      <c r="H2238" t="str">
        <f t="shared" ref="H2238:H2277" si="47">"TASC - FSA  FEES"</f>
        <v>TASC - FSA  FEES</v>
      </c>
    </row>
    <row r="2239" spans="1:8" x14ac:dyDescent="0.25">
      <c r="E2239" t="str">
        <f>""</f>
        <v/>
      </c>
      <c r="F2239" t="str">
        <f>""</f>
        <v/>
      </c>
      <c r="H2239" t="str">
        <f t="shared" si="47"/>
        <v>TASC - FSA  FEES</v>
      </c>
    </row>
    <row r="2240" spans="1:8" x14ac:dyDescent="0.25">
      <c r="E2240" t="str">
        <f>""</f>
        <v/>
      </c>
      <c r="F2240" t="str">
        <f>""</f>
        <v/>
      </c>
      <c r="H2240" t="str">
        <f t="shared" si="47"/>
        <v>TASC - FSA  FEES</v>
      </c>
    </row>
    <row r="2241" spans="5:8" x14ac:dyDescent="0.25">
      <c r="E2241" t="str">
        <f>""</f>
        <v/>
      </c>
      <c r="F2241" t="str">
        <f>""</f>
        <v/>
      </c>
      <c r="H2241" t="str">
        <f t="shared" si="47"/>
        <v>TASC - FSA  FEES</v>
      </c>
    </row>
    <row r="2242" spans="5:8" x14ac:dyDescent="0.25">
      <c r="E2242" t="str">
        <f>""</f>
        <v/>
      </c>
      <c r="F2242" t="str">
        <f>""</f>
        <v/>
      </c>
      <c r="H2242" t="str">
        <f t="shared" si="47"/>
        <v>TASC - FSA  FEES</v>
      </c>
    </row>
    <row r="2243" spans="5:8" x14ac:dyDescent="0.25">
      <c r="E2243" t="str">
        <f>""</f>
        <v/>
      </c>
      <c r="F2243" t="str">
        <f>""</f>
        <v/>
      </c>
      <c r="H2243" t="str">
        <f t="shared" si="47"/>
        <v>TASC - FSA  FEES</v>
      </c>
    </row>
    <row r="2244" spans="5:8" x14ac:dyDescent="0.25">
      <c r="E2244" t="str">
        <f>""</f>
        <v/>
      </c>
      <c r="F2244" t="str">
        <f>""</f>
        <v/>
      </c>
      <c r="H2244" t="str">
        <f t="shared" si="47"/>
        <v>TASC - FSA  FEES</v>
      </c>
    </row>
    <row r="2245" spans="5:8" x14ac:dyDescent="0.25">
      <c r="E2245" t="str">
        <f>""</f>
        <v/>
      </c>
      <c r="F2245" t="str">
        <f>""</f>
        <v/>
      </c>
      <c r="H2245" t="str">
        <f t="shared" si="47"/>
        <v>TASC - FSA  FEES</v>
      </c>
    </row>
    <row r="2246" spans="5:8" x14ac:dyDescent="0.25">
      <c r="E2246" t="str">
        <f>""</f>
        <v/>
      </c>
      <c r="F2246" t="str">
        <f>""</f>
        <v/>
      </c>
      <c r="H2246" t="str">
        <f t="shared" si="47"/>
        <v>TASC - FSA  FEES</v>
      </c>
    </row>
    <row r="2247" spans="5:8" x14ac:dyDescent="0.25">
      <c r="E2247" t="str">
        <f>""</f>
        <v/>
      </c>
      <c r="F2247" t="str">
        <f>""</f>
        <v/>
      </c>
      <c r="H2247" t="str">
        <f t="shared" si="47"/>
        <v>TASC - FSA  FEES</v>
      </c>
    </row>
    <row r="2248" spans="5:8" x14ac:dyDescent="0.25">
      <c r="E2248" t="str">
        <f>""</f>
        <v/>
      </c>
      <c r="F2248" t="str">
        <f>""</f>
        <v/>
      </c>
      <c r="H2248" t="str">
        <f t="shared" si="47"/>
        <v>TASC - FSA  FEES</v>
      </c>
    </row>
    <row r="2249" spans="5:8" x14ac:dyDescent="0.25">
      <c r="E2249" t="str">
        <f>""</f>
        <v/>
      </c>
      <c r="F2249" t="str">
        <f>""</f>
        <v/>
      </c>
      <c r="H2249" t="str">
        <f t="shared" si="47"/>
        <v>TASC - FSA  FEES</v>
      </c>
    </row>
    <row r="2250" spans="5:8" x14ac:dyDescent="0.25">
      <c r="E2250" t="str">
        <f>""</f>
        <v/>
      </c>
      <c r="F2250" t="str">
        <f>""</f>
        <v/>
      </c>
      <c r="H2250" t="str">
        <f t="shared" si="47"/>
        <v>TASC - FSA  FEES</v>
      </c>
    </row>
    <row r="2251" spans="5:8" x14ac:dyDescent="0.25">
      <c r="E2251" t="str">
        <f>""</f>
        <v/>
      </c>
      <c r="F2251" t="str">
        <f>""</f>
        <v/>
      </c>
      <c r="H2251" t="str">
        <f t="shared" si="47"/>
        <v>TASC - FSA  FEES</v>
      </c>
    </row>
    <row r="2252" spans="5:8" x14ac:dyDescent="0.25">
      <c r="E2252" t="str">
        <f>""</f>
        <v/>
      </c>
      <c r="F2252" t="str">
        <f>""</f>
        <v/>
      </c>
      <c r="H2252" t="str">
        <f t="shared" si="47"/>
        <v>TASC - FSA  FEES</v>
      </c>
    </row>
    <row r="2253" spans="5:8" x14ac:dyDescent="0.25">
      <c r="E2253" t="str">
        <f>""</f>
        <v/>
      </c>
      <c r="F2253" t="str">
        <f>""</f>
        <v/>
      </c>
      <c r="H2253" t="str">
        <f t="shared" si="47"/>
        <v>TASC - FSA  FEES</v>
      </c>
    </row>
    <row r="2254" spans="5:8" x14ac:dyDescent="0.25">
      <c r="E2254" t="str">
        <f>""</f>
        <v/>
      </c>
      <c r="F2254" t="str">
        <f>""</f>
        <v/>
      </c>
      <c r="H2254" t="str">
        <f t="shared" si="47"/>
        <v>TASC - FSA  FEES</v>
      </c>
    </row>
    <row r="2255" spans="5:8" x14ac:dyDescent="0.25">
      <c r="E2255" t="str">
        <f>""</f>
        <v/>
      </c>
      <c r="F2255" t="str">
        <f>""</f>
        <v/>
      </c>
      <c r="H2255" t="str">
        <f t="shared" si="47"/>
        <v>TASC - FSA  FEES</v>
      </c>
    </row>
    <row r="2256" spans="5:8" x14ac:dyDescent="0.25">
      <c r="E2256" t="str">
        <f>""</f>
        <v/>
      </c>
      <c r="F2256" t="str">
        <f>""</f>
        <v/>
      </c>
      <c r="H2256" t="str">
        <f t="shared" si="47"/>
        <v>TASC - FSA  FEES</v>
      </c>
    </row>
    <row r="2257" spans="5:8" x14ac:dyDescent="0.25">
      <c r="E2257" t="str">
        <f>""</f>
        <v/>
      </c>
      <c r="F2257" t="str">
        <f>""</f>
        <v/>
      </c>
      <c r="H2257" t="str">
        <f t="shared" si="47"/>
        <v>TASC - FSA  FEES</v>
      </c>
    </row>
    <row r="2258" spans="5:8" x14ac:dyDescent="0.25">
      <c r="E2258" t="str">
        <f>""</f>
        <v/>
      </c>
      <c r="F2258" t="str">
        <f>""</f>
        <v/>
      </c>
      <c r="H2258" t="str">
        <f t="shared" si="47"/>
        <v>TASC - FSA  FEES</v>
      </c>
    </row>
    <row r="2259" spans="5:8" x14ac:dyDescent="0.25">
      <c r="E2259" t="str">
        <f>""</f>
        <v/>
      </c>
      <c r="F2259" t="str">
        <f>""</f>
        <v/>
      </c>
      <c r="H2259" t="str">
        <f t="shared" si="47"/>
        <v>TASC - FSA  FEES</v>
      </c>
    </row>
    <row r="2260" spans="5:8" x14ac:dyDescent="0.25">
      <c r="E2260" t="str">
        <f>""</f>
        <v/>
      </c>
      <c r="F2260" t="str">
        <f>""</f>
        <v/>
      </c>
      <c r="H2260" t="str">
        <f t="shared" si="47"/>
        <v>TASC - FSA  FEES</v>
      </c>
    </row>
    <row r="2261" spans="5:8" x14ac:dyDescent="0.25">
      <c r="E2261" t="str">
        <f>""</f>
        <v/>
      </c>
      <c r="F2261" t="str">
        <f>""</f>
        <v/>
      </c>
      <c r="H2261" t="str">
        <f t="shared" si="47"/>
        <v>TASC - FSA  FEES</v>
      </c>
    </row>
    <row r="2262" spans="5:8" x14ac:dyDescent="0.25">
      <c r="E2262" t="str">
        <f>""</f>
        <v/>
      </c>
      <c r="F2262" t="str">
        <f>""</f>
        <v/>
      </c>
      <c r="H2262" t="str">
        <f t="shared" si="47"/>
        <v>TASC - FSA  FEES</v>
      </c>
    </row>
    <row r="2263" spans="5:8" x14ac:dyDescent="0.25">
      <c r="E2263" t="str">
        <f>""</f>
        <v/>
      </c>
      <c r="F2263" t="str">
        <f>""</f>
        <v/>
      </c>
      <c r="H2263" t="str">
        <f t="shared" si="47"/>
        <v>TASC - FSA  FEES</v>
      </c>
    </row>
    <row r="2264" spans="5:8" x14ac:dyDescent="0.25">
      <c r="E2264" t="str">
        <f>""</f>
        <v/>
      </c>
      <c r="F2264" t="str">
        <f>""</f>
        <v/>
      </c>
      <c r="H2264" t="str">
        <f t="shared" si="47"/>
        <v>TASC - FSA  FEES</v>
      </c>
    </row>
    <row r="2265" spans="5:8" x14ac:dyDescent="0.25">
      <c r="E2265" t="str">
        <f>""</f>
        <v/>
      </c>
      <c r="F2265" t="str">
        <f>""</f>
        <v/>
      </c>
      <c r="H2265" t="str">
        <f t="shared" si="47"/>
        <v>TASC - FSA  FEES</v>
      </c>
    </row>
    <row r="2266" spans="5:8" x14ac:dyDescent="0.25">
      <c r="E2266" t="str">
        <f>""</f>
        <v/>
      </c>
      <c r="F2266" t="str">
        <f>""</f>
        <v/>
      </c>
      <c r="H2266" t="str">
        <f t="shared" si="47"/>
        <v>TASC - FSA  FEES</v>
      </c>
    </row>
    <row r="2267" spans="5:8" x14ac:dyDescent="0.25">
      <c r="E2267" t="str">
        <f>""</f>
        <v/>
      </c>
      <c r="F2267" t="str">
        <f>""</f>
        <v/>
      </c>
      <c r="H2267" t="str">
        <f t="shared" si="47"/>
        <v>TASC - FSA  FEES</v>
      </c>
    </row>
    <row r="2268" spans="5:8" x14ac:dyDescent="0.25">
      <c r="E2268" t="str">
        <f>""</f>
        <v/>
      </c>
      <c r="F2268" t="str">
        <f>""</f>
        <v/>
      </c>
      <c r="H2268" t="str">
        <f t="shared" si="47"/>
        <v>TASC - FSA  FEES</v>
      </c>
    </row>
    <row r="2269" spans="5:8" x14ac:dyDescent="0.25">
      <c r="E2269" t="str">
        <f>""</f>
        <v/>
      </c>
      <c r="F2269" t="str">
        <f>""</f>
        <v/>
      </c>
      <c r="H2269" t="str">
        <f t="shared" si="47"/>
        <v>TASC - FSA  FEES</v>
      </c>
    </row>
    <row r="2270" spans="5:8" x14ac:dyDescent="0.25">
      <c r="E2270" t="str">
        <f>""</f>
        <v/>
      </c>
      <c r="F2270" t="str">
        <f>""</f>
        <v/>
      </c>
      <c r="H2270" t="str">
        <f t="shared" si="47"/>
        <v>TASC - FSA  FEES</v>
      </c>
    </row>
    <row r="2271" spans="5:8" x14ac:dyDescent="0.25">
      <c r="E2271" t="str">
        <f>""</f>
        <v/>
      </c>
      <c r="F2271" t="str">
        <f>""</f>
        <v/>
      </c>
      <c r="H2271" t="str">
        <f t="shared" si="47"/>
        <v>TASC - FSA  FEES</v>
      </c>
    </row>
    <row r="2272" spans="5:8" x14ac:dyDescent="0.25">
      <c r="E2272" t="str">
        <f>""</f>
        <v/>
      </c>
      <c r="F2272" t="str">
        <f>""</f>
        <v/>
      </c>
      <c r="H2272" t="str">
        <f t="shared" si="47"/>
        <v>TASC - FSA  FEES</v>
      </c>
    </row>
    <row r="2273" spans="5:8" x14ac:dyDescent="0.25">
      <c r="E2273" t="str">
        <f>""</f>
        <v/>
      </c>
      <c r="F2273" t="str">
        <f>""</f>
        <v/>
      </c>
      <c r="H2273" t="str">
        <f t="shared" si="47"/>
        <v>TASC - FSA  FEES</v>
      </c>
    </row>
    <row r="2274" spans="5:8" x14ac:dyDescent="0.25">
      <c r="E2274" t="str">
        <f>""</f>
        <v/>
      </c>
      <c r="F2274" t="str">
        <f>""</f>
        <v/>
      </c>
      <c r="H2274" t="str">
        <f t="shared" si="47"/>
        <v>TASC - FSA 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47"/>
        <v>TASC - FSA 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47"/>
        <v>TASC - FSA  FEES</v>
      </c>
    </row>
    <row r="2277" spans="5:8" x14ac:dyDescent="0.25">
      <c r="E2277" t="str">
        <f>"FSF202102171723"</f>
        <v>FSF202102171723</v>
      </c>
      <c r="F2277" t="str">
        <f>"TASC - FSA  FEES"</f>
        <v>TASC - FSA  FEES</v>
      </c>
      <c r="G2277" s="3">
        <v>10.8</v>
      </c>
      <c r="H2277" t="str">
        <f t="shared" si="47"/>
        <v>TASC - FSA  FEES</v>
      </c>
    </row>
    <row r="2278" spans="5:8" x14ac:dyDescent="0.25">
      <c r="E2278" t="str">
        <f>"HRF202102171722"</f>
        <v>HRF202102171722</v>
      </c>
      <c r="F2278" t="str">
        <f>"TASC - HRA FEES"</f>
        <v>TASC - HRA FEES</v>
      </c>
      <c r="G2278" s="3">
        <v>828</v>
      </c>
      <c r="H2278" t="str">
        <f t="shared" ref="H2278:H2309" si="48">"TASC - HRA FEES"</f>
        <v>TASC - HRA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48"/>
        <v>TASC - HRA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48"/>
        <v>TASC - HRA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48"/>
        <v>TASC - HRA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48"/>
        <v>TASC - HRA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48"/>
        <v>TASC - HRA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48"/>
        <v>TASC - HRA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48"/>
        <v>TASC - HRA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48"/>
        <v>TASC - HRA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48"/>
        <v>TASC - HRA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48"/>
        <v>TASC - HRA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48"/>
        <v>TASC - HRA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48"/>
        <v>TASC - HRA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48"/>
        <v>TASC - HRA FEES</v>
      </c>
    </row>
    <row r="2292" spans="5:8" x14ac:dyDescent="0.25">
      <c r="E2292" t="str">
        <f>""</f>
        <v/>
      </c>
      <c r="F2292" t="str">
        <f>""</f>
        <v/>
      </c>
      <c r="H2292" t="str">
        <f t="shared" si="48"/>
        <v>TASC - HRA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48"/>
        <v>TASC - HRA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48"/>
        <v>TASC - HRA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48"/>
        <v>TASC - HRA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48"/>
        <v>TASC - HRA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48"/>
        <v>TASC - HRA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48"/>
        <v>TASC - HRA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48"/>
        <v>TASC - HRA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48"/>
        <v>TASC - HRA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48"/>
        <v>TASC - HRA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48"/>
        <v>TASC - HRA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48"/>
        <v>TASC - HRA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48"/>
        <v>TASC - HRA FEES</v>
      </c>
    </row>
    <row r="2305" spans="5:8" x14ac:dyDescent="0.25">
      <c r="E2305" t="str">
        <f>""</f>
        <v/>
      </c>
      <c r="F2305" t="str">
        <f>""</f>
        <v/>
      </c>
      <c r="H2305" t="str">
        <f t="shared" si="48"/>
        <v>TASC - HRA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48"/>
        <v>TASC - HRA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48"/>
        <v>TASC - HRA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48"/>
        <v>TASC - HRA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48"/>
        <v>TASC - HRA FEES</v>
      </c>
    </row>
    <row r="2310" spans="5:8" x14ac:dyDescent="0.25">
      <c r="E2310" t="str">
        <f>""</f>
        <v/>
      </c>
      <c r="F2310" t="str">
        <f>""</f>
        <v/>
      </c>
      <c r="H2310" t="str">
        <f t="shared" ref="H2310:H2329" si="49">"TASC - HRA FEES"</f>
        <v>TASC - HRA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49"/>
        <v>TASC - HRA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49"/>
        <v>TASC - HRA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49"/>
        <v>TASC - HRA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49"/>
        <v>TASC - HRA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49"/>
        <v>TASC - HRA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49"/>
        <v>TASC - HRA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49"/>
        <v>TASC - HRA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49"/>
        <v>TASC - HRA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49"/>
        <v>TASC - HRA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49"/>
        <v>TASC - HRA FEES</v>
      </c>
    </row>
    <row r="2321" spans="1:8" x14ac:dyDescent="0.25">
      <c r="E2321" t="str">
        <f>""</f>
        <v/>
      </c>
      <c r="F2321" t="str">
        <f>""</f>
        <v/>
      </c>
      <c r="H2321" t="str">
        <f t="shared" si="49"/>
        <v>TASC - HRA FEES</v>
      </c>
    </row>
    <row r="2322" spans="1:8" x14ac:dyDescent="0.25">
      <c r="E2322" t="str">
        <f>""</f>
        <v/>
      </c>
      <c r="F2322" t="str">
        <f>""</f>
        <v/>
      </c>
      <c r="H2322" t="str">
        <f t="shared" si="49"/>
        <v>TASC - HRA FEES</v>
      </c>
    </row>
    <row r="2323" spans="1:8" x14ac:dyDescent="0.25">
      <c r="E2323" t="str">
        <f>""</f>
        <v/>
      </c>
      <c r="F2323" t="str">
        <f>""</f>
        <v/>
      </c>
      <c r="H2323" t="str">
        <f t="shared" si="49"/>
        <v>TASC - HRA FEES</v>
      </c>
    </row>
    <row r="2324" spans="1:8" x14ac:dyDescent="0.25">
      <c r="E2324" t="str">
        <f>""</f>
        <v/>
      </c>
      <c r="F2324" t="str">
        <f>""</f>
        <v/>
      </c>
      <c r="H2324" t="str">
        <f t="shared" si="49"/>
        <v>TASC - HRA FEES</v>
      </c>
    </row>
    <row r="2325" spans="1:8" x14ac:dyDescent="0.25">
      <c r="E2325" t="str">
        <f>""</f>
        <v/>
      </c>
      <c r="F2325" t="str">
        <f>""</f>
        <v/>
      </c>
      <c r="H2325" t="str">
        <f t="shared" si="49"/>
        <v>TASC - HRA FEES</v>
      </c>
    </row>
    <row r="2326" spans="1:8" x14ac:dyDescent="0.25">
      <c r="E2326" t="str">
        <f>""</f>
        <v/>
      </c>
      <c r="F2326" t="str">
        <f>""</f>
        <v/>
      </c>
      <c r="H2326" t="str">
        <f t="shared" si="49"/>
        <v>TASC - HRA FEES</v>
      </c>
    </row>
    <row r="2327" spans="1:8" x14ac:dyDescent="0.25">
      <c r="E2327" t="str">
        <f>""</f>
        <v/>
      </c>
      <c r="F2327" t="str">
        <f>""</f>
        <v/>
      </c>
      <c r="H2327" t="str">
        <f t="shared" si="49"/>
        <v>TASC - HRA FEES</v>
      </c>
    </row>
    <row r="2328" spans="1:8" x14ac:dyDescent="0.25">
      <c r="E2328" t="str">
        <f>""</f>
        <v/>
      </c>
      <c r="F2328" t="str">
        <f>""</f>
        <v/>
      </c>
      <c r="H2328" t="str">
        <f t="shared" si="49"/>
        <v>TASC - HRA FEES</v>
      </c>
    </row>
    <row r="2329" spans="1:8" x14ac:dyDescent="0.25">
      <c r="E2329" t="str">
        <f>"HRF202102171723"</f>
        <v>HRF202102171723</v>
      </c>
      <c r="F2329" t="str">
        <f>"TASC - HRA FEES"</f>
        <v>TASC - HRA FEES</v>
      </c>
      <c r="G2329" s="3">
        <v>25.2</v>
      </c>
      <c r="H2329" t="str">
        <f t="shared" si="49"/>
        <v>TASC - HRA FEES</v>
      </c>
    </row>
    <row r="2330" spans="1:8" x14ac:dyDescent="0.25">
      <c r="A2330" t="s">
        <v>347</v>
      </c>
      <c r="B2330">
        <v>902</v>
      </c>
      <c r="C2330" s="3">
        <v>4629.17</v>
      </c>
      <c r="D2330" s="6">
        <v>44232</v>
      </c>
      <c r="E2330" t="str">
        <f>"C2 202102021523"</f>
        <v>C2 202102021523</v>
      </c>
      <c r="F2330" t="str">
        <f>"0012982132CCL7445"</f>
        <v>0012982132CCL7445</v>
      </c>
      <c r="G2330" s="3">
        <v>692.31</v>
      </c>
      <c r="H2330" t="str">
        <f>"0012982132CCL7445"</f>
        <v>0012982132CCL7445</v>
      </c>
    </row>
    <row r="2331" spans="1:8" x14ac:dyDescent="0.25">
      <c r="E2331" t="str">
        <f>"C20202102021522"</f>
        <v>C20202102021522</v>
      </c>
      <c r="F2331" t="str">
        <f>"001003981107-12252"</f>
        <v>001003981107-12252</v>
      </c>
      <c r="G2331" s="3">
        <v>115.39</v>
      </c>
      <c r="H2331" t="str">
        <f>"001003981107-12252"</f>
        <v>001003981107-12252</v>
      </c>
    </row>
    <row r="2332" spans="1:8" x14ac:dyDescent="0.25">
      <c r="E2332" t="str">
        <f>"C42202102021522"</f>
        <v>C42202102021522</v>
      </c>
      <c r="F2332" t="str">
        <f>"001236769211-14410"</f>
        <v>001236769211-14410</v>
      </c>
      <c r="G2332" s="3">
        <v>230.31</v>
      </c>
      <c r="H2332" t="str">
        <f>"001236769211-14410"</f>
        <v>001236769211-14410</v>
      </c>
    </row>
    <row r="2333" spans="1:8" x14ac:dyDescent="0.25">
      <c r="E2333" t="str">
        <f>"C46202102021522"</f>
        <v>C46202102021522</v>
      </c>
      <c r="F2333" t="str">
        <f>"CAUSE# 11-14911"</f>
        <v>CAUSE# 11-14911</v>
      </c>
      <c r="G2333" s="3">
        <v>238.62</v>
      </c>
      <c r="H2333" t="str">
        <f>"CAUSE# 11-14911"</f>
        <v>CAUSE# 11-14911</v>
      </c>
    </row>
    <row r="2334" spans="1:8" x14ac:dyDescent="0.25">
      <c r="E2334" t="str">
        <f>"C60202102021522"</f>
        <v>C60202102021522</v>
      </c>
      <c r="F2334" t="str">
        <f>"00130730762012V300"</f>
        <v>00130730762012V300</v>
      </c>
      <c r="G2334" s="3">
        <v>399.32</v>
      </c>
      <c r="H2334" t="str">
        <f>"00130730762012V300"</f>
        <v>00130730762012V300</v>
      </c>
    </row>
    <row r="2335" spans="1:8" x14ac:dyDescent="0.25">
      <c r="E2335" t="str">
        <f>"C62202102021522"</f>
        <v>C62202102021522</v>
      </c>
      <c r="F2335" t="str">
        <f>"# 0012128865"</f>
        <v># 0012128865</v>
      </c>
      <c r="G2335" s="3">
        <v>243.23</v>
      </c>
      <c r="H2335" t="str">
        <f>"# 0012128865"</f>
        <v># 0012128865</v>
      </c>
    </row>
    <row r="2336" spans="1:8" x14ac:dyDescent="0.25">
      <c r="E2336" t="str">
        <f>"C66202102021522"</f>
        <v>C66202102021522</v>
      </c>
      <c r="F2336" t="str">
        <f>"# 0012871801"</f>
        <v># 0012871801</v>
      </c>
      <c r="G2336" s="3">
        <v>90</v>
      </c>
      <c r="H2336" t="str">
        <f>"# 0012871801"</f>
        <v># 0012871801</v>
      </c>
    </row>
    <row r="2337" spans="1:8" x14ac:dyDescent="0.25">
      <c r="E2337" t="str">
        <f>"C67202102021522"</f>
        <v>C67202102021522</v>
      </c>
      <c r="F2337" t="str">
        <f>"13154657"</f>
        <v>13154657</v>
      </c>
      <c r="G2337" s="3">
        <v>101.99</v>
      </c>
      <c r="H2337" t="str">
        <f>"13154657"</f>
        <v>13154657</v>
      </c>
    </row>
    <row r="2338" spans="1:8" x14ac:dyDescent="0.25">
      <c r="E2338" t="str">
        <f>"C69202102021522"</f>
        <v>C69202102021522</v>
      </c>
      <c r="F2338" t="str">
        <f>"0012046911423672"</f>
        <v>0012046911423672</v>
      </c>
      <c r="G2338" s="3">
        <v>187.38</v>
      </c>
      <c r="H2338" t="str">
        <f>"0012046911423672"</f>
        <v>0012046911423672</v>
      </c>
    </row>
    <row r="2339" spans="1:8" x14ac:dyDescent="0.25">
      <c r="E2339" t="str">
        <f>"C71202102021522"</f>
        <v>C71202102021522</v>
      </c>
      <c r="F2339" t="str">
        <f>"00137390532018V215"</f>
        <v>00137390532018V215</v>
      </c>
      <c r="G2339" s="3">
        <v>264</v>
      </c>
      <c r="H2339" t="str">
        <f>"00137390532018V215"</f>
        <v>00137390532018V215</v>
      </c>
    </row>
    <row r="2340" spans="1:8" x14ac:dyDescent="0.25">
      <c r="E2340" t="str">
        <f>"C72202102021522"</f>
        <v>C72202102021522</v>
      </c>
      <c r="F2340" t="str">
        <f>"0012797601C20130529B"</f>
        <v>0012797601C20130529B</v>
      </c>
      <c r="G2340" s="3">
        <v>241.85</v>
      </c>
      <c r="H2340" t="str">
        <f>"0012797601C20130529B"</f>
        <v>0012797601C20130529B</v>
      </c>
    </row>
    <row r="2341" spans="1:8" x14ac:dyDescent="0.25">
      <c r="E2341" t="str">
        <f>"C78202102021522"</f>
        <v>C78202102021522</v>
      </c>
      <c r="F2341" t="str">
        <f>"00105115972005106221"</f>
        <v>00105115972005106221</v>
      </c>
      <c r="G2341" s="3">
        <v>144.68</v>
      </c>
      <c r="H2341" t="str">
        <f>"00105115972005106221"</f>
        <v>00105115972005106221</v>
      </c>
    </row>
    <row r="2342" spans="1:8" x14ac:dyDescent="0.25">
      <c r="E2342" t="str">
        <f>"C83202102021522"</f>
        <v>C83202102021522</v>
      </c>
      <c r="F2342" t="str">
        <f>"0013096953150533"</f>
        <v>0013096953150533</v>
      </c>
      <c r="G2342" s="3">
        <v>346.15</v>
      </c>
      <c r="H2342" t="str">
        <f>"0013096953150533"</f>
        <v>0013096953150533</v>
      </c>
    </row>
    <row r="2343" spans="1:8" x14ac:dyDescent="0.25">
      <c r="E2343" t="str">
        <f>"C84202102021522"</f>
        <v>C84202102021522</v>
      </c>
      <c r="F2343" t="str">
        <f>"00128499834232566"</f>
        <v>00128499834232566</v>
      </c>
      <c r="G2343" s="3">
        <v>439.94</v>
      </c>
      <c r="H2343" t="str">
        <f>"00128499834232566"</f>
        <v>00128499834232566</v>
      </c>
    </row>
    <row r="2344" spans="1:8" x14ac:dyDescent="0.25">
      <c r="E2344" t="str">
        <f>"C85202102021522"</f>
        <v>C85202102021522</v>
      </c>
      <c r="F2344" t="str">
        <f>"0012469425201770874"</f>
        <v>0012469425201770874</v>
      </c>
      <c r="G2344" s="3">
        <v>138.46</v>
      </c>
      <c r="H2344" t="str">
        <f>"0012469425201770874"</f>
        <v>0012469425201770874</v>
      </c>
    </row>
    <row r="2345" spans="1:8" x14ac:dyDescent="0.25">
      <c r="E2345" t="str">
        <f>"C86202102021522"</f>
        <v>C86202102021522</v>
      </c>
      <c r="F2345" t="str">
        <f>"0013854015101285F"</f>
        <v>0013854015101285F</v>
      </c>
      <c r="G2345" s="3">
        <v>241.85</v>
      </c>
      <c r="H2345" t="str">
        <f>"0013854015101285F"</f>
        <v>0013854015101285F</v>
      </c>
    </row>
    <row r="2346" spans="1:8" x14ac:dyDescent="0.25">
      <c r="E2346" t="str">
        <f>"C87202102021522"</f>
        <v>C87202102021522</v>
      </c>
      <c r="F2346" t="str">
        <f>"0012963634L130019CVB"</f>
        <v>0012963634L130019CVB</v>
      </c>
      <c r="G2346" s="3">
        <v>249.23</v>
      </c>
      <c r="H2346" t="str">
        <f>"0012963634L130019CVB"</f>
        <v>0012963634L130019CVB</v>
      </c>
    </row>
    <row r="2347" spans="1:8" x14ac:dyDescent="0.25">
      <c r="E2347" t="str">
        <f>"C89202102021522"</f>
        <v>C89202102021522</v>
      </c>
      <c r="F2347" t="str">
        <f>"00127760434232477"</f>
        <v>00127760434232477</v>
      </c>
      <c r="G2347" s="3">
        <v>129.69</v>
      </c>
      <c r="H2347" t="str">
        <f>"00127760434232477"</f>
        <v>00127760434232477</v>
      </c>
    </row>
    <row r="2348" spans="1:8" x14ac:dyDescent="0.25">
      <c r="E2348" t="str">
        <f>"C90202102021522"</f>
        <v>C90202102021522</v>
      </c>
      <c r="F2348" t="str">
        <f>"00116477472008EM5013"</f>
        <v>00116477472008EM5013</v>
      </c>
      <c r="G2348" s="3">
        <v>134.77000000000001</v>
      </c>
      <c r="H2348" t="str">
        <f>"00116477472008EM5013"</f>
        <v>00116477472008EM5013</v>
      </c>
    </row>
    <row r="2349" spans="1:8" x14ac:dyDescent="0.25">
      <c r="A2349" t="s">
        <v>347</v>
      </c>
      <c r="B2349">
        <v>911</v>
      </c>
      <c r="C2349" s="3">
        <v>4629.17</v>
      </c>
      <c r="D2349" s="6">
        <v>44246</v>
      </c>
      <c r="E2349" t="str">
        <f>"C2 202102171723"</f>
        <v>C2 202102171723</v>
      </c>
      <c r="F2349" t="str">
        <f>"0012982132CCL7445"</f>
        <v>0012982132CCL7445</v>
      </c>
      <c r="G2349" s="3">
        <v>692.31</v>
      </c>
      <c r="H2349" t="str">
        <f>"0012982132CCL7445"</f>
        <v>0012982132CCL7445</v>
      </c>
    </row>
    <row r="2350" spans="1:8" x14ac:dyDescent="0.25">
      <c r="E2350" t="str">
        <f>"C20202102171722"</f>
        <v>C20202102171722</v>
      </c>
      <c r="F2350" t="str">
        <f>"001003981107-12252"</f>
        <v>001003981107-12252</v>
      </c>
      <c r="G2350" s="3">
        <v>115.39</v>
      </c>
      <c r="H2350" t="str">
        <f>"001003981107-12252"</f>
        <v>001003981107-12252</v>
      </c>
    </row>
    <row r="2351" spans="1:8" x14ac:dyDescent="0.25">
      <c r="E2351" t="str">
        <f>"C42202102171722"</f>
        <v>C42202102171722</v>
      </c>
      <c r="F2351" t="str">
        <f>"001236769211-14410"</f>
        <v>001236769211-14410</v>
      </c>
      <c r="G2351" s="3">
        <v>230.31</v>
      </c>
      <c r="H2351" t="str">
        <f>"001236769211-14410"</f>
        <v>001236769211-14410</v>
      </c>
    </row>
    <row r="2352" spans="1:8" x14ac:dyDescent="0.25">
      <c r="E2352" t="str">
        <f>"C46202102171722"</f>
        <v>C46202102171722</v>
      </c>
      <c r="F2352" t="str">
        <f>"CAUSE# 11-14911"</f>
        <v>CAUSE# 11-14911</v>
      </c>
      <c r="G2352" s="3">
        <v>238.62</v>
      </c>
      <c r="H2352" t="str">
        <f>"CAUSE# 11-14911"</f>
        <v>CAUSE# 11-14911</v>
      </c>
    </row>
    <row r="2353" spans="1:8" x14ac:dyDescent="0.25">
      <c r="E2353" t="str">
        <f>"C60202102171722"</f>
        <v>C60202102171722</v>
      </c>
      <c r="F2353" t="str">
        <f>"00130730762012V300"</f>
        <v>00130730762012V300</v>
      </c>
      <c r="G2353" s="3">
        <v>399.32</v>
      </c>
      <c r="H2353" t="str">
        <f>"00130730762012V300"</f>
        <v>00130730762012V300</v>
      </c>
    </row>
    <row r="2354" spans="1:8" x14ac:dyDescent="0.25">
      <c r="E2354" t="str">
        <f>"C62202102171722"</f>
        <v>C62202102171722</v>
      </c>
      <c r="F2354" t="str">
        <f>"# 0012128865"</f>
        <v># 0012128865</v>
      </c>
      <c r="G2354" s="3">
        <v>243.23</v>
      </c>
      <c r="H2354" t="str">
        <f>"# 0012128865"</f>
        <v># 0012128865</v>
      </c>
    </row>
    <row r="2355" spans="1:8" x14ac:dyDescent="0.25">
      <c r="E2355" t="str">
        <f>"C66202102171722"</f>
        <v>C66202102171722</v>
      </c>
      <c r="F2355" t="str">
        <f>"# 0012871801"</f>
        <v># 0012871801</v>
      </c>
      <c r="G2355" s="3">
        <v>90</v>
      </c>
      <c r="H2355" t="str">
        <f>"# 0012871801"</f>
        <v># 0012871801</v>
      </c>
    </row>
    <row r="2356" spans="1:8" x14ac:dyDescent="0.25">
      <c r="E2356" t="str">
        <f>"C67202102171722"</f>
        <v>C67202102171722</v>
      </c>
      <c r="F2356" t="str">
        <f>"13154657"</f>
        <v>13154657</v>
      </c>
      <c r="G2356" s="3">
        <v>101.99</v>
      </c>
      <c r="H2356" t="str">
        <f>"13154657"</f>
        <v>13154657</v>
      </c>
    </row>
    <row r="2357" spans="1:8" x14ac:dyDescent="0.25">
      <c r="E2357" t="str">
        <f>"C69202102171722"</f>
        <v>C69202102171722</v>
      </c>
      <c r="F2357" t="str">
        <f>"0012046911423672"</f>
        <v>0012046911423672</v>
      </c>
      <c r="G2357" s="3">
        <v>187.38</v>
      </c>
      <c r="H2357" t="str">
        <f>"0012046911423672"</f>
        <v>0012046911423672</v>
      </c>
    </row>
    <row r="2358" spans="1:8" x14ac:dyDescent="0.25">
      <c r="E2358" t="str">
        <f>"C71202102171722"</f>
        <v>C71202102171722</v>
      </c>
      <c r="F2358" t="str">
        <f>"00137390532018V215"</f>
        <v>00137390532018V215</v>
      </c>
      <c r="G2358" s="3">
        <v>264</v>
      </c>
      <c r="H2358" t="str">
        <f>"00137390532018V215"</f>
        <v>00137390532018V215</v>
      </c>
    </row>
    <row r="2359" spans="1:8" x14ac:dyDescent="0.25">
      <c r="E2359" t="str">
        <f>"C72202102171722"</f>
        <v>C72202102171722</v>
      </c>
      <c r="F2359" t="str">
        <f>"0012797601C20130529B"</f>
        <v>0012797601C20130529B</v>
      </c>
      <c r="G2359" s="3">
        <v>241.85</v>
      </c>
      <c r="H2359" t="str">
        <f>"0012797601C20130529B"</f>
        <v>0012797601C20130529B</v>
      </c>
    </row>
    <row r="2360" spans="1:8" x14ac:dyDescent="0.25">
      <c r="E2360" t="str">
        <f>"C78202102171722"</f>
        <v>C78202102171722</v>
      </c>
      <c r="F2360" t="str">
        <f>"00105115972005106221"</f>
        <v>00105115972005106221</v>
      </c>
      <c r="G2360" s="3">
        <v>144.68</v>
      </c>
      <c r="H2360" t="str">
        <f>"00105115972005106221"</f>
        <v>00105115972005106221</v>
      </c>
    </row>
    <row r="2361" spans="1:8" x14ac:dyDescent="0.25">
      <c r="E2361" t="str">
        <f>"C83202102171722"</f>
        <v>C83202102171722</v>
      </c>
      <c r="F2361" t="str">
        <f>"0013096953150533"</f>
        <v>0013096953150533</v>
      </c>
      <c r="G2361" s="3">
        <v>346.15</v>
      </c>
      <c r="H2361" t="str">
        <f>"0013096953150533"</f>
        <v>0013096953150533</v>
      </c>
    </row>
    <row r="2362" spans="1:8" x14ac:dyDescent="0.25">
      <c r="E2362" t="str">
        <f>"C84202102171722"</f>
        <v>C84202102171722</v>
      </c>
      <c r="F2362" t="str">
        <f>"00128499834232566"</f>
        <v>00128499834232566</v>
      </c>
      <c r="G2362" s="3">
        <v>439.94</v>
      </c>
      <c r="H2362" t="str">
        <f>"00128499834232566"</f>
        <v>00128499834232566</v>
      </c>
    </row>
    <row r="2363" spans="1:8" x14ac:dyDescent="0.25">
      <c r="E2363" t="str">
        <f>"C85202102171722"</f>
        <v>C85202102171722</v>
      </c>
      <c r="F2363" t="str">
        <f>"0012469425201770874"</f>
        <v>0012469425201770874</v>
      </c>
      <c r="G2363" s="3">
        <v>138.46</v>
      </c>
      <c r="H2363" t="str">
        <f>"0012469425201770874"</f>
        <v>0012469425201770874</v>
      </c>
    </row>
    <row r="2364" spans="1:8" x14ac:dyDescent="0.25">
      <c r="E2364" t="str">
        <f>"C86202102171722"</f>
        <v>C86202102171722</v>
      </c>
      <c r="F2364" t="str">
        <f>"0013854015101285F"</f>
        <v>0013854015101285F</v>
      </c>
      <c r="G2364" s="3">
        <v>241.85</v>
      </c>
      <c r="H2364" t="str">
        <f>"0013854015101285F"</f>
        <v>0013854015101285F</v>
      </c>
    </row>
    <row r="2365" spans="1:8" x14ac:dyDescent="0.25">
      <c r="E2365" t="str">
        <f>"C87202102171722"</f>
        <v>C87202102171722</v>
      </c>
      <c r="F2365" t="str">
        <f>"0012963634L130019CVB"</f>
        <v>0012963634L130019CVB</v>
      </c>
      <c r="G2365" s="3">
        <v>249.23</v>
      </c>
      <c r="H2365" t="str">
        <f>"0012963634L130019CVB"</f>
        <v>0012963634L130019CVB</v>
      </c>
    </row>
    <row r="2366" spans="1:8" x14ac:dyDescent="0.25">
      <c r="E2366" t="str">
        <f>"C89202102171722"</f>
        <v>C89202102171722</v>
      </c>
      <c r="F2366" t="str">
        <f>"00127760434232477"</f>
        <v>00127760434232477</v>
      </c>
      <c r="G2366" s="3">
        <v>129.69</v>
      </c>
      <c r="H2366" t="str">
        <f>"00127760434232477"</f>
        <v>00127760434232477</v>
      </c>
    </row>
    <row r="2367" spans="1:8" x14ac:dyDescent="0.25">
      <c r="E2367" t="str">
        <f>"C90202102171722"</f>
        <v>C90202102171722</v>
      </c>
      <c r="F2367" t="str">
        <f>"00116477472008EM5013"</f>
        <v>00116477472008EM5013</v>
      </c>
      <c r="G2367" s="3">
        <v>134.77000000000001</v>
      </c>
      <c r="H2367" t="str">
        <f>"00116477472008EM5013"</f>
        <v>00116477472008EM5013</v>
      </c>
    </row>
    <row r="2368" spans="1:8" x14ac:dyDescent="0.25">
      <c r="A2368" t="s">
        <v>348</v>
      </c>
      <c r="B2368">
        <v>913</v>
      </c>
      <c r="C2368" s="3">
        <v>379626.89</v>
      </c>
      <c r="D2368" s="6">
        <v>44246</v>
      </c>
      <c r="E2368" t="str">
        <f>"RET202102021522"</f>
        <v>RET202102021522</v>
      </c>
      <c r="F2368" t="str">
        <f>"TEXAS COUNTY &amp; DISTRICT RET"</f>
        <v>TEXAS COUNTY &amp; DISTRICT RET</v>
      </c>
      <c r="G2368" s="3">
        <v>176248.67</v>
      </c>
      <c r="H2368" t="str">
        <f t="shared" ref="H2368:H2399" si="50">"TEXAS COUNTY &amp; DISTRICT RET"</f>
        <v>TEXAS COUNTY &amp; DISTRICT RET</v>
      </c>
    </row>
    <row r="2369" spans="5:8" x14ac:dyDescent="0.25">
      <c r="E2369" t="str">
        <f>""</f>
        <v/>
      </c>
      <c r="F2369" t="str">
        <f>""</f>
        <v/>
      </c>
      <c r="H2369" t="str">
        <f t="shared" si="50"/>
        <v>TEXAS COUNTY &amp; DISTRICT RET</v>
      </c>
    </row>
    <row r="2370" spans="5:8" x14ac:dyDescent="0.25">
      <c r="E2370" t="str">
        <f>""</f>
        <v/>
      </c>
      <c r="F2370" t="str">
        <f>""</f>
        <v/>
      </c>
      <c r="H2370" t="str">
        <f t="shared" si="50"/>
        <v>TEXAS COUNTY &amp; DISTRICT RET</v>
      </c>
    </row>
    <row r="2371" spans="5:8" x14ac:dyDescent="0.25">
      <c r="E2371" t="str">
        <f>""</f>
        <v/>
      </c>
      <c r="F2371" t="str">
        <f>""</f>
        <v/>
      </c>
      <c r="H2371" t="str">
        <f t="shared" si="50"/>
        <v>TEXAS COUNTY &amp; DISTRICT RET</v>
      </c>
    </row>
    <row r="2372" spans="5:8" x14ac:dyDescent="0.25">
      <c r="E2372" t="str">
        <f>""</f>
        <v/>
      </c>
      <c r="F2372" t="str">
        <f>""</f>
        <v/>
      </c>
      <c r="H2372" t="str">
        <f t="shared" si="50"/>
        <v>TEXAS COUNTY &amp; DISTRICT RET</v>
      </c>
    </row>
    <row r="2373" spans="5:8" x14ac:dyDescent="0.25">
      <c r="E2373" t="str">
        <f>""</f>
        <v/>
      </c>
      <c r="F2373" t="str">
        <f>""</f>
        <v/>
      </c>
      <c r="H2373" t="str">
        <f t="shared" si="50"/>
        <v>TEXAS COUNTY &amp; DISTRICT RET</v>
      </c>
    </row>
    <row r="2374" spans="5:8" x14ac:dyDescent="0.25">
      <c r="E2374" t="str">
        <f>""</f>
        <v/>
      </c>
      <c r="F2374" t="str">
        <f>""</f>
        <v/>
      </c>
      <c r="H2374" t="str">
        <f t="shared" si="50"/>
        <v>TEXAS COUNTY &amp; DISTRICT RET</v>
      </c>
    </row>
    <row r="2375" spans="5:8" x14ac:dyDescent="0.25">
      <c r="E2375" t="str">
        <f>""</f>
        <v/>
      </c>
      <c r="F2375" t="str">
        <f>""</f>
        <v/>
      </c>
      <c r="H2375" t="str">
        <f t="shared" si="50"/>
        <v>TEXAS COUNTY &amp; DISTRICT RET</v>
      </c>
    </row>
    <row r="2376" spans="5:8" x14ac:dyDescent="0.25">
      <c r="E2376" t="str">
        <f>""</f>
        <v/>
      </c>
      <c r="F2376" t="str">
        <f>""</f>
        <v/>
      </c>
      <c r="H2376" t="str">
        <f t="shared" si="50"/>
        <v>TEXAS COUNTY &amp; DISTRICT RET</v>
      </c>
    </row>
    <row r="2377" spans="5:8" x14ac:dyDescent="0.25">
      <c r="E2377" t="str">
        <f>""</f>
        <v/>
      </c>
      <c r="F2377" t="str">
        <f>""</f>
        <v/>
      </c>
      <c r="H2377" t="str">
        <f t="shared" si="50"/>
        <v>TEXAS COUNTY &amp; DISTRICT RET</v>
      </c>
    </row>
    <row r="2378" spans="5:8" x14ac:dyDescent="0.25">
      <c r="E2378" t="str">
        <f>""</f>
        <v/>
      </c>
      <c r="F2378" t="str">
        <f>""</f>
        <v/>
      </c>
      <c r="H2378" t="str">
        <f t="shared" si="50"/>
        <v>TEXAS COUNTY &amp; DISTRICT RET</v>
      </c>
    </row>
    <row r="2379" spans="5:8" x14ac:dyDescent="0.25">
      <c r="E2379" t="str">
        <f>""</f>
        <v/>
      </c>
      <c r="F2379" t="str">
        <f>""</f>
        <v/>
      </c>
      <c r="H2379" t="str">
        <f t="shared" si="50"/>
        <v>TEXAS COUNTY &amp; DISTRICT RET</v>
      </c>
    </row>
    <row r="2380" spans="5:8" x14ac:dyDescent="0.25">
      <c r="E2380" t="str">
        <f>""</f>
        <v/>
      </c>
      <c r="F2380" t="str">
        <f>""</f>
        <v/>
      </c>
      <c r="H2380" t="str">
        <f t="shared" si="50"/>
        <v>TEXAS COUNTY &amp; DISTRICT RET</v>
      </c>
    </row>
    <row r="2381" spans="5:8" x14ac:dyDescent="0.25">
      <c r="E2381" t="str">
        <f>""</f>
        <v/>
      </c>
      <c r="F2381" t="str">
        <f>""</f>
        <v/>
      </c>
      <c r="H2381" t="str">
        <f t="shared" si="50"/>
        <v>TEXAS COUNTY &amp; DISTRICT RET</v>
      </c>
    </row>
    <row r="2382" spans="5:8" x14ac:dyDescent="0.25">
      <c r="E2382" t="str">
        <f>""</f>
        <v/>
      </c>
      <c r="F2382" t="str">
        <f>""</f>
        <v/>
      </c>
      <c r="H2382" t="str">
        <f t="shared" si="50"/>
        <v>TEXAS COUNTY &amp; DISTRICT RET</v>
      </c>
    </row>
    <row r="2383" spans="5:8" x14ac:dyDescent="0.25">
      <c r="E2383" t="str">
        <f>""</f>
        <v/>
      </c>
      <c r="F2383" t="str">
        <f>""</f>
        <v/>
      </c>
      <c r="H2383" t="str">
        <f t="shared" si="50"/>
        <v>TEXAS COUNTY &amp; DISTRICT RET</v>
      </c>
    </row>
    <row r="2384" spans="5:8" x14ac:dyDescent="0.25">
      <c r="E2384" t="str">
        <f>""</f>
        <v/>
      </c>
      <c r="F2384" t="str">
        <f>""</f>
        <v/>
      </c>
      <c r="H2384" t="str">
        <f t="shared" si="50"/>
        <v>TEXAS COUNTY &amp; DISTRICT RET</v>
      </c>
    </row>
    <row r="2385" spans="5:8" x14ac:dyDescent="0.25">
      <c r="E2385" t="str">
        <f>""</f>
        <v/>
      </c>
      <c r="F2385" t="str">
        <f>""</f>
        <v/>
      </c>
      <c r="H2385" t="str">
        <f t="shared" si="50"/>
        <v>TEXAS COUNTY &amp; DISTRICT RET</v>
      </c>
    </row>
    <row r="2386" spans="5:8" x14ac:dyDescent="0.25">
      <c r="E2386" t="str">
        <f>""</f>
        <v/>
      </c>
      <c r="F2386" t="str">
        <f>""</f>
        <v/>
      </c>
      <c r="H2386" t="str">
        <f t="shared" si="50"/>
        <v>TEXAS COUNTY &amp; DISTRICT RET</v>
      </c>
    </row>
    <row r="2387" spans="5:8" x14ac:dyDescent="0.25">
      <c r="E2387" t="str">
        <f>""</f>
        <v/>
      </c>
      <c r="F2387" t="str">
        <f>""</f>
        <v/>
      </c>
      <c r="H2387" t="str">
        <f t="shared" si="50"/>
        <v>TEXAS COUNTY &amp; DISTRICT RET</v>
      </c>
    </row>
    <row r="2388" spans="5:8" x14ac:dyDescent="0.25">
      <c r="E2388" t="str">
        <f>""</f>
        <v/>
      </c>
      <c r="F2388" t="str">
        <f>""</f>
        <v/>
      </c>
      <c r="H2388" t="str">
        <f t="shared" si="50"/>
        <v>TEXAS COUNTY &amp; DISTRICT RET</v>
      </c>
    </row>
    <row r="2389" spans="5:8" x14ac:dyDescent="0.25">
      <c r="E2389" t="str">
        <f>""</f>
        <v/>
      </c>
      <c r="F2389" t="str">
        <f>""</f>
        <v/>
      </c>
      <c r="H2389" t="str">
        <f t="shared" si="50"/>
        <v>TEXAS COUNTY &amp; DISTRICT RET</v>
      </c>
    </row>
    <row r="2390" spans="5:8" x14ac:dyDescent="0.25">
      <c r="E2390" t="str">
        <f>""</f>
        <v/>
      </c>
      <c r="F2390" t="str">
        <f>""</f>
        <v/>
      </c>
      <c r="H2390" t="str">
        <f t="shared" si="50"/>
        <v>TEXAS COUNTY &amp; DISTRICT RET</v>
      </c>
    </row>
    <row r="2391" spans="5:8" x14ac:dyDescent="0.25">
      <c r="E2391" t="str">
        <f>""</f>
        <v/>
      </c>
      <c r="F2391" t="str">
        <f>""</f>
        <v/>
      </c>
      <c r="H2391" t="str">
        <f t="shared" si="50"/>
        <v>TEXAS COUNTY &amp; DISTRICT RET</v>
      </c>
    </row>
    <row r="2392" spans="5:8" x14ac:dyDescent="0.25">
      <c r="E2392" t="str">
        <f>""</f>
        <v/>
      </c>
      <c r="F2392" t="str">
        <f>""</f>
        <v/>
      </c>
      <c r="H2392" t="str">
        <f t="shared" si="50"/>
        <v>TEXAS COUNTY &amp; DISTRICT RET</v>
      </c>
    </row>
    <row r="2393" spans="5:8" x14ac:dyDescent="0.25">
      <c r="E2393" t="str">
        <f>""</f>
        <v/>
      </c>
      <c r="F2393" t="str">
        <f>""</f>
        <v/>
      </c>
      <c r="H2393" t="str">
        <f t="shared" si="50"/>
        <v>TEXAS COUNTY &amp; DISTRICT RET</v>
      </c>
    </row>
    <row r="2394" spans="5:8" x14ac:dyDescent="0.25">
      <c r="E2394" t="str">
        <f>""</f>
        <v/>
      </c>
      <c r="F2394" t="str">
        <f>""</f>
        <v/>
      </c>
      <c r="H2394" t="str">
        <f t="shared" si="50"/>
        <v>TEXAS COUNTY &amp; DISTRICT RET</v>
      </c>
    </row>
    <row r="2395" spans="5:8" x14ac:dyDescent="0.25">
      <c r="E2395" t="str">
        <f>""</f>
        <v/>
      </c>
      <c r="F2395" t="str">
        <f>""</f>
        <v/>
      </c>
      <c r="H2395" t="str">
        <f t="shared" si="50"/>
        <v>TEXAS COUNTY &amp; DISTRICT RET</v>
      </c>
    </row>
    <row r="2396" spans="5:8" x14ac:dyDescent="0.25">
      <c r="E2396" t="str">
        <f>""</f>
        <v/>
      </c>
      <c r="F2396" t="str">
        <f>""</f>
        <v/>
      </c>
      <c r="H2396" t="str">
        <f t="shared" si="50"/>
        <v>TEXAS COUNTY &amp; DISTRICT RET</v>
      </c>
    </row>
    <row r="2397" spans="5:8" x14ac:dyDescent="0.25">
      <c r="E2397" t="str">
        <f>""</f>
        <v/>
      </c>
      <c r="F2397" t="str">
        <f>""</f>
        <v/>
      </c>
      <c r="H2397" t="str">
        <f t="shared" si="50"/>
        <v>TEXAS COUNTY &amp; DISTRICT RET</v>
      </c>
    </row>
    <row r="2398" spans="5:8" x14ac:dyDescent="0.25">
      <c r="E2398" t="str">
        <f>""</f>
        <v/>
      </c>
      <c r="F2398" t="str">
        <f>""</f>
        <v/>
      </c>
      <c r="H2398" t="str">
        <f t="shared" si="50"/>
        <v>TEXAS COUNTY &amp; DISTRICT RET</v>
      </c>
    </row>
    <row r="2399" spans="5:8" x14ac:dyDescent="0.25">
      <c r="E2399" t="str">
        <f>""</f>
        <v/>
      </c>
      <c r="F2399" t="str">
        <f>""</f>
        <v/>
      </c>
      <c r="H2399" t="str">
        <f t="shared" si="50"/>
        <v>TEXAS COUNTY &amp; DISTRICT RET</v>
      </c>
    </row>
    <row r="2400" spans="5:8" x14ac:dyDescent="0.25">
      <c r="E2400" t="str">
        <f>""</f>
        <v/>
      </c>
      <c r="F2400" t="str">
        <f>""</f>
        <v/>
      </c>
      <c r="H2400" t="str">
        <f t="shared" ref="H2400:H2419" si="51">"TEXAS COUNTY &amp; DISTRICT RET"</f>
        <v>TEXAS COUNTY &amp; DISTRICT RET</v>
      </c>
    </row>
    <row r="2401" spans="5:8" x14ac:dyDescent="0.25">
      <c r="E2401" t="str">
        <f>""</f>
        <v/>
      </c>
      <c r="F2401" t="str">
        <f>""</f>
        <v/>
      </c>
      <c r="H2401" t="str">
        <f t="shared" si="51"/>
        <v>TEXAS COUNTY &amp; DISTRICT RET</v>
      </c>
    </row>
    <row r="2402" spans="5:8" x14ac:dyDescent="0.25">
      <c r="E2402" t="str">
        <f>""</f>
        <v/>
      </c>
      <c r="F2402" t="str">
        <f>""</f>
        <v/>
      </c>
      <c r="H2402" t="str">
        <f t="shared" si="51"/>
        <v>TEXAS COUNTY &amp; DISTRICT RET</v>
      </c>
    </row>
    <row r="2403" spans="5:8" x14ac:dyDescent="0.25">
      <c r="E2403" t="str">
        <f>""</f>
        <v/>
      </c>
      <c r="F2403" t="str">
        <f>""</f>
        <v/>
      </c>
      <c r="H2403" t="str">
        <f t="shared" si="51"/>
        <v>TEXAS COUNTY &amp; DISTRICT RET</v>
      </c>
    </row>
    <row r="2404" spans="5:8" x14ac:dyDescent="0.25">
      <c r="E2404" t="str">
        <f>""</f>
        <v/>
      </c>
      <c r="F2404" t="str">
        <f>""</f>
        <v/>
      </c>
      <c r="H2404" t="str">
        <f t="shared" si="51"/>
        <v>TEXAS COUNTY &amp; DISTRICT RET</v>
      </c>
    </row>
    <row r="2405" spans="5:8" x14ac:dyDescent="0.25">
      <c r="E2405" t="str">
        <f>""</f>
        <v/>
      </c>
      <c r="F2405" t="str">
        <f>""</f>
        <v/>
      </c>
      <c r="H2405" t="str">
        <f t="shared" si="51"/>
        <v>TEXAS COUNTY &amp; DISTRICT RET</v>
      </c>
    </row>
    <row r="2406" spans="5:8" x14ac:dyDescent="0.25">
      <c r="E2406" t="str">
        <f>""</f>
        <v/>
      </c>
      <c r="F2406" t="str">
        <f>""</f>
        <v/>
      </c>
      <c r="H2406" t="str">
        <f t="shared" si="51"/>
        <v>TEXAS COUNTY &amp; DISTRICT RET</v>
      </c>
    </row>
    <row r="2407" spans="5:8" x14ac:dyDescent="0.25">
      <c r="E2407" t="str">
        <f>""</f>
        <v/>
      </c>
      <c r="F2407" t="str">
        <f>""</f>
        <v/>
      </c>
      <c r="H2407" t="str">
        <f t="shared" si="51"/>
        <v>TEXAS COUNTY &amp; DISTRICT RET</v>
      </c>
    </row>
    <row r="2408" spans="5:8" x14ac:dyDescent="0.25">
      <c r="E2408" t="str">
        <f>""</f>
        <v/>
      </c>
      <c r="F2408" t="str">
        <f>""</f>
        <v/>
      </c>
      <c r="H2408" t="str">
        <f t="shared" si="51"/>
        <v>TEXAS COUNTY &amp; DISTRICT RET</v>
      </c>
    </row>
    <row r="2409" spans="5:8" x14ac:dyDescent="0.25">
      <c r="E2409" t="str">
        <f>""</f>
        <v/>
      </c>
      <c r="F2409" t="str">
        <f>""</f>
        <v/>
      </c>
      <c r="H2409" t="str">
        <f t="shared" si="51"/>
        <v>TEXAS COUNTY &amp; DISTRICT RET</v>
      </c>
    </row>
    <row r="2410" spans="5:8" x14ac:dyDescent="0.25">
      <c r="E2410" t="str">
        <f>""</f>
        <v/>
      </c>
      <c r="F2410" t="str">
        <f>""</f>
        <v/>
      </c>
      <c r="H2410" t="str">
        <f t="shared" si="51"/>
        <v>TEXAS COUNTY &amp; DISTRICT RET</v>
      </c>
    </row>
    <row r="2411" spans="5:8" x14ac:dyDescent="0.25">
      <c r="E2411" t="str">
        <f>""</f>
        <v/>
      </c>
      <c r="F2411" t="str">
        <f>""</f>
        <v/>
      </c>
      <c r="H2411" t="str">
        <f t="shared" si="51"/>
        <v>TEXAS COUNTY &amp; DISTRICT RET</v>
      </c>
    </row>
    <row r="2412" spans="5:8" x14ac:dyDescent="0.25">
      <c r="E2412" t="str">
        <f>""</f>
        <v/>
      </c>
      <c r="F2412" t="str">
        <f>""</f>
        <v/>
      </c>
      <c r="H2412" t="str">
        <f t="shared" si="51"/>
        <v>TEXAS COUNTY &amp; DISTRICT RET</v>
      </c>
    </row>
    <row r="2413" spans="5:8" x14ac:dyDescent="0.25">
      <c r="E2413" t="str">
        <f>""</f>
        <v/>
      </c>
      <c r="F2413" t="str">
        <f>""</f>
        <v/>
      </c>
      <c r="H2413" t="str">
        <f t="shared" si="51"/>
        <v>TEXAS COUNTY &amp; DISTRICT RET</v>
      </c>
    </row>
    <row r="2414" spans="5:8" x14ac:dyDescent="0.25">
      <c r="E2414" t="str">
        <f>""</f>
        <v/>
      </c>
      <c r="F2414" t="str">
        <f>""</f>
        <v/>
      </c>
      <c r="H2414" t="str">
        <f t="shared" si="51"/>
        <v>TEXAS COUNTY &amp; DISTRICT RET</v>
      </c>
    </row>
    <row r="2415" spans="5:8" x14ac:dyDescent="0.25">
      <c r="E2415" t="str">
        <f>""</f>
        <v/>
      </c>
      <c r="F2415" t="str">
        <f>""</f>
        <v/>
      </c>
      <c r="H2415" t="str">
        <f t="shared" si="51"/>
        <v>TEXAS COUNTY &amp; DISTRICT RET</v>
      </c>
    </row>
    <row r="2416" spans="5:8" x14ac:dyDescent="0.25">
      <c r="E2416" t="str">
        <f>""</f>
        <v/>
      </c>
      <c r="F2416" t="str">
        <f>""</f>
        <v/>
      </c>
      <c r="H2416" t="str">
        <f t="shared" si="51"/>
        <v>TEXAS COUNTY &amp; DISTRICT RET</v>
      </c>
    </row>
    <row r="2417" spans="5:8" x14ac:dyDescent="0.25">
      <c r="E2417" t="str">
        <f>""</f>
        <v/>
      </c>
      <c r="F2417" t="str">
        <f>""</f>
        <v/>
      </c>
      <c r="H2417" t="str">
        <f t="shared" si="51"/>
        <v>TEXAS COUNTY &amp; DISTRICT RET</v>
      </c>
    </row>
    <row r="2418" spans="5:8" x14ac:dyDescent="0.25">
      <c r="E2418" t="str">
        <f>""</f>
        <v/>
      </c>
      <c r="F2418" t="str">
        <f>""</f>
        <v/>
      </c>
      <c r="H2418" t="str">
        <f t="shared" si="51"/>
        <v>TEXAS COUNTY &amp; DISTRICT RET</v>
      </c>
    </row>
    <row r="2419" spans="5:8" x14ac:dyDescent="0.25">
      <c r="E2419" t="str">
        <f>""</f>
        <v/>
      </c>
      <c r="F2419" t="str">
        <f>""</f>
        <v/>
      </c>
      <c r="H2419" t="str">
        <f t="shared" si="51"/>
        <v>TEXAS COUNTY &amp; DISTRICT RET</v>
      </c>
    </row>
    <row r="2420" spans="5:8" x14ac:dyDescent="0.25">
      <c r="E2420" t="str">
        <f>"RET202102021523"</f>
        <v>RET202102021523</v>
      </c>
      <c r="F2420" t="str">
        <f>"TEXAS COUNTY  DISTRICT RET"</f>
        <v>TEXAS COUNTY  DISTRICT RET</v>
      </c>
      <c r="G2420" s="3">
        <v>6064.17</v>
      </c>
      <c r="H2420" t="str">
        <f>"TEXAS COUNTY  DISTRICT RET"</f>
        <v>TEXAS COUNTY  DISTRICT RET</v>
      </c>
    </row>
    <row r="2421" spans="5:8" x14ac:dyDescent="0.25">
      <c r="E2421" t="str">
        <f>""</f>
        <v/>
      </c>
      <c r="F2421" t="str">
        <f>""</f>
        <v/>
      </c>
      <c r="H2421" t="str">
        <f>"TEXAS COUNTY  DISTRICT RET"</f>
        <v>TEXAS COUNTY  DISTRICT RET</v>
      </c>
    </row>
    <row r="2422" spans="5:8" x14ac:dyDescent="0.25">
      <c r="E2422" t="str">
        <f>"RET202102021524"</f>
        <v>RET202102021524</v>
      </c>
      <c r="F2422" t="str">
        <f>"TEXAS COUNTY &amp; DISTRICT RET"</f>
        <v>TEXAS COUNTY &amp; DISTRICT RET</v>
      </c>
      <c r="G2422" s="3">
        <v>7208.61</v>
      </c>
      <c r="H2422" t="str">
        <f t="shared" ref="H2422:H2453" si="52">"TEXAS COUNTY &amp; DISTRICT RET"</f>
        <v>TEXAS COUNTY &amp; DISTRICT RET</v>
      </c>
    </row>
    <row r="2423" spans="5:8" x14ac:dyDescent="0.25">
      <c r="E2423" t="str">
        <f>""</f>
        <v/>
      </c>
      <c r="F2423" t="str">
        <f>""</f>
        <v/>
      </c>
      <c r="H2423" t="str">
        <f t="shared" si="52"/>
        <v>TEXAS COUNTY &amp; DISTRICT RET</v>
      </c>
    </row>
    <row r="2424" spans="5:8" x14ac:dyDescent="0.25">
      <c r="E2424" t="str">
        <f>"RET202102171722"</f>
        <v>RET202102171722</v>
      </c>
      <c r="F2424" t="str">
        <f>"TEXAS COUNTY &amp; DISTRICT RET"</f>
        <v>TEXAS COUNTY &amp; DISTRICT RET</v>
      </c>
      <c r="G2424" s="3">
        <v>176484.86</v>
      </c>
      <c r="H2424" t="str">
        <f t="shared" si="52"/>
        <v>TEXAS COUNTY &amp; DISTRICT RET</v>
      </c>
    </row>
    <row r="2425" spans="5:8" x14ac:dyDescent="0.25">
      <c r="E2425" t="str">
        <f>""</f>
        <v/>
      </c>
      <c r="F2425" t="str">
        <f>""</f>
        <v/>
      </c>
      <c r="H2425" t="str">
        <f t="shared" si="52"/>
        <v>TEXAS COUNTY &amp; DISTRICT RET</v>
      </c>
    </row>
    <row r="2426" spans="5:8" x14ac:dyDescent="0.25">
      <c r="E2426" t="str">
        <f>""</f>
        <v/>
      </c>
      <c r="F2426" t="str">
        <f>""</f>
        <v/>
      </c>
      <c r="H2426" t="str">
        <f t="shared" si="52"/>
        <v>TEXAS COUNTY &amp; DISTRICT RET</v>
      </c>
    </row>
    <row r="2427" spans="5:8" x14ac:dyDescent="0.25">
      <c r="E2427" t="str">
        <f>""</f>
        <v/>
      </c>
      <c r="F2427" t="str">
        <f>""</f>
        <v/>
      </c>
      <c r="H2427" t="str">
        <f t="shared" si="52"/>
        <v>TEXAS COUNTY &amp; DISTRICT RET</v>
      </c>
    </row>
    <row r="2428" spans="5:8" x14ac:dyDescent="0.25">
      <c r="E2428" t="str">
        <f>""</f>
        <v/>
      </c>
      <c r="F2428" t="str">
        <f>""</f>
        <v/>
      </c>
      <c r="H2428" t="str">
        <f t="shared" si="52"/>
        <v>TEXAS COUNTY &amp; DISTRICT RET</v>
      </c>
    </row>
    <row r="2429" spans="5:8" x14ac:dyDescent="0.25">
      <c r="E2429" t="str">
        <f>""</f>
        <v/>
      </c>
      <c r="F2429" t="str">
        <f>""</f>
        <v/>
      </c>
      <c r="H2429" t="str">
        <f t="shared" si="52"/>
        <v>TEXAS COUNTY &amp; DISTRICT RET</v>
      </c>
    </row>
    <row r="2430" spans="5:8" x14ac:dyDescent="0.25">
      <c r="E2430" t="str">
        <f>""</f>
        <v/>
      </c>
      <c r="F2430" t="str">
        <f>""</f>
        <v/>
      </c>
      <c r="H2430" t="str">
        <f t="shared" si="52"/>
        <v>TEXAS COUNTY &amp; DISTRICT RET</v>
      </c>
    </row>
    <row r="2431" spans="5:8" x14ac:dyDescent="0.25">
      <c r="E2431" t="str">
        <f>""</f>
        <v/>
      </c>
      <c r="F2431" t="str">
        <f>""</f>
        <v/>
      </c>
      <c r="H2431" t="str">
        <f t="shared" si="52"/>
        <v>TEXAS COUNTY &amp; DISTRICT RET</v>
      </c>
    </row>
    <row r="2432" spans="5:8" x14ac:dyDescent="0.25">
      <c r="E2432" t="str">
        <f>""</f>
        <v/>
      </c>
      <c r="F2432" t="str">
        <f>""</f>
        <v/>
      </c>
      <c r="H2432" t="str">
        <f t="shared" si="52"/>
        <v>TEXAS COUNTY &amp; DISTRICT RET</v>
      </c>
    </row>
    <row r="2433" spans="5:8" x14ac:dyDescent="0.25">
      <c r="E2433" t="str">
        <f>""</f>
        <v/>
      </c>
      <c r="F2433" t="str">
        <f>""</f>
        <v/>
      </c>
      <c r="H2433" t="str">
        <f t="shared" si="52"/>
        <v>TEXAS COUNTY &amp; DISTRICT RET</v>
      </c>
    </row>
    <row r="2434" spans="5:8" x14ac:dyDescent="0.25">
      <c r="E2434" t="str">
        <f>""</f>
        <v/>
      </c>
      <c r="F2434" t="str">
        <f>""</f>
        <v/>
      </c>
      <c r="H2434" t="str">
        <f t="shared" si="52"/>
        <v>TEXAS COUNTY &amp; DISTRICT RET</v>
      </c>
    </row>
    <row r="2435" spans="5:8" x14ac:dyDescent="0.25">
      <c r="E2435" t="str">
        <f>""</f>
        <v/>
      </c>
      <c r="F2435" t="str">
        <f>""</f>
        <v/>
      </c>
      <c r="H2435" t="str">
        <f t="shared" si="52"/>
        <v>TEXAS COUNTY &amp; DISTRICT RET</v>
      </c>
    </row>
    <row r="2436" spans="5:8" x14ac:dyDescent="0.25">
      <c r="E2436" t="str">
        <f>""</f>
        <v/>
      </c>
      <c r="F2436" t="str">
        <f>""</f>
        <v/>
      </c>
      <c r="H2436" t="str">
        <f t="shared" si="52"/>
        <v>TEXAS COUNTY &amp; DISTRICT RET</v>
      </c>
    </row>
    <row r="2437" spans="5:8" x14ac:dyDescent="0.25">
      <c r="E2437" t="str">
        <f>""</f>
        <v/>
      </c>
      <c r="F2437" t="str">
        <f>""</f>
        <v/>
      </c>
      <c r="H2437" t="str">
        <f t="shared" si="52"/>
        <v>TEXAS COUNTY &amp; DISTRICT RET</v>
      </c>
    </row>
    <row r="2438" spans="5:8" x14ac:dyDescent="0.25">
      <c r="E2438" t="str">
        <f>""</f>
        <v/>
      </c>
      <c r="F2438" t="str">
        <f>""</f>
        <v/>
      </c>
      <c r="H2438" t="str">
        <f t="shared" si="52"/>
        <v>TEXAS COUNTY &amp; DISTRICT RET</v>
      </c>
    </row>
    <row r="2439" spans="5:8" x14ac:dyDescent="0.25">
      <c r="E2439" t="str">
        <f>""</f>
        <v/>
      </c>
      <c r="F2439" t="str">
        <f>""</f>
        <v/>
      </c>
      <c r="H2439" t="str">
        <f t="shared" si="52"/>
        <v>TEXAS COUNTY &amp; DISTRICT RET</v>
      </c>
    </row>
    <row r="2440" spans="5:8" x14ac:dyDescent="0.25">
      <c r="E2440" t="str">
        <f>""</f>
        <v/>
      </c>
      <c r="F2440" t="str">
        <f>""</f>
        <v/>
      </c>
      <c r="H2440" t="str">
        <f t="shared" si="52"/>
        <v>TEXAS COUNTY &amp; DISTRICT RET</v>
      </c>
    </row>
    <row r="2441" spans="5:8" x14ac:dyDescent="0.25">
      <c r="E2441" t="str">
        <f>""</f>
        <v/>
      </c>
      <c r="F2441" t="str">
        <f>""</f>
        <v/>
      </c>
      <c r="H2441" t="str">
        <f t="shared" si="52"/>
        <v>TEXAS COUNTY &amp; DISTRICT RET</v>
      </c>
    </row>
    <row r="2442" spans="5:8" x14ac:dyDescent="0.25">
      <c r="E2442" t="str">
        <f>""</f>
        <v/>
      </c>
      <c r="F2442" t="str">
        <f>""</f>
        <v/>
      </c>
      <c r="H2442" t="str">
        <f t="shared" si="52"/>
        <v>TEXAS COUNTY &amp; DISTRICT RET</v>
      </c>
    </row>
    <row r="2443" spans="5:8" x14ac:dyDescent="0.25">
      <c r="E2443" t="str">
        <f>""</f>
        <v/>
      </c>
      <c r="F2443" t="str">
        <f>""</f>
        <v/>
      </c>
      <c r="H2443" t="str">
        <f t="shared" si="52"/>
        <v>TEXAS COUNTY &amp; DISTRICT RET</v>
      </c>
    </row>
    <row r="2444" spans="5:8" x14ac:dyDescent="0.25">
      <c r="E2444" t="str">
        <f>""</f>
        <v/>
      </c>
      <c r="F2444" t="str">
        <f>""</f>
        <v/>
      </c>
      <c r="H2444" t="str">
        <f t="shared" si="52"/>
        <v>TEXAS COUNTY &amp; DISTRICT RET</v>
      </c>
    </row>
    <row r="2445" spans="5:8" x14ac:dyDescent="0.25">
      <c r="E2445" t="str">
        <f>""</f>
        <v/>
      </c>
      <c r="F2445" t="str">
        <f>""</f>
        <v/>
      </c>
      <c r="H2445" t="str">
        <f t="shared" si="52"/>
        <v>TEXAS COUNTY &amp; DISTRICT RET</v>
      </c>
    </row>
    <row r="2446" spans="5:8" x14ac:dyDescent="0.25">
      <c r="E2446" t="str">
        <f>""</f>
        <v/>
      </c>
      <c r="F2446" t="str">
        <f>""</f>
        <v/>
      </c>
      <c r="H2446" t="str">
        <f t="shared" si="52"/>
        <v>TEXAS COUNTY &amp; DISTRICT RET</v>
      </c>
    </row>
    <row r="2447" spans="5:8" x14ac:dyDescent="0.25">
      <c r="E2447" t="str">
        <f>""</f>
        <v/>
      </c>
      <c r="F2447" t="str">
        <f>""</f>
        <v/>
      </c>
      <c r="H2447" t="str">
        <f t="shared" si="52"/>
        <v>TEXAS COUNTY &amp; DISTRICT RET</v>
      </c>
    </row>
    <row r="2448" spans="5:8" x14ac:dyDescent="0.25">
      <c r="E2448" t="str">
        <f>""</f>
        <v/>
      </c>
      <c r="F2448" t="str">
        <f>""</f>
        <v/>
      </c>
      <c r="H2448" t="str">
        <f t="shared" si="52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52"/>
        <v>TEXAS COUNTY &amp; DISTRICT RET</v>
      </c>
    </row>
    <row r="2450" spans="5:8" x14ac:dyDescent="0.25">
      <c r="E2450" t="str">
        <f>""</f>
        <v/>
      </c>
      <c r="F2450" t="str">
        <f>""</f>
        <v/>
      </c>
      <c r="H2450" t="str">
        <f t="shared" si="52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si="52"/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52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52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ref="H2454:H2475" si="53">"TEXAS COUNTY &amp; DISTRICT RET"</f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53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53"/>
        <v>TEXAS COUNTY &amp; DISTRICT RET</v>
      </c>
    </row>
    <row r="2457" spans="5:8" x14ac:dyDescent="0.25">
      <c r="E2457" t="str">
        <f>""</f>
        <v/>
      </c>
      <c r="F2457" t="str">
        <f>""</f>
        <v/>
      </c>
      <c r="H2457" t="str">
        <f t="shared" si="53"/>
        <v>TEXAS COUNTY &amp; DISTRICT RET</v>
      </c>
    </row>
    <row r="2458" spans="5:8" x14ac:dyDescent="0.25">
      <c r="E2458" t="str">
        <f>""</f>
        <v/>
      </c>
      <c r="F2458" t="str">
        <f>""</f>
        <v/>
      </c>
      <c r="H2458" t="str">
        <f t="shared" si="53"/>
        <v>TEXAS COUNTY &amp; DISTRICT RET</v>
      </c>
    </row>
    <row r="2459" spans="5:8" x14ac:dyDescent="0.25">
      <c r="E2459" t="str">
        <f>""</f>
        <v/>
      </c>
      <c r="F2459" t="str">
        <f>""</f>
        <v/>
      </c>
      <c r="H2459" t="str">
        <f t="shared" si="53"/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53"/>
        <v>TEXAS COUNTY &amp; DISTRICT RET</v>
      </c>
    </row>
    <row r="2461" spans="5:8" x14ac:dyDescent="0.25">
      <c r="E2461" t="str">
        <f>""</f>
        <v/>
      </c>
      <c r="F2461" t="str">
        <f>""</f>
        <v/>
      </c>
      <c r="H2461" t="str">
        <f t="shared" si="53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53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53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53"/>
        <v>TEXAS COUNTY &amp; DISTRICT RET</v>
      </c>
    </row>
    <row r="2465" spans="1:8" x14ac:dyDescent="0.25">
      <c r="E2465" t="str">
        <f>""</f>
        <v/>
      </c>
      <c r="F2465" t="str">
        <f>""</f>
        <v/>
      </c>
      <c r="H2465" t="str">
        <f t="shared" si="53"/>
        <v>TEXAS COUNTY &amp; DISTRICT RET</v>
      </c>
    </row>
    <row r="2466" spans="1:8" x14ac:dyDescent="0.25">
      <c r="E2466" t="str">
        <f>""</f>
        <v/>
      </c>
      <c r="F2466" t="str">
        <f>""</f>
        <v/>
      </c>
      <c r="H2466" t="str">
        <f t="shared" si="53"/>
        <v>TEXAS COUNTY &amp; DISTRICT RET</v>
      </c>
    </row>
    <row r="2467" spans="1:8" x14ac:dyDescent="0.25">
      <c r="E2467" t="str">
        <f>""</f>
        <v/>
      </c>
      <c r="F2467" t="str">
        <f>""</f>
        <v/>
      </c>
      <c r="H2467" t="str">
        <f t="shared" si="53"/>
        <v>TEXAS COUNTY &amp; DISTRICT RET</v>
      </c>
    </row>
    <row r="2468" spans="1:8" x14ac:dyDescent="0.25">
      <c r="E2468" t="str">
        <f>""</f>
        <v/>
      </c>
      <c r="F2468" t="str">
        <f>""</f>
        <v/>
      </c>
      <c r="H2468" t="str">
        <f t="shared" si="53"/>
        <v>TEXAS COUNTY &amp; DISTRICT RET</v>
      </c>
    </row>
    <row r="2469" spans="1:8" x14ac:dyDescent="0.25">
      <c r="E2469" t="str">
        <f>""</f>
        <v/>
      </c>
      <c r="F2469" t="str">
        <f>""</f>
        <v/>
      </c>
      <c r="H2469" t="str">
        <f t="shared" si="53"/>
        <v>TEXAS COUNTY &amp; DISTRICT RET</v>
      </c>
    </row>
    <row r="2470" spans="1:8" x14ac:dyDescent="0.25">
      <c r="E2470" t="str">
        <f>""</f>
        <v/>
      </c>
      <c r="F2470" t="str">
        <f>""</f>
        <v/>
      </c>
      <c r="H2470" t="str">
        <f t="shared" si="53"/>
        <v>TEXAS COUNTY &amp; DISTRICT RET</v>
      </c>
    </row>
    <row r="2471" spans="1:8" x14ac:dyDescent="0.25">
      <c r="E2471" t="str">
        <f>""</f>
        <v/>
      </c>
      <c r="F2471" t="str">
        <f>""</f>
        <v/>
      </c>
      <c r="H2471" t="str">
        <f t="shared" si="53"/>
        <v>TEXAS COUNTY &amp; DISTRICT RET</v>
      </c>
    </row>
    <row r="2472" spans="1:8" x14ac:dyDescent="0.25">
      <c r="E2472" t="str">
        <f>""</f>
        <v/>
      </c>
      <c r="F2472" t="str">
        <f>""</f>
        <v/>
      </c>
      <c r="H2472" t="str">
        <f t="shared" si="53"/>
        <v>TEXAS COUNTY &amp; DISTRICT RET</v>
      </c>
    </row>
    <row r="2473" spans="1:8" x14ac:dyDescent="0.25">
      <c r="E2473" t="str">
        <f>""</f>
        <v/>
      </c>
      <c r="F2473" t="str">
        <f>""</f>
        <v/>
      </c>
      <c r="H2473" t="str">
        <f t="shared" si="53"/>
        <v>TEXAS COUNTY &amp; DISTRICT RET</v>
      </c>
    </row>
    <row r="2474" spans="1:8" x14ac:dyDescent="0.25">
      <c r="E2474" t="str">
        <f>""</f>
        <v/>
      </c>
      <c r="F2474" t="str">
        <f>""</f>
        <v/>
      </c>
      <c r="H2474" t="str">
        <f t="shared" si="53"/>
        <v>TEXAS COUNTY &amp; DISTRICT RET</v>
      </c>
    </row>
    <row r="2475" spans="1:8" x14ac:dyDescent="0.25">
      <c r="E2475" t="str">
        <f>""</f>
        <v/>
      </c>
      <c r="F2475" t="str">
        <f>""</f>
        <v/>
      </c>
      <c r="H2475" t="str">
        <f t="shared" si="53"/>
        <v>TEXAS COUNTY &amp; DISTRICT RET</v>
      </c>
    </row>
    <row r="2476" spans="1:8" x14ac:dyDescent="0.25">
      <c r="E2476" t="str">
        <f>"RET202102171723"</f>
        <v>RET202102171723</v>
      </c>
      <c r="F2476" t="str">
        <f>"TEXAS COUNTY  DISTRICT RET"</f>
        <v>TEXAS COUNTY  DISTRICT RET</v>
      </c>
      <c r="G2476" s="3">
        <v>6222.04</v>
      </c>
      <c r="H2476" t="str">
        <f>"TEXAS COUNTY  DISTRICT RET"</f>
        <v>TEXAS COUNTY  DISTRICT RET</v>
      </c>
    </row>
    <row r="2477" spans="1:8" x14ac:dyDescent="0.25">
      <c r="E2477" t="str">
        <f>""</f>
        <v/>
      </c>
      <c r="F2477" t="str">
        <f>""</f>
        <v/>
      </c>
      <c r="H2477" t="str">
        <f>"TEXAS COUNTY  DISTRICT RET"</f>
        <v>TEXAS COUNTY  DISTRICT RET</v>
      </c>
    </row>
    <row r="2478" spans="1:8" x14ac:dyDescent="0.25">
      <c r="E2478" t="str">
        <f>"RET202102171724"</f>
        <v>RET202102171724</v>
      </c>
      <c r="F2478" t="str">
        <f>"TEXAS COUNTY &amp; DISTRICT RET"</f>
        <v>TEXAS COUNTY &amp; DISTRICT RET</v>
      </c>
      <c r="G2478" s="3">
        <v>7398.54</v>
      </c>
      <c r="H2478" t="str">
        <f>"TEXAS COUNTY &amp; DISTRICT RET"</f>
        <v>TEXAS COUNTY &amp; DISTRICT RET</v>
      </c>
    </row>
    <row r="2479" spans="1:8" x14ac:dyDescent="0.25">
      <c r="E2479" t="str">
        <f>""</f>
        <v/>
      </c>
      <c r="F2479" t="str">
        <f>""</f>
        <v/>
      </c>
      <c r="H2479" t="str">
        <f>"TEXAS COUNTY &amp; DISTRICT RET"</f>
        <v>TEXAS COUNTY &amp; DISTRICT RET</v>
      </c>
    </row>
    <row r="2480" spans="1:8" x14ac:dyDescent="0.25">
      <c r="A2480" t="s">
        <v>349</v>
      </c>
      <c r="B2480">
        <v>48299</v>
      </c>
      <c r="C2480" s="3">
        <v>1672</v>
      </c>
      <c r="D2480" s="6">
        <v>44253</v>
      </c>
      <c r="E2480" t="str">
        <f>"LEG202102021522"</f>
        <v>LEG202102021522</v>
      </c>
      <c r="F2480" t="str">
        <f>"TEXAS LEGAL PROTECTION PLAN"</f>
        <v>TEXAS LEGAL PROTECTION PLAN</v>
      </c>
      <c r="G2480" s="3">
        <v>324</v>
      </c>
      <c r="H2480" t="str">
        <f>"TEXAS LEGAL PROTECTION PLAN"</f>
        <v>TEXAS LEGAL PROTECTION PLAN</v>
      </c>
    </row>
    <row r="2481" spans="1:8" x14ac:dyDescent="0.25">
      <c r="E2481" t="str">
        <f>"LEG202102171722"</f>
        <v>LEG202102171722</v>
      </c>
      <c r="F2481" t="str">
        <f>"TEXAS LEGAL PROTECTION PLAN"</f>
        <v>TEXAS LEGAL PROTECTION PLAN</v>
      </c>
      <c r="G2481" s="3">
        <v>324</v>
      </c>
      <c r="H2481" t="str">
        <f>"TEXAS LEGAL PROTECTION PLAN"</f>
        <v>TEXAS LEGAL PROTECTION PLAN</v>
      </c>
    </row>
    <row r="2482" spans="1:8" x14ac:dyDescent="0.25">
      <c r="E2482" t="str">
        <f>"LGF202102021522"</f>
        <v>LGF202102021522</v>
      </c>
      <c r="F2482" t="str">
        <f>"TEXAS LEGAL PROTECTION PLAN"</f>
        <v>TEXAS LEGAL PROTECTION PLAN</v>
      </c>
      <c r="G2482" s="3">
        <v>512</v>
      </c>
      <c r="H2482" t="str">
        <f>"TEXAS LEGAL PROTECTION PLAN"</f>
        <v>TEXAS LEGAL PROTECTION PLAN</v>
      </c>
    </row>
    <row r="2483" spans="1:8" x14ac:dyDescent="0.25">
      <c r="E2483" t="str">
        <f>"LGF202102171722"</f>
        <v>LGF202102171722</v>
      </c>
      <c r="F2483" t="str">
        <f>"TEXAS LEGAL PROTECTION PLAN"</f>
        <v>TEXAS LEGAL PROTECTION PLAN</v>
      </c>
      <c r="G2483" s="3">
        <v>512</v>
      </c>
      <c r="H2483" t="str">
        <f>"TEXAS LEGAL PROTECTION PLAN"</f>
        <v>TEXAS LEGAL PROTECTION PLAN</v>
      </c>
    </row>
    <row r="2484" spans="1:8" x14ac:dyDescent="0.25">
      <c r="A2484" t="s">
        <v>350</v>
      </c>
      <c r="B2484">
        <v>926</v>
      </c>
      <c r="C2484" s="3">
        <v>19.98</v>
      </c>
      <c r="D2484" s="6">
        <v>44253</v>
      </c>
      <c r="E2484" t="str">
        <f>"202102251816"</f>
        <v>202102251816</v>
      </c>
      <c r="F2484" t="str">
        <f>"ACCT#72-5613 / 02032021"</f>
        <v>ACCT#72-5613 / 02032021</v>
      </c>
      <c r="G2484" s="3">
        <v>19.98</v>
      </c>
      <c r="H2484" t="str">
        <f t="shared" ref="H2484:H2510" si="54">"ACCT#72-5613 / 02032021"</f>
        <v>ACCT#72-5613 / 02032021</v>
      </c>
    </row>
    <row r="2485" spans="1:8" x14ac:dyDescent="0.25">
      <c r="A2485" t="s">
        <v>351</v>
      </c>
      <c r="B2485">
        <v>933</v>
      </c>
      <c r="C2485" s="3">
        <v>60</v>
      </c>
      <c r="D2485" s="6">
        <v>44253</v>
      </c>
      <c r="E2485" t="str">
        <f>"202102251822"</f>
        <v>202102251822</v>
      </c>
      <c r="F2485" t="str">
        <f>"ACCT#72-5613 / 02032021"</f>
        <v>ACCT#72-5613 / 02032021</v>
      </c>
      <c r="G2485" s="3">
        <v>60</v>
      </c>
      <c r="H2485" t="str">
        <f t="shared" si="54"/>
        <v>ACCT#72-5613 / 02032021</v>
      </c>
    </row>
    <row r="2486" spans="1:8" x14ac:dyDescent="0.25">
      <c r="A2486" t="s">
        <v>40</v>
      </c>
      <c r="B2486">
        <v>924</v>
      </c>
      <c r="C2486" s="3">
        <v>10.99</v>
      </c>
      <c r="D2486" s="6">
        <v>44253</v>
      </c>
      <c r="E2486" t="str">
        <f>"202102251814"</f>
        <v>202102251814</v>
      </c>
      <c r="F2486" t="str">
        <f>"ACCT#72-5613 / 02032021"</f>
        <v>ACCT#72-5613 / 02032021</v>
      </c>
      <c r="G2486" s="3">
        <v>10.99</v>
      </c>
      <c r="H2486" t="str">
        <f t="shared" si="54"/>
        <v>ACCT#72-5613 / 02032021</v>
      </c>
    </row>
    <row r="2487" spans="1:8" x14ac:dyDescent="0.25">
      <c r="A2487" t="s">
        <v>352</v>
      </c>
      <c r="B2487">
        <v>928</v>
      </c>
      <c r="C2487" s="3">
        <v>79.989999999999995</v>
      </c>
      <c r="D2487" s="6">
        <v>44253</v>
      </c>
      <c r="E2487" t="str">
        <f>"202102251817"</f>
        <v>202102251817</v>
      </c>
      <c r="F2487" t="str">
        <f>"ACCT#72-5613 / 02032021"</f>
        <v>ACCT#72-5613 / 02032021</v>
      </c>
      <c r="G2487" s="3">
        <v>79.989999999999995</v>
      </c>
      <c r="H2487" t="str">
        <f t="shared" si="54"/>
        <v>ACCT#72-5613 / 02032021</v>
      </c>
    </row>
    <row r="2488" spans="1:8" x14ac:dyDescent="0.25">
      <c r="E2488" t="str">
        <f>""</f>
        <v/>
      </c>
      <c r="F2488" t="str">
        <f>""</f>
        <v/>
      </c>
      <c r="H2488" t="str">
        <f t="shared" si="54"/>
        <v>ACCT#72-5613 / 02032021</v>
      </c>
    </row>
    <row r="2489" spans="1:8" x14ac:dyDescent="0.25">
      <c r="A2489" t="s">
        <v>46</v>
      </c>
      <c r="B2489">
        <v>929</v>
      </c>
      <c r="C2489" s="3">
        <v>250.32</v>
      </c>
      <c r="D2489" s="6">
        <v>44253</v>
      </c>
      <c r="E2489" t="str">
        <f>"202102251818"</f>
        <v>202102251818</v>
      </c>
      <c r="F2489" t="str">
        <f>"ACCT#72-5613 / 02032021"</f>
        <v>ACCT#72-5613 / 02032021</v>
      </c>
      <c r="G2489" s="3">
        <v>250.32</v>
      </c>
      <c r="H2489" t="str">
        <f t="shared" si="54"/>
        <v>ACCT#72-5613 / 02032021</v>
      </c>
    </row>
    <row r="2490" spans="1:8" x14ac:dyDescent="0.25">
      <c r="E2490" t="str">
        <f>""</f>
        <v/>
      </c>
      <c r="F2490" t="str">
        <f>""</f>
        <v/>
      </c>
      <c r="H2490" t="str">
        <f t="shared" si="54"/>
        <v>ACCT#72-5613 / 02032021</v>
      </c>
    </row>
    <row r="2491" spans="1:8" x14ac:dyDescent="0.25">
      <c r="E2491" t="str">
        <f>""</f>
        <v/>
      </c>
      <c r="F2491" t="str">
        <f>""</f>
        <v/>
      </c>
      <c r="H2491" t="str">
        <f t="shared" si="54"/>
        <v>ACCT#72-5613 / 02032021</v>
      </c>
    </row>
    <row r="2492" spans="1:8" x14ac:dyDescent="0.25">
      <c r="A2492" t="s">
        <v>353</v>
      </c>
      <c r="B2492">
        <v>927</v>
      </c>
      <c r="C2492" s="3">
        <v>595</v>
      </c>
      <c r="D2492" s="6">
        <v>44253</v>
      </c>
      <c r="E2492" t="str">
        <f>"202102251829"</f>
        <v>202102251829</v>
      </c>
      <c r="F2492" t="str">
        <f>"ACCT#72-5613 / 02032021"</f>
        <v>ACCT#72-5613 / 02032021</v>
      </c>
      <c r="G2492" s="3">
        <v>595</v>
      </c>
      <c r="H2492" t="str">
        <f t="shared" si="54"/>
        <v>ACCT#72-5613 / 02032021</v>
      </c>
    </row>
    <row r="2493" spans="1:8" x14ac:dyDescent="0.25">
      <c r="A2493" t="s">
        <v>354</v>
      </c>
      <c r="B2493">
        <v>930</v>
      </c>
      <c r="C2493" s="3">
        <v>159.84</v>
      </c>
      <c r="D2493" s="6">
        <v>44253</v>
      </c>
      <c r="E2493" t="str">
        <f>"202102251819"</f>
        <v>202102251819</v>
      </c>
      <c r="F2493" t="str">
        <f>"ACCT#72-5613 / 02032021"</f>
        <v>ACCT#72-5613 / 02032021</v>
      </c>
      <c r="G2493" s="3">
        <v>159.84</v>
      </c>
      <c r="H2493" t="str">
        <f t="shared" si="54"/>
        <v>ACCT#72-5613 / 02032021</v>
      </c>
    </row>
    <row r="2494" spans="1:8" x14ac:dyDescent="0.25">
      <c r="A2494" t="s">
        <v>355</v>
      </c>
      <c r="B2494">
        <v>923</v>
      </c>
      <c r="C2494" s="3">
        <v>21.01</v>
      </c>
      <c r="D2494" s="6">
        <v>44253</v>
      </c>
      <c r="E2494" t="str">
        <f>"202102251813"</f>
        <v>202102251813</v>
      </c>
      <c r="F2494" t="str">
        <f>"ACCT#72-5613 / 02032021"</f>
        <v>ACCT#72-5613 / 02032021</v>
      </c>
      <c r="G2494" s="3">
        <v>21.01</v>
      </c>
      <c r="H2494" t="str">
        <f t="shared" si="54"/>
        <v>ACCT#72-5613 / 02032021</v>
      </c>
    </row>
    <row r="2495" spans="1:8" x14ac:dyDescent="0.25">
      <c r="E2495" t="str">
        <f>""</f>
        <v/>
      </c>
      <c r="F2495" t="str">
        <f>""</f>
        <v/>
      </c>
      <c r="H2495" t="str">
        <f t="shared" si="54"/>
        <v>ACCT#72-5613 / 02032021</v>
      </c>
    </row>
    <row r="2496" spans="1:8" x14ac:dyDescent="0.25">
      <c r="A2496" t="s">
        <v>356</v>
      </c>
      <c r="B2496">
        <v>934</v>
      </c>
      <c r="C2496" s="3">
        <v>42.94</v>
      </c>
      <c r="D2496" s="6">
        <v>44253</v>
      </c>
      <c r="E2496" t="str">
        <f>"202102251823"</f>
        <v>202102251823</v>
      </c>
      <c r="F2496" t="str">
        <f>"ACCT#72-5613 / 02032021"</f>
        <v>ACCT#72-5613 / 02032021</v>
      </c>
      <c r="G2496" s="3">
        <v>42.94</v>
      </c>
      <c r="H2496" t="str">
        <f t="shared" si="54"/>
        <v>ACCT#72-5613 / 02032021</v>
      </c>
    </row>
    <row r="2497" spans="1:8" x14ac:dyDescent="0.25">
      <c r="E2497" t="str">
        <f>""</f>
        <v/>
      </c>
      <c r="F2497" t="str">
        <f>""</f>
        <v/>
      </c>
      <c r="H2497" t="str">
        <f t="shared" si="54"/>
        <v>ACCT#72-5613 / 02032021</v>
      </c>
    </row>
    <row r="2498" spans="1:8" x14ac:dyDescent="0.25">
      <c r="A2498" t="s">
        <v>122</v>
      </c>
      <c r="B2498">
        <v>931</v>
      </c>
      <c r="C2498" s="3">
        <v>41</v>
      </c>
      <c r="D2498" s="6">
        <v>44253</v>
      </c>
      <c r="E2498" t="str">
        <f>"202102251820"</f>
        <v>202102251820</v>
      </c>
      <c r="F2498" t="str">
        <f t="shared" ref="F2498:F2503" si="55">"ACCT#72-5613 / 02032021"</f>
        <v>ACCT#72-5613 / 02032021</v>
      </c>
      <c r="G2498" s="3">
        <v>41</v>
      </c>
      <c r="H2498" t="str">
        <f t="shared" si="54"/>
        <v>ACCT#72-5613 / 02032021</v>
      </c>
    </row>
    <row r="2499" spans="1:8" x14ac:dyDescent="0.25">
      <c r="A2499" t="s">
        <v>131</v>
      </c>
      <c r="B2499">
        <v>938</v>
      </c>
      <c r="C2499" s="3">
        <v>161.1</v>
      </c>
      <c r="D2499" s="6">
        <v>44253</v>
      </c>
      <c r="E2499" t="str">
        <f>"202102251827"</f>
        <v>202102251827</v>
      </c>
      <c r="F2499" t="str">
        <f t="shared" si="55"/>
        <v>ACCT#72-5613 / 02032021</v>
      </c>
      <c r="G2499" s="3">
        <v>161.1</v>
      </c>
      <c r="H2499" t="str">
        <f t="shared" si="54"/>
        <v>ACCT#72-5613 / 02032021</v>
      </c>
    </row>
    <row r="2500" spans="1:8" x14ac:dyDescent="0.25">
      <c r="A2500" t="s">
        <v>357</v>
      </c>
      <c r="B2500">
        <v>936</v>
      </c>
      <c r="C2500" s="3">
        <v>98.79</v>
      </c>
      <c r="D2500" s="6">
        <v>44253</v>
      </c>
      <c r="E2500" t="str">
        <f>"202102251825"</f>
        <v>202102251825</v>
      </c>
      <c r="F2500" t="str">
        <f t="shared" si="55"/>
        <v>ACCT#72-5613 / 02032021</v>
      </c>
      <c r="G2500" s="3">
        <v>98.79</v>
      </c>
      <c r="H2500" t="str">
        <f t="shared" si="54"/>
        <v>ACCT#72-5613 / 02032021</v>
      </c>
    </row>
    <row r="2501" spans="1:8" x14ac:dyDescent="0.25">
      <c r="A2501" t="s">
        <v>358</v>
      </c>
      <c r="B2501">
        <v>935</v>
      </c>
      <c r="C2501" s="3">
        <v>793.78</v>
      </c>
      <c r="D2501" s="6">
        <v>44253</v>
      </c>
      <c r="E2501" t="str">
        <f>"202102251824"</f>
        <v>202102251824</v>
      </c>
      <c r="F2501" t="str">
        <f t="shared" si="55"/>
        <v>ACCT#72-5613 / 02032021</v>
      </c>
      <c r="G2501" s="3">
        <v>793.78</v>
      </c>
      <c r="H2501" t="str">
        <f t="shared" si="54"/>
        <v>ACCT#72-5613 / 02032021</v>
      </c>
    </row>
    <row r="2502" spans="1:8" x14ac:dyDescent="0.25">
      <c r="A2502" t="s">
        <v>359</v>
      </c>
      <c r="B2502">
        <v>925</v>
      </c>
      <c r="C2502" s="3">
        <v>5.88</v>
      </c>
      <c r="D2502" s="6">
        <v>44253</v>
      </c>
      <c r="E2502" t="str">
        <f>"202102251815"</f>
        <v>202102251815</v>
      </c>
      <c r="F2502" t="str">
        <f t="shared" si="55"/>
        <v>ACCT#72-5613 / 02032021</v>
      </c>
      <c r="G2502" s="3">
        <v>5.88</v>
      </c>
      <c r="H2502" t="str">
        <f t="shared" si="54"/>
        <v>ACCT#72-5613 / 02032021</v>
      </c>
    </row>
    <row r="2503" spans="1:8" x14ac:dyDescent="0.25">
      <c r="A2503" t="s">
        <v>360</v>
      </c>
      <c r="B2503">
        <v>922</v>
      </c>
      <c r="C2503" s="3">
        <v>1859.56</v>
      </c>
      <c r="D2503" s="6">
        <v>44253</v>
      </c>
      <c r="E2503" t="str">
        <f>"202102251812"</f>
        <v>202102251812</v>
      </c>
      <c r="F2503" t="str">
        <f t="shared" si="55"/>
        <v>ACCT#72-5613 / 02032021</v>
      </c>
      <c r="G2503" s="3">
        <v>1859.56</v>
      </c>
      <c r="H2503" t="str">
        <f t="shared" si="54"/>
        <v>ACCT#72-5613 / 02032021</v>
      </c>
    </row>
    <row r="2504" spans="1:8" x14ac:dyDescent="0.25">
      <c r="E2504" t="str">
        <f>""</f>
        <v/>
      </c>
      <c r="F2504" t="str">
        <f>""</f>
        <v/>
      </c>
      <c r="H2504" t="str">
        <f t="shared" si="54"/>
        <v>ACCT#72-5613 / 02032021</v>
      </c>
    </row>
    <row r="2505" spans="1:8" x14ac:dyDescent="0.25">
      <c r="E2505" t="str">
        <f>""</f>
        <v/>
      </c>
      <c r="F2505" t="str">
        <f>""</f>
        <v/>
      </c>
      <c r="H2505" t="str">
        <f t="shared" si="54"/>
        <v>ACCT#72-5613 / 02032021</v>
      </c>
    </row>
    <row r="2506" spans="1:8" x14ac:dyDescent="0.25">
      <c r="A2506" t="s">
        <v>361</v>
      </c>
      <c r="B2506">
        <v>932</v>
      </c>
      <c r="C2506" s="3">
        <v>60.38</v>
      </c>
      <c r="D2506" s="6">
        <v>44253</v>
      </c>
      <c r="E2506" t="str">
        <f>"202102251821"</f>
        <v>202102251821</v>
      </c>
      <c r="F2506" t="str">
        <f>"ACCT#72-5613 / 02032021"</f>
        <v>ACCT#72-5613 / 02032021</v>
      </c>
      <c r="G2506" s="3">
        <v>60.38</v>
      </c>
      <c r="H2506" t="str">
        <f t="shared" si="54"/>
        <v>ACCT#72-5613 / 02032021</v>
      </c>
    </row>
    <row r="2507" spans="1:8" x14ac:dyDescent="0.25">
      <c r="A2507" t="s">
        <v>194</v>
      </c>
      <c r="B2507">
        <v>921</v>
      </c>
      <c r="C2507" s="3">
        <v>551.29999999999995</v>
      </c>
      <c r="D2507" s="6">
        <v>44253</v>
      </c>
      <c r="E2507" t="str">
        <f>"202102251811"</f>
        <v>202102251811</v>
      </c>
      <c r="F2507" t="str">
        <f>"ACCT#72-5613 / 02032021"</f>
        <v>ACCT#72-5613 / 02032021</v>
      </c>
      <c r="G2507" s="3">
        <v>551.29999999999995</v>
      </c>
      <c r="H2507" t="str">
        <f t="shared" si="54"/>
        <v>ACCT#72-5613 / 02032021</v>
      </c>
    </row>
    <row r="2508" spans="1:8" x14ac:dyDescent="0.25">
      <c r="E2508" t="str">
        <f>""</f>
        <v/>
      </c>
      <c r="F2508" t="str">
        <f>""</f>
        <v/>
      </c>
      <c r="H2508" t="str">
        <f t="shared" si="54"/>
        <v>ACCT#72-5613 / 02032021</v>
      </c>
    </row>
    <row r="2509" spans="1:8" x14ac:dyDescent="0.25">
      <c r="A2509" t="s">
        <v>362</v>
      </c>
      <c r="B2509">
        <v>937</v>
      </c>
      <c r="C2509" s="3">
        <v>60</v>
      </c>
      <c r="D2509" s="6">
        <v>44253</v>
      </c>
      <c r="E2509" t="str">
        <f>"202102251826"</f>
        <v>202102251826</v>
      </c>
      <c r="F2509" t="str">
        <f>"ACCT#72-5613 / 02032021"</f>
        <v>ACCT#72-5613 / 02032021</v>
      </c>
      <c r="G2509" s="3">
        <v>60</v>
      </c>
      <c r="H2509" t="str">
        <f t="shared" si="54"/>
        <v>ACCT#72-5613 / 02032021</v>
      </c>
    </row>
    <row r="2510" spans="1:8" x14ac:dyDescent="0.25">
      <c r="A2510" t="s">
        <v>363</v>
      </c>
      <c r="B2510">
        <v>939</v>
      </c>
      <c r="C2510" s="3">
        <v>164.67</v>
      </c>
      <c r="D2510" s="6">
        <v>44253</v>
      </c>
      <c r="E2510" t="str">
        <f>"202102251828"</f>
        <v>202102251828</v>
      </c>
      <c r="F2510" t="str">
        <f>"ACCT#72-5613 / 02032021"</f>
        <v>ACCT#72-5613 / 02032021</v>
      </c>
      <c r="G2510" s="3">
        <v>164.67</v>
      </c>
      <c r="H2510" t="str">
        <f t="shared" si="54"/>
        <v>ACCT#72-5613 / 02032021</v>
      </c>
    </row>
    <row r="2511" spans="1:8" ht="15.75" thickBot="1" x14ac:dyDescent="0.3">
      <c r="C2511" s="4">
        <f>SUM(C2:C2510)</f>
        <v>2487661.2899999991</v>
      </c>
      <c r="G2511" s="4">
        <f>SUM(G2:G2510)</f>
        <v>2487661.2899999986</v>
      </c>
    </row>
    <row r="2512" spans="1:8" ht="15.75" thickTop="1" x14ac:dyDescent="0.25"/>
  </sheetData>
  <autoFilter ref="A1:H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AP-CHK-RPT-20210325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2021-03-25T16:24:34Z</dcterms:created>
  <dcterms:modified xsi:type="dcterms:W3CDTF">2021-03-25T16:27:19Z</dcterms:modified>
</cp:coreProperties>
</file>