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Check Registers\"/>
    </mc:Choice>
  </mc:AlternateContent>
  <bookViews>
    <workbookView xWindow="0" yWindow="0" windowWidth="28800" windowHeight="12435"/>
  </bookViews>
  <sheets>
    <sheet name="June 2021" sheetId="1" r:id="rId1"/>
  </sheets>
  <definedNames>
    <definedName name="_xlnm._FilterDatabase" localSheetId="0" hidden="1">'June 2021'!$A$1:$H$2889</definedName>
  </definedNames>
  <calcPr calcId="0"/>
</workbook>
</file>

<file path=xl/calcChain.xml><?xml version="1.0" encoding="utf-8"?>
<calcChain xmlns="http://schemas.openxmlformats.org/spreadsheetml/2006/main">
  <c r="G2889" i="1" l="1"/>
  <c r="C2889" i="1"/>
  <c r="E2" i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  <c r="E2660" i="1"/>
  <c r="F2660" i="1"/>
  <c r="H2660" i="1"/>
  <c r="E2661" i="1"/>
  <c r="F2661" i="1"/>
  <c r="H2661" i="1"/>
  <c r="E2662" i="1"/>
  <c r="F2662" i="1"/>
  <c r="H2662" i="1"/>
  <c r="E2663" i="1"/>
  <c r="F2663" i="1"/>
  <c r="H2663" i="1"/>
  <c r="E2664" i="1"/>
  <c r="F2664" i="1"/>
  <c r="H2664" i="1"/>
  <c r="E2665" i="1"/>
  <c r="F2665" i="1"/>
  <c r="H2665" i="1"/>
  <c r="E2666" i="1"/>
  <c r="F2666" i="1"/>
  <c r="H2666" i="1"/>
  <c r="E2667" i="1"/>
  <c r="F2667" i="1"/>
  <c r="H2667" i="1"/>
  <c r="E2668" i="1"/>
  <c r="F2668" i="1"/>
  <c r="H2668" i="1"/>
  <c r="E2669" i="1"/>
  <c r="F2669" i="1"/>
  <c r="H2669" i="1"/>
  <c r="E2670" i="1"/>
  <c r="F2670" i="1"/>
  <c r="H2670" i="1"/>
  <c r="E2671" i="1"/>
  <c r="F2671" i="1"/>
  <c r="H2671" i="1"/>
  <c r="E2672" i="1"/>
  <c r="F2672" i="1"/>
  <c r="H2672" i="1"/>
  <c r="E2673" i="1"/>
  <c r="F2673" i="1"/>
  <c r="H2673" i="1"/>
  <c r="E2674" i="1"/>
  <c r="F2674" i="1"/>
  <c r="H2674" i="1"/>
  <c r="E2675" i="1"/>
  <c r="F2675" i="1"/>
  <c r="H2675" i="1"/>
  <c r="E2676" i="1"/>
  <c r="F2676" i="1"/>
  <c r="H2676" i="1"/>
  <c r="E2677" i="1"/>
  <c r="F2677" i="1"/>
  <c r="H2677" i="1"/>
  <c r="E2678" i="1"/>
  <c r="F2678" i="1"/>
  <c r="H2678" i="1"/>
  <c r="E2679" i="1"/>
  <c r="F2679" i="1"/>
  <c r="H2679" i="1"/>
  <c r="E2680" i="1"/>
  <c r="F2680" i="1"/>
  <c r="H2680" i="1"/>
  <c r="E2681" i="1"/>
  <c r="F2681" i="1"/>
  <c r="H2681" i="1"/>
  <c r="E2682" i="1"/>
  <c r="F2682" i="1"/>
  <c r="H2682" i="1"/>
  <c r="E2683" i="1"/>
  <c r="F2683" i="1"/>
  <c r="H2683" i="1"/>
  <c r="E2684" i="1"/>
  <c r="F2684" i="1"/>
  <c r="H2684" i="1"/>
  <c r="E2685" i="1"/>
  <c r="F2685" i="1"/>
  <c r="H2685" i="1"/>
  <c r="E2686" i="1"/>
  <c r="F2686" i="1"/>
  <c r="H2686" i="1"/>
  <c r="E2687" i="1"/>
  <c r="F2687" i="1"/>
  <c r="H2687" i="1"/>
  <c r="E2688" i="1"/>
  <c r="F2688" i="1"/>
  <c r="H2688" i="1"/>
  <c r="E2689" i="1"/>
  <c r="F2689" i="1"/>
  <c r="H2689" i="1"/>
  <c r="E2690" i="1"/>
  <c r="F2690" i="1"/>
  <c r="H2690" i="1"/>
  <c r="E2691" i="1"/>
  <c r="F2691" i="1"/>
  <c r="H2691" i="1"/>
  <c r="E2692" i="1"/>
  <c r="F2692" i="1"/>
  <c r="H2692" i="1"/>
  <c r="E2693" i="1"/>
  <c r="F2693" i="1"/>
  <c r="H2693" i="1"/>
  <c r="E2694" i="1"/>
  <c r="F2694" i="1"/>
  <c r="H2694" i="1"/>
  <c r="E2695" i="1"/>
  <c r="F2695" i="1"/>
  <c r="H2695" i="1"/>
  <c r="E2696" i="1"/>
  <c r="F2696" i="1"/>
  <c r="H2696" i="1"/>
  <c r="E2697" i="1"/>
  <c r="F2697" i="1"/>
  <c r="H2697" i="1"/>
  <c r="E2698" i="1"/>
  <c r="F2698" i="1"/>
  <c r="H2698" i="1"/>
  <c r="E2699" i="1"/>
  <c r="F2699" i="1"/>
  <c r="H2699" i="1"/>
  <c r="E2700" i="1"/>
  <c r="F2700" i="1"/>
  <c r="H2700" i="1"/>
  <c r="E2701" i="1"/>
  <c r="F2701" i="1"/>
  <c r="H2701" i="1"/>
  <c r="E2702" i="1"/>
  <c r="F2702" i="1"/>
  <c r="H2702" i="1"/>
  <c r="E2703" i="1"/>
  <c r="F2703" i="1"/>
  <c r="H2703" i="1"/>
  <c r="E2704" i="1"/>
  <c r="F2704" i="1"/>
  <c r="H2704" i="1"/>
  <c r="E2705" i="1"/>
  <c r="F2705" i="1"/>
  <c r="H2705" i="1"/>
  <c r="E2706" i="1"/>
  <c r="F2706" i="1"/>
  <c r="H2706" i="1"/>
  <c r="E2707" i="1"/>
  <c r="F2707" i="1"/>
  <c r="H2707" i="1"/>
  <c r="E2708" i="1"/>
  <c r="F2708" i="1"/>
  <c r="H2708" i="1"/>
  <c r="E2709" i="1"/>
  <c r="F2709" i="1"/>
  <c r="H2709" i="1"/>
  <c r="E2710" i="1"/>
  <c r="F2710" i="1"/>
  <c r="H2710" i="1"/>
  <c r="E2711" i="1"/>
  <c r="F2711" i="1"/>
  <c r="H2711" i="1"/>
  <c r="E2712" i="1"/>
  <c r="F2712" i="1"/>
  <c r="H2712" i="1"/>
  <c r="E2713" i="1"/>
  <c r="F2713" i="1"/>
  <c r="H2713" i="1"/>
  <c r="E2714" i="1"/>
  <c r="F2714" i="1"/>
  <c r="H2714" i="1"/>
  <c r="E2715" i="1"/>
  <c r="F2715" i="1"/>
  <c r="H2715" i="1"/>
  <c r="E2716" i="1"/>
  <c r="F2716" i="1"/>
  <c r="H2716" i="1"/>
  <c r="E2717" i="1"/>
  <c r="F2717" i="1"/>
  <c r="H2717" i="1"/>
  <c r="E2718" i="1"/>
  <c r="F2718" i="1"/>
  <c r="H2718" i="1"/>
  <c r="E2719" i="1"/>
  <c r="F2719" i="1"/>
  <c r="H2719" i="1"/>
  <c r="E2720" i="1"/>
  <c r="F2720" i="1"/>
  <c r="H2720" i="1"/>
  <c r="E2721" i="1"/>
  <c r="F2721" i="1"/>
  <c r="H2721" i="1"/>
  <c r="E2722" i="1"/>
  <c r="F2722" i="1"/>
  <c r="H2722" i="1"/>
  <c r="E2723" i="1"/>
  <c r="F2723" i="1"/>
  <c r="H2723" i="1"/>
  <c r="E2724" i="1"/>
  <c r="F2724" i="1"/>
  <c r="H2724" i="1"/>
  <c r="E2725" i="1"/>
  <c r="F2725" i="1"/>
  <c r="H2725" i="1"/>
  <c r="E2726" i="1"/>
  <c r="F2726" i="1"/>
  <c r="H2726" i="1"/>
  <c r="E2727" i="1"/>
  <c r="F2727" i="1"/>
  <c r="H2727" i="1"/>
  <c r="E2728" i="1"/>
  <c r="F2728" i="1"/>
  <c r="H2728" i="1"/>
  <c r="E2729" i="1"/>
  <c r="F2729" i="1"/>
  <c r="H2729" i="1"/>
  <c r="E2730" i="1"/>
  <c r="F2730" i="1"/>
  <c r="H2730" i="1"/>
  <c r="E2731" i="1"/>
  <c r="F2731" i="1"/>
  <c r="H2731" i="1"/>
  <c r="E2732" i="1"/>
  <c r="F2732" i="1"/>
  <c r="H2732" i="1"/>
  <c r="E2733" i="1"/>
  <c r="F2733" i="1"/>
  <c r="H2733" i="1"/>
  <c r="E2734" i="1"/>
  <c r="F2734" i="1"/>
  <c r="H2734" i="1"/>
  <c r="E2735" i="1"/>
  <c r="F2735" i="1"/>
  <c r="H2735" i="1"/>
  <c r="E2736" i="1"/>
  <c r="F2736" i="1"/>
  <c r="H2736" i="1"/>
  <c r="E2737" i="1"/>
  <c r="F2737" i="1"/>
  <c r="H2737" i="1"/>
  <c r="E2738" i="1"/>
  <c r="F2738" i="1"/>
  <c r="H2738" i="1"/>
  <c r="E2739" i="1"/>
  <c r="F2739" i="1"/>
  <c r="H2739" i="1"/>
  <c r="E2740" i="1"/>
  <c r="F2740" i="1"/>
  <c r="H2740" i="1"/>
  <c r="E2741" i="1"/>
  <c r="F2741" i="1"/>
  <c r="H2741" i="1"/>
  <c r="E2742" i="1"/>
  <c r="F2742" i="1"/>
  <c r="H2742" i="1"/>
  <c r="E2743" i="1"/>
  <c r="F2743" i="1"/>
  <c r="H2743" i="1"/>
  <c r="E2744" i="1"/>
  <c r="F2744" i="1"/>
  <c r="H2744" i="1"/>
  <c r="E2745" i="1"/>
  <c r="F2745" i="1"/>
  <c r="H2745" i="1"/>
  <c r="E2746" i="1"/>
  <c r="F2746" i="1"/>
  <c r="H2746" i="1"/>
  <c r="E2747" i="1"/>
  <c r="F2747" i="1"/>
  <c r="H2747" i="1"/>
  <c r="E2748" i="1"/>
  <c r="F2748" i="1"/>
  <c r="H2748" i="1"/>
  <c r="E2749" i="1"/>
  <c r="F2749" i="1"/>
  <c r="H2749" i="1"/>
  <c r="E2750" i="1"/>
  <c r="F2750" i="1"/>
  <c r="H2750" i="1"/>
  <c r="E2751" i="1"/>
  <c r="F2751" i="1"/>
  <c r="H2751" i="1"/>
  <c r="E2752" i="1"/>
  <c r="F2752" i="1"/>
  <c r="H2752" i="1"/>
  <c r="E2753" i="1"/>
  <c r="F2753" i="1"/>
  <c r="H2753" i="1"/>
  <c r="E2754" i="1"/>
  <c r="F2754" i="1"/>
  <c r="H2754" i="1"/>
  <c r="E2755" i="1"/>
  <c r="F2755" i="1"/>
  <c r="H2755" i="1"/>
  <c r="E2756" i="1"/>
  <c r="F2756" i="1"/>
  <c r="H2756" i="1"/>
  <c r="E2757" i="1"/>
  <c r="F2757" i="1"/>
  <c r="H2757" i="1"/>
  <c r="E2758" i="1"/>
  <c r="F2758" i="1"/>
  <c r="H2758" i="1"/>
  <c r="E2759" i="1"/>
  <c r="F2759" i="1"/>
  <c r="H2759" i="1"/>
  <c r="E2760" i="1"/>
  <c r="F2760" i="1"/>
  <c r="H2760" i="1"/>
  <c r="E2761" i="1"/>
  <c r="F2761" i="1"/>
  <c r="H2761" i="1"/>
  <c r="E2762" i="1"/>
  <c r="F2762" i="1"/>
  <c r="H2762" i="1"/>
  <c r="E2763" i="1"/>
  <c r="F2763" i="1"/>
  <c r="H2763" i="1"/>
  <c r="E2764" i="1"/>
  <c r="F2764" i="1"/>
  <c r="H2764" i="1"/>
  <c r="E2765" i="1"/>
  <c r="F2765" i="1"/>
  <c r="H2765" i="1"/>
  <c r="E2766" i="1"/>
  <c r="F2766" i="1"/>
  <c r="H2766" i="1"/>
  <c r="E2767" i="1"/>
  <c r="F2767" i="1"/>
  <c r="H2767" i="1"/>
  <c r="E2768" i="1"/>
  <c r="F2768" i="1"/>
  <c r="H2768" i="1"/>
  <c r="E2769" i="1"/>
  <c r="F2769" i="1"/>
  <c r="H2769" i="1"/>
  <c r="E2770" i="1"/>
  <c r="F2770" i="1"/>
  <c r="H2770" i="1"/>
  <c r="E2771" i="1"/>
  <c r="F2771" i="1"/>
  <c r="H2771" i="1"/>
  <c r="E2772" i="1"/>
  <c r="F2772" i="1"/>
  <c r="H2772" i="1"/>
  <c r="E2773" i="1"/>
  <c r="F2773" i="1"/>
  <c r="H2773" i="1"/>
  <c r="E2774" i="1"/>
  <c r="F2774" i="1"/>
  <c r="H2774" i="1"/>
  <c r="E2775" i="1"/>
  <c r="F2775" i="1"/>
  <c r="H2775" i="1"/>
  <c r="E2776" i="1"/>
  <c r="F2776" i="1"/>
  <c r="H2776" i="1"/>
  <c r="E2777" i="1"/>
  <c r="F2777" i="1"/>
  <c r="H2777" i="1"/>
  <c r="E2778" i="1"/>
  <c r="F2778" i="1"/>
  <c r="H2778" i="1"/>
  <c r="E2779" i="1"/>
  <c r="F2779" i="1"/>
  <c r="H2779" i="1"/>
  <c r="E2780" i="1"/>
  <c r="F2780" i="1"/>
  <c r="H2780" i="1"/>
  <c r="E2781" i="1"/>
  <c r="F2781" i="1"/>
  <c r="H2781" i="1"/>
  <c r="E2782" i="1"/>
  <c r="F2782" i="1"/>
  <c r="H2782" i="1"/>
  <c r="E2783" i="1"/>
  <c r="F2783" i="1"/>
  <c r="H2783" i="1"/>
  <c r="E2784" i="1"/>
  <c r="F2784" i="1"/>
  <c r="H2784" i="1"/>
  <c r="E2785" i="1"/>
  <c r="F2785" i="1"/>
  <c r="H2785" i="1"/>
  <c r="E2786" i="1"/>
  <c r="F2786" i="1"/>
  <c r="H2786" i="1"/>
  <c r="E2787" i="1"/>
  <c r="F2787" i="1"/>
  <c r="H2787" i="1"/>
  <c r="E2788" i="1"/>
  <c r="F2788" i="1"/>
  <c r="H2788" i="1"/>
  <c r="E2789" i="1"/>
  <c r="F2789" i="1"/>
  <c r="H2789" i="1"/>
  <c r="E2790" i="1"/>
  <c r="F2790" i="1"/>
  <c r="H2790" i="1"/>
  <c r="E2791" i="1"/>
  <c r="F2791" i="1"/>
  <c r="H2791" i="1"/>
  <c r="E2792" i="1"/>
  <c r="F2792" i="1"/>
  <c r="H2792" i="1"/>
  <c r="E2793" i="1"/>
  <c r="F2793" i="1"/>
  <c r="H2793" i="1"/>
  <c r="E2794" i="1"/>
  <c r="F2794" i="1"/>
  <c r="H2794" i="1"/>
  <c r="E2795" i="1"/>
  <c r="F2795" i="1"/>
  <c r="H2795" i="1"/>
  <c r="E2796" i="1"/>
  <c r="F2796" i="1"/>
  <c r="H2796" i="1"/>
  <c r="E2797" i="1"/>
  <c r="F2797" i="1"/>
  <c r="H2797" i="1"/>
  <c r="E2798" i="1"/>
  <c r="F2798" i="1"/>
  <c r="H2798" i="1"/>
  <c r="E2799" i="1"/>
  <c r="F2799" i="1"/>
  <c r="H2799" i="1"/>
  <c r="E2800" i="1"/>
  <c r="F2800" i="1"/>
  <c r="H2800" i="1"/>
  <c r="E2801" i="1"/>
  <c r="F2801" i="1"/>
  <c r="H2801" i="1"/>
  <c r="E2802" i="1"/>
  <c r="F2802" i="1"/>
  <c r="H2802" i="1"/>
  <c r="E2803" i="1"/>
  <c r="F2803" i="1"/>
  <c r="H2803" i="1"/>
  <c r="E2804" i="1"/>
  <c r="F2804" i="1"/>
  <c r="H2804" i="1"/>
  <c r="E2805" i="1"/>
  <c r="F2805" i="1"/>
  <c r="H2805" i="1"/>
  <c r="E2806" i="1"/>
  <c r="F2806" i="1"/>
  <c r="H2806" i="1"/>
  <c r="E2807" i="1"/>
  <c r="F2807" i="1"/>
  <c r="H2807" i="1"/>
  <c r="E2808" i="1"/>
  <c r="F2808" i="1"/>
  <c r="H2808" i="1"/>
  <c r="E2809" i="1"/>
  <c r="F2809" i="1"/>
  <c r="H2809" i="1"/>
  <c r="E2810" i="1"/>
  <c r="F2810" i="1"/>
  <c r="H2810" i="1"/>
  <c r="E2811" i="1"/>
  <c r="F2811" i="1"/>
  <c r="H2811" i="1"/>
  <c r="E2812" i="1"/>
  <c r="F2812" i="1"/>
  <c r="H2812" i="1"/>
  <c r="E2813" i="1"/>
  <c r="F2813" i="1"/>
  <c r="H2813" i="1"/>
  <c r="E2814" i="1"/>
  <c r="F2814" i="1"/>
  <c r="H2814" i="1"/>
  <c r="E2815" i="1"/>
  <c r="F2815" i="1"/>
  <c r="H2815" i="1"/>
  <c r="E2816" i="1"/>
  <c r="F2816" i="1"/>
  <c r="H2816" i="1"/>
  <c r="E2817" i="1"/>
  <c r="F2817" i="1"/>
  <c r="H2817" i="1"/>
  <c r="E2818" i="1"/>
  <c r="F2818" i="1"/>
  <c r="H2818" i="1"/>
  <c r="E2819" i="1"/>
  <c r="F2819" i="1"/>
  <c r="H2819" i="1"/>
  <c r="E2820" i="1"/>
  <c r="F2820" i="1"/>
  <c r="H2820" i="1"/>
  <c r="E2821" i="1"/>
  <c r="F2821" i="1"/>
  <c r="H2821" i="1"/>
  <c r="E2822" i="1"/>
  <c r="F2822" i="1"/>
  <c r="H2822" i="1"/>
  <c r="E2823" i="1"/>
  <c r="F2823" i="1"/>
  <c r="H2823" i="1"/>
  <c r="E2824" i="1"/>
  <c r="F2824" i="1"/>
  <c r="H2824" i="1"/>
  <c r="E2825" i="1"/>
  <c r="F2825" i="1"/>
  <c r="H2825" i="1"/>
  <c r="E2826" i="1"/>
  <c r="F2826" i="1"/>
  <c r="H2826" i="1"/>
  <c r="E2827" i="1"/>
  <c r="F2827" i="1"/>
  <c r="H2827" i="1"/>
  <c r="E2828" i="1"/>
  <c r="F2828" i="1"/>
  <c r="H2828" i="1"/>
  <c r="E2829" i="1"/>
  <c r="F2829" i="1"/>
  <c r="H2829" i="1"/>
  <c r="E2830" i="1"/>
  <c r="F2830" i="1"/>
  <c r="H2830" i="1"/>
  <c r="E2831" i="1"/>
  <c r="F2831" i="1"/>
  <c r="H2831" i="1"/>
  <c r="E2832" i="1"/>
  <c r="F2832" i="1"/>
  <c r="H2832" i="1"/>
  <c r="E2833" i="1"/>
  <c r="F2833" i="1"/>
  <c r="H2833" i="1"/>
  <c r="E2834" i="1"/>
  <c r="F2834" i="1"/>
  <c r="H2834" i="1"/>
  <c r="E2835" i="1"/>
  <c r="F2835" i="1"/>
  <c r="H2835" i="1"/>
  <c r="E2836" i="1"/>
  <c r="F2836" i="1"/>
  <c r="H2836" i="1"/>
  <c r="E2837" i="1"/>
  <c r="F2837" i="1"/>
  <c r="H2837" i="1"/>
  <c r="E2838" i="1"/>
  <c r="F2838" i="1"/>
  <c r="H2838" i="1"/>
  <c r="E2839" i="1"/>
  <c r="F2839" i="1"/>
  <c r="H2839" i="1"/>
  <c r="E2840" i="1"/>
  <c r="F2840" i="1"/>
  <c r="H2840" i="1"/>
  <c r="E2841" i="1"/>
  <c r="F2841" i="1"/>
  <c r="H2841" i="1"/>
  <c r="E2842" i="1"/>
  <c r="F2842" i="1"/>
  <c r="H2842" i="1"/>
  <c r="E2843" i="1"/>
  <c r="F2843" i="1"/>
  <c r="H2843" i="1"/>
  <c r="E2844" i="1"/>
  <c r="F2844" i="1"/>
  <c r="H2844" i="1"/>
  <c r="E2845" i="1"/>
  <c r="F2845" i="1"/>
  <c r="H2845" i="1"/>
  <c r="E2846" i="1"/>
  <c r="F2846" i="1"/>
  <c r="H2846" i="1"/>
  <c r="E2847" i="1"/>
  <c r="F2847" i="1"/>
  <c r="H2847" i="1"/>
  <c r="E2848" i="1"/>
  <c r="F2848" i="1"/>
  <c r="H2848" i="1"/>
  <c r="E2849" i="1"/>
  <c r="F2849" i="1"/>
  <c r="H2849" i="1"/>
  <c r="E2850" i="1"/>
  <c r="F2850" i="1"/>
  <c r="H2850" i="1"/>
  <c r="E2851" i="1"/>
  <c r="F2851" i="1"/>
  <c r="H2851" i="1"/>
  <c r="E2852" i="1"/>
  <c r="F2852" i="1"/>
  <c r="H2852" i="1"/>
  <c r="E2853" i="1"/>
  <c r="F2853" i="1"/>
  <c r="H2853" i="1"/>
  <c r="E2854" i="1"/>
  <c r="F2854" i="1"/>
  <c r="H2854" i="1"/>
  <c r="E2855" i="1"/>
  <c r="F2855" i="1"/>
  <c r="H2855" i="1"/>
  <c r="E2856" i="1"/>
  <c r="F2856" i="1"/>
  <c r="H2856" i="1"/>
  <c r="E2857" i="1"/>
  <c r="F2857" i="1"/>
  <c r="H2857" i="1"/>
  <c r="E2858" i="1"/>
  <c r="F2858" i="1"/>
  <c r="H2858" i="1"/>
  <c r="E2859" i="1"/>
  <c r="F2859" i="1"/>
  <c r="H2859" i="1"/>
  <c r="E2860" i="1"/>
  <c r="F2860" i="1"/>
  <c r="H2860" i="1"/>
  <c r="E2861" i="1"/>
  <c r="F2861" i="1"/>
  <c r="H2861" i="1"/>
  <c r="E2862" i="1"/>
  <c r="F2862" i="1"/>
  <c r="H2862" i="1"/>
  <c r="E2863" i="1"/>
  <c r="F2863" i="1"/>
  <c r="H2863" i="1"/>
  <c r="E2864" i="1"/>
  <c r="F2864" i="1"/>
  <c r="H2864" i="1"/>
  <c r="E2865" i="1"/>
  <c r="F2865" i="1"/>
  <c r="H2865" i="1"/>
  <c r="E2866" i="1"/>
  <c r="F2866" i="1"/>
  <c r="H2866" i="1"/>
  <c r="E2867" i="1"/>
  <c r="F2867" i="1"/>
  <c r="H2867" i="1"/>
  <c r="E2868" i="1"/>
  <c r="F2868" i="1"/>
  <c r="H2868" i="1"/>
  <c r="E2869" i="1"/>
  <c r="F2869" i="1"/>
  <c r="H2869" i="1"/>
  <c r="E2870" i="1"/>
  <c r="F2870" i="1"/>
  <c r="H2870" i="1"/>
  <c r="E2871" i="1"/>
  <c r="F2871" i="1"/>
  <c r="H2871" i="1"/>
  <c r="E2872" i="1"/>
  <c r="F2872" i="1"/>
  <c r="H2872" i="1"/>
  <c r="E2873" i="1"/>
  <c r="F2873" i="1"/>
  <c r="H2873" i="1"/>
  <c r="E2874" i="1"/>
  <c r="F2874" i="1"/>
  <c r="H2874" i="1"/>
  <c r="E2875" i="1"/>
  <c r="F2875" i="1"/>
  <c r="H2875" i="1"/>
  <c r="E2876" i="1"/>
  <c r="F2876" i="1"/>
  <c r="H2876" i="1"/>
  <c r="E2877" i="1"/>
  <c r="F2877" i="1"/>
  <c r="H2877" i="1"/>
  <c r="E2878" i="1"/>
  <c r="F2878" i="1"/>
  <c r="H2878" i="1"/>
  <c r="E2879" i="1"/>
  <c r="F2879" i="1"/>
  <c r="H2879" i="1"/>
  <c r="E2880" i="1"/>
  <c r="F2880" i="1"/>
  <c r="H2880" i="1"/>
  <c r="E2881" i="1"/>
  <c r="F2881" i="1"/>
  <c r="H2881" i="1"/>
  <c r="E2882" i="1"/>
  <c r="F2882" i="1"/>
  <c r="H2882" i="1"/>
  <c r="E2883" i="1"/>
  <c r="F2883" i="1"/>
  <c r="H2883" i="1"/>
  <c r="E2884" i="1"/>
  <c r="F2884" i="1"/>
  <c r="H2884" i="1"/>
  <c r="E2885" i="1"/>
  <c r="F2885" i="1"/>
  <c r="H2885" i="1"/>
  <c r="E2886" i="1"/>
  <c r="F2886" i="1"/>
  <c r="H2886" i="1"/>
  <c r="E2887" i="1"/>
  <c r="F2887" i="1"/>
  <c r="H2887" i="1"/>
  <c r="E2888" i="1"/>
  <c r="F2888" i="1"/>
  <c r="H2888" i="1"/>
</calcChain>
</file>

<file path=xl/sharedStrings.xml><?xml version="1.0" encoding="utf-8"?>
<sst xmlns="http://schemas.openxmlformats.org/spreadsheetml/2006/main" count="602" uniqueCount="445">
  <si>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</si>
  <si>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</si>
  <si>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</si>
  <si>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</si>
  <si>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</si>
  <si>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</si>
  <si>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</si>
  <si>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</si>
  <si>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973 MATERIALS  LLC</t>
  </si>
  <si>
    <t>ARNOLD OIL COMPANY OF AUSTIN LP</t>
  </si>
  <si>
    <t>ABREO &amp; CARTER</t>
  </si>
  <si>
    <t>NEW ACADEMY HOLDING COMPANY  LLC</t>
  </si>
  <si>
    <t>ACE MART RESTAURANT SUPPLY</t>
  </si>
  <si>
    <t>ACTIVE 911  INC.</t>
  </si>
  <si>
    <t>ADAM DAKOTA ROWINS</t>
  </si>
  <si>
    <t>ADAM MARSHALL</t>
  </si>
  <si>
    <t>ADENA LEWIS</t>
  </si>
  <si>
    <t>ADVANCED GRAPHIX INC</t>
  </si>
  <si>
    <t>ALAMO  GROUP (TX)  INC</t>
  </si>
  <si>
    <t>ALBERT NEAL PFEIFFER</t>
  </si>
  <si>
    <t>TIMOTHY HALL</t>
  </si>
  <si>
    <t>ALL STARR TERMITE &amp; PEST CONTROL INC</t>
  </si>
  <si>
    <t>AMAZON CAPITAL SERVICES INC</t>
  </si>
  <si>
    <t>AMERICAN ASSN OF NOTARIES</t>
  </si>
  <si>
    <t>AMERICAN FASTENERS  INC.</t>
  </si>
  <si>
    <t>AMERISOURCEBERGEN</t>
  </si>
  <si>
    <t>AMG PRINTING &amp; MAILING  LLC</t>
  </si>
  <si>
    <t>ANDERSON &amp; ANDERSON LAW FIRM PC</t>
  </si>
  <si>
    <t>C APPLEMAN ENT INC</t>
  </si>
  <si>
    <t>APPRISS INC</t>
  </si>
  <si>
    <t>AQUA BEVERAGE COMPANY/OZARKA</t>
  </si>
  <si>
    <t>AQUA WATER SUPPLY CORPORATION</t>
  </si>
  <si>
    <t>ARSENAL ADVERTISING LLC</t>
  </si>
  <si>
    <t>ASCENSION SETON</t>
  </si>
  <si>
    <t>ASHLEY HERMANS</t>
  </si>
  <si>
    <t>AT&amp;T</t>
  </si>
  <si>
    <t>AT&amp;T MOBILITY</t>
  </si>
  <si>
    <t>GATEHOUSE MEDIA TEXAS HOLDINGS II  INC.</t>
  </si>
  <si>
    <t>AUSTIN CITY BUSINESS JOURNALS</t>
  </si>
  <si>
    <t>AUSTIN REBUILDERS INC</t>
  </si>
  <si>
    <t>AUTUMN CHEEK</t>
  </si>
  <si>
    <t>JIM ATTRA INC</t>
  </si>
  <si>
    <t>MICHAEL OLDHAM TIRE INC</t>
  </si>
  <si>
    <t>EDUARDO BARRIENTOS</t>
  </si>
  <si>
    <t>BASTROP BAIL BONDS</t>
  </si>
  <si>
    <t>BASTROP COUNTY SHERIFF'S DEPT</t>
  </si>
  <si>
    <t>DANIEL L HEPKER</t>
  </si>
  <si>
    <t>BASTROP COUNTY TAX ASSESSOR</t>
  </si>
  <si>
    <t>BASTROP COUNTY CARES</t>
  </si>
  <si>
    <t>BASTROP COUNTY PROBATION DEPT</t>
  </si>
  <si>
    <t>BASTROP PROVIDENCE  LLC</t>
  </si>
  <si>
    <t>BEN E KEITH CO.</t>
  </si>
  <si>
    <t>BENJAMIN LEE HALLMAN</t>
  </si>
  <si>
    <t>MULTI SERVICE TECHNOLOGY SOLUTIONS  INC.</t>
  </si>
  <si>
    <t>B C FOOD GROUP  LLC</t>
  </si>
  <si>
    <t>BETTY LOU GAINES</t>
  </si>
  <si>
    <t>BIG CITY CRUSHED CONCRETE  LLC</t>
  </si>
  <si>
    <t>BIG WRENCH ROAD SERVICE INC</t>
  </si>
  <si>
    <t>MAURINE MC LEAN</t>
  </si>
  <si>
    <t>BIMBO FOODS INC</t>
  </si>
  <si>
    <t>BLUEBONNET AREA CRIME STOPPERS PROGRAM</t>
  </si>
  <si>
    <t>BLUEBONNET ELECTRIC COOPERATIVE  INC.</t>
  </si>
  <si>
    <t>BLUEBONNET TRAILS MHMR</t>
  </si>
  <si>
    <t>BOB BARKER COMPANY  INC.</t>
  </si>
  <si>
    <t>BOEHM TRACTOR SALES INC</t>
  </si>
  <si>
    <t>BOEHRINGER INGELHEIM ANIMAL HEALTH USA INC.</t>
  </si>
  <si>
    <t>BRAUNTEX MATERIALS INC</t>
  </si>
  <si>
    <t>LAW OFFICE OF BRYAN W. MCDANIEL  P.C.</t>
  </si>
  <si>
    <t>BUREAU OF VITAL STATISTICS</t>
  </si>
  <si>
    <t>BUTTERY COMPANY</t>
  </si>
  <si>
    <t>CALDWELL COUNTY SHERIFF</t>
  </si>
  <si>
    <t>CAPITAL AREA COUNCIL OF GOVERNMENTS</t>
  </si>
  <si>
    <t>TIB-THE INDEPENDENT BANKERS BANK</t>
  </si>
  <si>
    <t>CDW GOVERNMENT INC</t>
  </si>
  <si>
    <t>CENTEX MATERIALS LLC</t>
  </si>
  <si>
    <t>CENTEX MECHANICAL INC</t>
  </si>
  <si>
    <t>CHARLES PATNODE</t>
  </si>
  <si>
    <t>CHARLES W CARVER</t>
  </si>
  <si>
    <t>CHARM-TEX</t>
  </si>
  <si>
    <t>CHRIS MATT DILLON</t>
  </si>
  <si>
    <t>CHRISTINE FILES</t>
  </si>
  <si>
    <t>CINTAS</t>
  </si>
  <si>
    <t>CINTAS CORPORATION</t>
  </si>
  <si>
    <t>CITIBANK</t>
  </si>
  <si>
    <t>CITY OF BASTROP</t>
  </si>
  <si>
    <t>CLIFFORD POWER SYSTEMS INC</t>
  </si>
  <si>
    <t>CLINICAL PATHOLOGY LABORATORIES INC</t>
  </si>
  <si>
    <t>CNA SURETY</t>
  </si>
  <si>
    <t>COLORADO MATERIALS CO.</t>
  </si>
  <si>
    <t>COMMUNITY COFFEE COMPANY LLC</t>
  </si>
  <si>
    <t>CONTECH ENGINEERED SOLUTIONS INC</t>
  </si>
  <si>
    <t>COOPER EQUIPMENT CO.</t>
  </si>
  <si>
    <t>COUNTY OF BEXAR - SHERIFF</t>
  </si>
  <si>
    <t>BUTLER ANIMAL HEALTH HOLDING COMPANY  LLC</t>
  </si>
  <si>
    <t>CRAIG WINTER</t>
  </si>
  <si>
    <t>MUNICIPAL SERVICES BUREAU/GILA GROUP</t>
  </si>
  <si>
    <t>D &amp; A WIRE ROPE  INC</t>
  </si>
  <si>
    <t>DALLAS COUNTY CONSTABLE PCT 1</t>
  </si>
  <si>
    <t>DARRELL WILLIAMSON</t>
  </si>
  <si>
    <t>DASH MEDICAL GLOVES INC.</t>
  </si>
  <si>
    <t>DAVID B BROOKS</t>
  </si>
  <si>
    <t>DAVID M COLLINS</t>
  </si>
  <si>
    <t>DEAN DAIRY CORPORATE  LLC</t>
  </si>
  <si>
    <t>DELL</t>
  </si>
  <si>
    <t>DENTRUST DENTAL TX PC</t>
  </si>
  <si>
    <t>ALBERT R DIAZ</t>
  </si>
  <si>
    <t>DICKENS LOCKSMITH INC</t>
  </si>
  <si>
    <t>TEXAS DEPARTMENT OF INFORMATION RESOURCES</t>
  </si>
  <si>
    <t>DONNIE STARK</t>
  </si>
  <si>
    <t>DOOR CONTROL SERVICES INC</t>
  </si>
  <si>
    <t>DORA HERNANDEZ</t>
  </si>
  <si>
    <t>DOUBLE D INTERNATIONAL FOOD CO.  INC.</t>
  </si>
  <si>
    <t>DUNNE &amp; JUAREZ L.L.C.</t>
  </si>
  <si>
    <t>DAVID MCMULLEN</t>
  </si>
  <si>
    <t>ECOLAB INC</t>
  </si>
  <si>
    <t>ELANCO US INC</t>
  </si>
  <si>
    <t>ELECTION CENTER</t>
  </si>
  <si>
    <t>ELECTION SYSTEMS &amp; SOFTWARE INC</t>
  </si>
  <si>
    <t>BLACKLANDS PUBLICATIONS INC</t>
  </si>
  <si>
    <t>CITY OF ELGIN UTILITIES</t>
  </si>
  <si>
    <t>ELLEN OWENS</t>
  </si>
  <si>
    <t>ELLIOTT ELECTRIC SUPPLY INC</t>
  </si>
  <si>
    <t>ELSWORTH SHERMAN</t>
  </si>
  <si>
    <t>ERGON ASPHALT &amp; EMULSIONS INC</t>
  </si>
  <si>
    <t>EVANGELINE DELEON</t>
  </si>
  <si>
    <t>EWALD KUBOTA  INC.</t>
  </si>
  <si>
    <t>BASTROP COUNTY WOMEN'S SHELTER</t>
  </si>
  <si>
    <t>FAYETTE COUNTY TOURISM ASSOCIATION</t>
  </si>
  <si>
    <t>FEDERAL EXPRESS</t>
  </si>
  <si>
    <t>FEDERAL PROCESSING REGISTRY INC.</t>
  </si>
  <si>
    <t>FIRST NATIONAL BANK BASTROP</t>
  </si>
  <si>
    <t>FLEETPRIDE</t>
  </si>
  <si>
    <t>FORREST L. SANDERSON</t>
  </si>
  <si>
    <t>FORT BEND COUNTY CONSTABLE PCT 3</t>
  </si>
  <si>
    <t>FOUR B PAVING INC</t>
  </si>
  <si>
    <t>FRANCES HUNTER</t>
  </si>
  <si>
    <t>AUSTIN TRUCK AND EQUIPMENT  LTD</t>
  </si>
  <si>
    <t>FTS FOREST TECHNOLOGY SYSTEMS LTD</t>
  </si>
  <si>
    <t>EUGENE W BRIGGS JR</t>
  </si>
  <si>
    <t>GALLS PARENT HOLDINGS LLC</t>
  </si>
  <si>
    <t>GAME GUARD</t>
  </si>
  <si>
    <t>GILBERT TELLO</t>
  </si>
  <si>
    <t>GIPSON PENDERGRASS PEOPLE'S MORTUARY LLC</t>
  </si>
  <si>
    <t>GOVERNMENT FORMS AND SUPPLIES LLC</t>
  </si>
  <si>
    <t>GRAINGER INC</t>
  </si>
  <si>
    <t>GREG GILLELAND</t>
  </si>
  <si>
    <t>GT DISTRIBUTORS  INC.</t>
  </si>
  <si>
    <t>GUADALUPE COUNTY SHERIFF</t>
  </si>
  <si>
    <t>GULF COAST PAPER CO. INC.</t>
  </si>
  <si>
    <t>HALFF ASSOCIATES</t>
  </si>
  <si>
    <t>HARRIS COUNTY CONSTABLE PCT 1</t>
  </si>
  <si>
    <t>HARRIS COUNTY CONSTABLE PCT 5</t>
  </si>
  <si>
    <t>HAYS COUNTY CONSTABLE PCT 4</t>
  </si>
  <si>
    <t>HCI</t>
  </si>
  <si>
    <t>HEART OF THE PINES VFD</t>
  </si>
  <si>
    <t>HEARTLAND QUARRIES  LLC</t>
  </si>
  <si>
    <t>ITR AMERICA LLC</t>
  </si>
  <si>
    <t>HENGST PRINTING &amp; SUPPLIES</t>
  </si>
  <si>
    <t>HI-LINE</t>
  </si>
  <si>
    <t>HIDALGO COUNTY SHERIFF</t>
  </si>
  <si>
    <t>BASCOM L HODGES JR</t>
  </si>
  <si>
    <t>HODGSON G ECKEL</t>
  </si>
  <si>
    <t>BD HOLT CO</t>
  </si>
  <si>
    <t>CITIBANK (SOUTH DAKOTA)N.A./THE HOME DEPOT</t>
  </si>
  <si>
    <t>NORTHWEST CASCADE INC</t>
  </si>
  <si>
    <t>GREGORY LUCAS</t>
  </si>
  <si>
    <t>HEAT TRANSFER SOLUTIONS  INC.</t>
  </si>
  <si>
    <t>TAKKT AMERICA HOLDING INC</t>
  </si>
  <si>
    <t>HUMANE EDUCATORS OF TEXAS  LLC</t>
  </si>
  <si>
    <t>HERBERT HURST</t>
  </si>
  <si>
    <t>HYDRAULIC HOUSE INC</t>
  </si>
  <si>
    <t>ICS</t>
  </si>
  <si>
    <t>IDEXX DISTRIBUTION INC</t>
  </si>
  <si>
    <t>IMAGE RIGHTS  INTERNATIONAL  INC.</t>
  </si>
  <si>
    <t>INDIGENT HEALTHCARE SOLUTIONS</t>
  </si>
  <si>
    <t>IRIS YOLANDA MONTUFAR FUENTES</t>
  </si>
  <si>
    <t>IRON MOUNTAIN RECORDS MGMT INC</t>
  </si>
  <si>
    <t>ISI COMMERCIAL REFRIGERATION LLC</t>
  </si>
  <si>
    <t>JAY'S TIRE &amp; AUTOMOTIVE REPAIR INC</t>
  </si>
  <si>
    <t>JENKINS &amp; JENKINS LLP</t>
  </si>
  <si>
    <t>JESSICA GHAZAL</t>
  </si>
  <si>
    <t>JESSICA JAMES</t>
  </si>
  <si>
    <t>JAMES MORGAN</t>
  </si>
  <si>
    <t>JUSTIN MATTHEW FOHN</t>
  </si>
  <si>
    <t>MAX ACOSTA-RUBIO</t>
  </si>
  <si>
    <t>KELLI BRIZENDINE</t>
  </si>
  <si>
    <t>KELLY-MOORE PAINT COMPANY  INC</t>
  </si>
  <si>
    <t>KENNETH LIMUEL</t>
  </si>
  <si>
    <t>KENT BROUSSARD TOWER RENTAL INC</t>
  </si>
  <si>
    <t>KNIGHT SECURITY SYSTEMS LLC</t>
  </si>
  <si>
    <t>KOETTER FIRE PROTECTION OF AUSTIN  LLC</t>
  </si>
  <si>
    <t>L&amp;NM CONSTRUCTION INC.</t>
  </si>
  <si>
    <t>THE LA GRANGE PARTS HOUSE INC</t>
  </si>
  <si>
    <t>LABATT INSTITUTIONAL SUPPLY CO</t>
  </si>
  <si>
    <t>LAKE COUNTRY CHEVROLET  INC.</t>
  </si>
  <si>
    <t>LAURA ROBERTSON</t>
  </si>
  <si>
    <t>LEE COUNTY WATER SUPPLY CORP</t>
  </si>
  <si>
    <t>LENNOX INDUSTRIES INC</t>
  </si>
  <si>
    <t>AUSTIN LT  INC.</t>
  </si>
  <si>
    <t>LEXISNEXIS RISK DATA MGMT INC</t>
  </si>
  <si>
    <t>LONE STAR CIRCLE OF CARE</t>
  </si>
  <si>
    <t>UNITED KWB COLLABORATIONS LLC</t>
  </si>
  <si>
    <t>LONNIE LAWRENCE DAVIS JR</t>
  </si>
  <si>
    <t>SCOTT BRYANT</t>
  </si>
  <si>
    <t>LOWE'S</t>
  </si>
  <si>
    <t>JOHN W GASPARINI INC</t>
  </si>
  <si>
    <t>MARY BETH SCOTT</t>
  </si>
  <si>
    <t>MATHESON TRI-GAS INC</t>
  </si>
  <si>
    <t>MAUREEN S BURROWS MD MPH</t>
  </si>
  <si>
    <t>MAURICE C. COOK</t>
  </si>
  <si>
    <t>McCOY'S BUILDING SUPPLY CENTER</t>
  </si>
  <si>
    <t>McCREARY  VESELKA  BRAGG &amp; ALLEN P</t>
  </si>
  <si>
    <t>McKESSON MEDICAL-SURGICAL GOVERNMENT SOLUTIONS LLC</t>
  </si>
  <si>
    <t>INTERVET INC</t>
  </si>
  <si>
    <t>MICHELE FRITSCHE C.S.R.</t>
  </si>
  <si>
    <t>MIDTEX MATERIALS</t>
  </si>
  <si>
    <t>MILLER VETERINARY SUPPLY CO INC</t>
  </si>
  <si>
    <t>GREGORY N BICKWERMERT</t>
  </si>
  <si>
    <t>JEANNIE MARIE RICHTER</t>
  </si>
  <si>
    <t>BRAD MARTIN LINDGREN</t>
  </si>
  <si>
    <t>CINDY LEE VASQUEZ</t>
  </si>
  <si>
    <t>RONALD DWAYNE DANIELS</t>
  </si>
  <si>
    <t>RONALD DALE BLACKMORE</t>
  </si>
  <si>
    <t>RONA MICHELLE SHEERAN</t>
  </si>
  <si>
    <t>SAMELLA THOMPSON WILLIAMS</t>
  </si>
  <si>
    <t>STEVE RAY CHAMBERLAIN</t>
  </si>
  <si>
    <t>Children's Advocacy Center</t>
  </si>
  <si>
    <t>Family Crisis Center</t>
  </si>
  <si>
    <t>Child Protective Services</t>
  </si>
  <si>
    <t>COURT APPOINTED SPECIAL ADVOCA</t>
  </si>
  <si>
    <t>KENNETH WAYNE ANDERSON SR</t>
  </si>
  <si>
    <t>PENELOPE RUTH JONES</t>
  </si>
  <si>
    <t>MELINDA GAYLENE OLSON</t>
  </si>
  <si>
    <t>JENNIFER BAKER RICHTER</t>
  </si>
  <si>
    <t>KAREN SUE PRIMEAUX</t>
  </si>
  <si>
    <t>JAMES LESTER WILKINSON JR</t>
  </si>
  <si>
    <t>MARK AARON MOKE</t>
  </si>
  <si>
    <t>ERIN TAYLOR EARLEY</t>
  </si>
  <si>
    <t>VICTORIA KELSEY HANSHEW</t>
  </si>
  <si>
    <t>ARTEM SKVORTSOV</t>
  </si>
  <si>
    <t>MONTY LEE CEDER</t>
  </si>
  <si>
    <t>JOSE ESTEBAN VILLARREAL</t>
  </si>
  <si>
    <t>TYLER EDWARD SYNATSCHK</t>
  </si>
  <si>
    <t>CRYSTAL RAE HALL</t>
  </si>
  <si>
    <t>RHOMMIELLE LYNDON BUADO</t>
  </si>
  <si>
    <t>THOMAS CLINTON SMITH</t>
  </si>
  <si>
    <t>CYLE RICHARD JONES</t>
  </si>
  <si>
    <t>JUSTIN LOGAN BRYANT</t>
  </si>
  <si>
    <t>DAIGA LIUIJA STROUD</t>
  </si>
  <si>
    <t>DUSTIN JAMES BOLING</t>
  </si>
  <si>
    <t>HELEN LUCILE HAMRICK</t>
  </si>
  <si>
    <t>MITCHELL WAYNE BLACKWELL</t>
  </si>
  <si>
    <t>JACOB THOMAS HAYNES</t>
  </si>
  <si>
    <t>JORGE ARTURO ARROYO</t>
  </si>
  <si>
    <t>GOVINDA STEVENS HOUGH</t>
  </si>
  <si>
    <t>KIRK FREDRICK HOEFER</t>
  </si>
  <si>
    <t>JOANNA L WOOD</t>
  </si>
  <si>
    <t>BRIAN EDWARD COMER</t>
  </si>
  <si>
    <t>TAMARA L SCOTT-STENGER</t>
  </si>
  <si>
    <t>CYNTHIA MICHELLE CAMARILLO</t>
  </si>
  <si>
    <t>PAUL SILVEIRA</t>
  </si>
  <si>
    <t>MARIA ROSARIO OWENS</t>
  </si>
  <si>
    <t>RILEY JOSEPH MUSHILL</t>
  </si>
  <si>
    <t>ANA CRISTINA PAGAN MARTINEZ</t>
  </si>
  <si>
    <t>TYLER JOSEPH FENDER</t>
  </si>
  <si>
    <t>LUIS ENRIQUE CORONA</t>
  </si>
  <si>
    <t>TASHA LUCILLE BYLER</t>
  </si>
  <si>
    <t>PAULINO MATA HERNANDEZ</t>
  </si>
  <si>
    <t>JOSHUA NATHAN HOEFER</t>
  </si>
  <si>
    <t>LILLIAN MEREDITH YOUNT</t>
  </si>
  <si>
    <t>KATHRYN KIMBERLY GASSAWAY</t>
  </si>
  <si>
    <t>CHARLES CURTIS ERVIN IV</t>
  </si>
  <si>
    <t>DENA JOI ZIZZO</t>
  </si>
  <si>
    <t>ROY ANDRE VANERMELSCHERER</t>
  </si>
  <si>
    <t>LAYLA ALIA EMERSON</t>
  </si>
  <si>
    <t>MOISES OR CAROLINE GUERRERO</t>
  </si>
  <si>
    <t>MONTGOMERY COUNTY CONSTABLE PCT 1</t>
  </si>
  <si>
    <t>MOTOROLA SOLUTIONS  IN.C</t>
  </si>
  <si>
    <t>EK&amp;R ENTERPRISES  INC</t>
  </si>
  <si>
    <t>NALCO COMPANY LLC</t>
  </si>
  <si>
    <t>NATIONAL FOOD GROUP INC</t>
  </si>
  <si>
    <t>NEWEGG BUSINESS INC.</t>
  </si>
  <si>
    <t>NUECES FARM CENTER</t>
  </si>
  <si>
    <t>O'REILLY AUTOMOTIVE  INC.</t>
  </si>
  <si>
    <t>OFFICE DEPOT</t>
  </si>
  <si>
    <t>IHS GLOBAL INC.</t>
  </si>
  <si>
    <t>MICHAEL OLSON</t>
  </si>
  <si>
    <t>OMNIBASE SERVICES OF TEXAS LP</t>
  </si>
  <si>
    <t>ORTHOPAEDIC ASSOCIATES OF CENTRAL TEXAS  PA</t>
  </si>
  <si>
    <t>ROGER C. OSBORN</t>
  </si>
  <si>
    <t>OSBURN ASSOCIATES INC.</t>
  </si>
  <si>
    <t>OPERATIONAL SUPPORT SERVICES INC</t>
  </si>
  <si>
    <t>PAIGE TRACTORS INC</t>
  </si>
  <si>
    <t>PAPER RETRIEVER OF TEXAS</t>
  </si>
  <si>
    <t>SL PARKER PARTNERSHIP LLC</t>
  </si>
  <si>
    <t>PATRICK ELECTRIC SERVICE</t>
  </si>
  <si>
    <t>JACOB  COX</t>
  </si>
  <si>
    <t>PATTERSON  VETERINARY SUPPLY INC</t>
  </si>
  <si>
    <t>PAUL GRANADO</t>
  </si>
  <si>
    <t>PHILIP L HALL</t>
  </si>
  <si>
    <t>PHILIP R DUCLOUX</t>
  </si>
  <si>
    <t>PHILLIP N. SLAUGHTER</t>
  </si>
  <si>
    <t>CLYDE HAYWOOD SR</t>
  </si>
  <si>
    <t>PITNEY BOWES GLOBAL FINANCIAL SERVICES</t>
  </si>
  <si>
    <t>PM WILSON &amp; ASSOCIATES PLLC</t>
  </si>
  <si>
    <t>POST OAK HARDWARE  INC.</t>
  </si>
  <si>
    <t>POSTMASTER</t>
  </si>
  <si>
    <t>JERRY POWELL</t>
  </si>
  <si>
    <t>JOHN DEERE FINANCIAL f.s.b.</t>
  </si>
  <si>
    <t>PRAXAIR DISTRIBUTION  INC.</t>
  </si>
  <si>
    <t>PROFESSIONAL SAFETY SUPPLY</t>
  </si>
  <si>
    <t>PROGRESSIVE - RESTITUTION ACCT</t>
  </si>
  <si>
    <t>181 03/01/2021"</t>
  </si>
  <si>
    <t>PYE-BARKER FIRE &amp; SAFETY LLC</t>
  </si>
  <si>
    <t>QUEST DIAGNOSTICS CLINICAL LABORATORIES</t>
  </si>
  <si>
    <t>NESTLE WATERS N AMERICA INC</t>
  </si>
  <si>
    <t>REBECCA STRNAD</t>
  </si>
  <si>
    <t>NRG ENERGY INC</t>
  </si>
  <si>
    <t>RESERVE ACCOUNT</t>
  </si>
  <si>
    <t>RIATA FORD</t>
  </si>
  <si>
    <t>RIC COLE</t>
  </si>
  <si>
    <t>CIT TECHNOLOGY FINANCE</t>
  </si>
  <si>
    <t>RUNKLE ENTERPRISES</t>
  </si>
  <si>
    <t>ROADRUNNER RADIOLOGY EQUIP LLC</t>
  </si>
  <si>
    <t>ROBERT MADDEN INDUSTRIES LTD</t>
  </si>
  <si>
    <t>ROCKY ROAD PRINTING</t>
  </si>
  <si>
    <t>RODERICK DEWAYNE MOORE</t>
  </si>
  <si>
    <t>ROSE PIETSCH</t>
  </si>
  <si>
    <t>ROSE PIETSCH COUNTY CLERK</t>
  </si>
  <si>
    <t>SAFARILAND LLC</t>
  </si>
  <si>
    <t>SAM HOUSTON STATE UNIVERSITY</t>
  </si>
  <si>
    <t>SECRETARY OF STATE</t>
  </si>
  <si>
    <t>SECURETECH SYSTEMS  INC.</t>
  </si>
  <si>
    <t>SHARON HANCOCK</t>
  </si>
  <si>
    <t>FERRELLGAS  LP</t>
  </si>
  <si>
    <t>SHERIFFS' ASSOCIATION OF TEXAS</t>
  </si>
  <si>
    <t>SHI GOVERNMENT SOLUTIONS INC.</t>
  </si>
  <si>
    <t>SHOPPA'S FARM SUPPLY</t>
  </si>
  <si>
    <t>SHRED-IT US HOLDCO  INC</t>
  </si>
  <si>
    <t>JANINE FEMINELLA</t>
  </si>
  <si>
    <t>SINGLETON ASSOCIATES  PA</t>
  </si>
  <si>
    <t>SMITH STORES  INC.</t>
  </si>
  <si>
    <t>SMITHVILLE AUTO PARTS  INC</t>
  </si>
  <si>
    <t>SOUTH CENTRAL PLANNING AND DEVELOPMENT COMMISSION</t>
  </si>
  <si>
    <t>SOUTHERN COMPUTER WAREHOUSE INC</t>
  </si>
  <si>
    <t>SOUTHERN TIRE MART LLC</t>
  </si>
  <si>
    <t>ST DAVID'S HEALTHCARE PARTNERSHIP</t>
  </si>
  <si>
    <t>STAPLES  INC.</t>
  </si>
  <si>
    <t>STATE OF TEXAS</t>
  </si>
  <si>
    <t>STEFANIE LEE</t>
  </si>
  <si>
    <t>STERICYCLE  INC.</t>
  </si>
  <si>
    <t>STEVE GRANADO</t>
  </si>
  <si>
    <t>STEVEN A LONG</t>
  </si>
  <si>
    <t>STRATEGIC EQUIPMENT  LLC</t>
  </si>
  <si>
    <t>MICHAEL GRAMZA</t>
  </si>
  <si>
    <t>SUN COAST RESOURCES</t>
  </si>
  <si>
    <t>T4 DISTRIBUTION  LLC</t>
  </si>
  <si>
    <t>TEXAS ASSOCIATION OF ASSESSING OFFICERS</t>
  </si>
  <si>
    <t>TAVCO SERVICES INC</t>
  </si>
  <si>
    <t>TEXAS COMMISSION ON LAW ENFORCEMENT</t>
  </si>
  <si>
    <t>TEXAS DISTRICT &amp; COUNTY ATTORNEYS ASSOCIATION</t>
  </si>
  <si>
    <t>TEXAS A&amp;M ENGINEERING EXTENSION SERVICE</t>
  </si>
  <si>
    <t>TEJAS ELEVATOR COMPANY</t>
  </si>
  <si>
    <t>AIR RELIEF TECHNOLOGIES  INC</t>
  </si>
  <si>
    <t>TEX-CON OIL CO</t>
  </si>
  <si>
    <t>TEXAS ASSOCIATES INSURORS AGENCY</t>
  </si>
  <si>
    <t>TEXAS ASSOCIATION OF COUNTIES</t>
  </si>
  <si>
    <t>TEXAS CNTY &amp; DIST RETIREMENT SYS</t>
  </si>
  <si>
    <t>TEXAS COLLEGE OF PROBATE JUDGES</t>
  </si>
  <si>
    <t>TEXAS COMMISSION ON ENVIRONMENTAL QUALITY</t>
  </si>
  <si>
    <t>TEXAS DEPT OF LICENSING &amp; REGULATION</t>
  </si>
  <si>
    <t>TEXAS DEPT OF PUBLIC SAFETY</t>
  </si>
  <si>
    <t>TEXAS DISPOSAL SYSTEMS  INC.</t>
  </si>
  <si>
    <t>TEXAS DOWNTOWN ASSOCIATION</t>
  </si>
  <si>
    <t>TEXAS ECONOMIC DEVELOPMENT COUNCIL</t>
  </si>
  <si>
    <t>TEXAS MATERIALS GROUP  INC.</t>
  </si>
  <si>
    <t>TEXAS PARKS &amp; WILDLIFE DEPARTMENT</t>
  </si>
  <si>
    <t>TEXAS POLICE ASSOCIATION</t>
  </si>
  <si>
    <t>TEXAS TRAVEL ALLIANCE</t>
  </si>
  <si>
    <t>THE BUFFALO TRADING COMPANY</t>
  </si>
  <si>
    <t>BUG MASTER EXTERMINATING SERVICES  LTD</t>
  </si>
  <si>
    <t>JAMES ANDREW CASEY</t>
  </si>
  <si>
    <t>SANDRA FAYE ROBINSON</t>
  </si>
  <si>
    <t>RICHARD NELSON MOORE</t>
  </si>
  <si>
    <t>THE PRODUCT CENTER</t>
  </si>
  <si>
    <t>WEST PUBLISHING CORPORATION</t>
  </si>
  <si>
    <t>WORK QUEST</t>
  </si>
  <si>
    <t>TWE-ADVANCE/NEWHOUSE PARTNERSHIP</t>
  </si>
  <si>
    <t>TOMMY POTTS</t>
  </si>
  <si>
    <t>TRACTOR SUPPLY CREDIT PLAN</t>
  </si>
  <si>
    <t>TRAVELERS INDEMNITY COMPANY</t>
  </si>
  <si>
    <t>TRAVIS COUNTY CLERK</t>
  </si>
  <si>
    <t>TRAVIS COUNTY CONSTABLE PCT 5</t>
  </si>
  <si>
    <t>TRAVIS COUNTY MEDICAL EXAMINER</t>
  </si>
  <si>
    <t>TRP CONSTRUTION GROUP  LLC</t>
  </si>
  <si>
    <t>TULL FARLEY</t>
  </si>
  <si>
    <t>TVMDL</t>
  </si>
  <si>
    <t>TWISTED WRENCHES FLEET SERVICE LLC</t>
  </si>
  <si>
    <t>TEXAS DEPARTMENT OF TRANSPORTATION</t>
  </si>
  <si>
    <t>TYLER TECHNOLOGIES INC</t>
  </si>
  <si>
    <t>ULINE  INC.</t>
  </si>
  <si>
    <t>COUFAL-PRATER EQUIPMENT  LLC</t>
  </si>
  <si>
    <t>UNITED REFRIGERATION INC</t>
  </si>
  <si>
    <t>UNIVERSITY OF TEXAS</t>
  </si>
  <si>
    <t>VALERIE BULLOCK</t>
  </si>
  <si>
    <t>VERIZON WIRELESS</t>
  </si>
  <si>
    <t>VICTORY SUPPLY LLC</t>
  </si>
  <si>
    <t>VIGILANT SOLUTIONS  LLC</t>
  </si>
  <si>
    <t>VISTAPRINT</t>
  </si>
  <si>
    <t>TEXAS DEPARTMENT OF STATE HEALTH SERVICES</t>
  </si>
  <si>
    <t>VOTEC CORPORATION</t>
  </si>
  <si>
    <t>US BANK NA</t>
  </si>
  <si>
    <t>VTX COMMUNICATIONS  LLC</t>
  </si>
  <si>
    <t>VULCAN CONSTRUCTION MATERIALS  LP</t>
  </si>
  <si>
    <t>WAGEWORKS INC  FSA/HSA</t>
  </si>
  <si>
    <t>WALLER COUNTY ASPHALT INC</t>
  </si>
  <si>
    <t>WASTE CONNECTIONS LONE STAR. INC.</t>
  </si>
  <si>
    <t>WASTE MANAGEMENT OF TEXAS  INC</t>
  </si>
  <si>
    <t>WELLS FARGO BANK  NA</t>
  </si>
  <si>
    <t>LEYLA YATIM-ALIN</t>
  </si>
  <si>
    <t>MAO PHARMACY INC</t>
  </si>
  <si>
    <t>WILLIAMSON COUNTY CONSTABLE PCT 4</t>
  </si>
  <si>
    <t>WILLIAMSON COUNTY CONSTABLE PCT 1</t>
  </si>
  <si>
    <t>WINZER CORPORATION</t>
  </si>
  <si>
    <t>YVONNE ROCHA</t>
  </si>
  <si>
    <t>ZW USA  Inc.</t>
  </si>
  <si>
    <t>ZOETIS US LLC</t>
  </si>
  <si>
    <t>DESMAR WALKES</t>
  </si>
  <si>
    <t>MERGERS MARKETING INC.</t>
  </si>
  <si>
    <t>FIRST NATIONAL BANK</t>
  </si>
  <si>
    <t>LANGFORD COMMUNITY MGMT INC</t>
  </si>
  <si>
    <t>TEXAS DIVISION OF EMERGENCY MANAGEMENT</t>
  </si>
  <si>
    <t>ALLSTATE-AMERICAN HERITAGE LIFE INS CO</t>
  </si>
  <si>
    <t>AmWINS Group Benefits  Inc.</t>
  </si>
  <si>
    <t>BASTROP COUNTY ADULT PROBATION</t>
  </si>
  <si>
    <t>COLONIAL LIFE &amp; ACCIDENT INS. CO.</t>
  </si>
  <si>
    <t>CPI QUALIFIED PLAN CONSULTANTS  INC.</t>
  </si>
  <si>
    <t>GUARDIAN</t>
  </si>
  <si>
    <t>INDIANA STATE CENTRAL COLLECTION UNIT</t>
  </si>
  <si>
    <t>IRS-PAYROLL TAXES</t>
  </si>
  <si>
    <t>GERALD FLORES OLIVO</t>
  </si>
  <si>
    <t>TAC HEALTH BENEFITS POOL</t>
  </si>
  <si>
    <t>TOTAL ADMINISTRATIVE SERVICES CORPORATION</t>
  </si>
  <si>
    <t>TEXAS ATTY.GENERAL'S OFFICE</t>
  </si>
  <si>
    <t>TEXAS LEGAL PROTECTION PLAN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</si>
</sst>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0" fillId="0" borderId="0" xfId="0" applyFill="1"/>
    <xf numFmtId="43" fontId="0" fillId="0" borderId="10" xfId="1" applyFont="1" applyBorder="1"/>
    <xf numFmtId="43" fontId="0" fillId="33" borderId="0" xfId="1" applyFont="1" applyFill="1"/>
    <xf numFmtId="43" fontId="0" fillId="0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9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7.140625" bestFit="1" customWidth="1"/>
    <col min="2" max="2" width="10" bestFit="1" customWidth="1"/>
    <col min="3" max="3" width="16.28515625" style="4" bestFit="1" customWidth="1"/>
    <col min="4" max="4" width="13.140625" bestFit="1" customWidth="1"/>
    <col min="5" max="5" width="19" bestFit="1" customWidth="1"/>
    <col min="6" max="6" width="35.85546875" bestFit="1" customWidth="1"/>
    <col min="7" max="7" width="19.7109375" style="4" bestFit="1" customWidth="1"/>
    <col min="8" max="8" width="35.85546875" bestFit="1" customWidth="1"/>
  </cols>
  <sheetData>
    <row r="1" spans="1:8" s="2" customFormat="1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</row>
    <row r="2" spans="1:8" x14ac:dyDescent="0.25">
      <c r="A2" t="s">
        <v>8</v>
      </c>
      <c r="B2">
        <v>4554</v>
      </c>
      <c r="C2" s="4">
        <v>19132.79</v>
      </c>
      <c r="D2" s="1">
        <v>44362</v>
      </c>
      <c r="E2" t="str">
        <f>"9725-001-121607"</f>
        <v>9725-001-121607</v>
      </c>
      <c r="F2" t="str">
        <f t="shared" ref="F2:F10" si="0">"ACCT#9725-001//PCT#2"</f>
        <v>ACCT#9725-001//PCT#2</v>
      </c>
      <c r="G2" s="4">
        <v>416.24</v>
      </c>
      <c r="H2" t="str">
        <f t="shared" ref="H2:H10" si="1">"ACCT#9725-001//PCT#2"</f>
        <v>ACCT#9725-001//PCT#2</v>
      </c>
    </row>
    <row r="3" spans="1:8" x14ac:dyDescent="0.25">
      <c r="E3" t="str">
        <f>"9725-001-121624"</f>
        <v>9725-001-121624</v>
      </c>
      <c r="F3" t="str">
        <f t="shared" si="0"/>
        <v>ACCT#9725-001//PCT#2</v>
      </c>
      <c r="G3" s="4">
        <v>412.48</v>
      </c>
      <c r="H3" t="str">
        <f t="shared" si="1"/>
        <v>ACCT#9725-001//PCT#2</v>
      </c>
    </row>
    <row r="4" spans="1:8" x14ac:dyDescent="0.25">
      <c r="E4" t="str">
        <f>"9725-001-121648"</f>
        <v>9725-001-121648</v>
      </c>
      <c r="F4" t="str">
        <f t="shared" si="0"/>
        <v>ACCT#9725-001//PCT#2</v>
      </c>
      <c r="G4" s="4">
        <v>421.14</v>
      </c>
      <c r="H4" t="str">
        <f t="shared" si="1"/>
        <v>ACCT#9725-001//PCT#2</v>
      </c>
    </row>
    <row r="5" spans="1:8" x14ac:dyDescent="0.25">
      <c r="E5" t="str">
        <f>"9725-001-121665"</f>
        <v>9725-001-121665</v>
      </c>
      <c r="F5" t="str">
        <f t="shared" si="0"/>
        <v>ACCT#9725-001//PCT#2</v>
      </c>
      <c r="G5" s="4">
        <v>630.19000000000005</v>
      </c>
      <c r="H5" t="str">
        <f t="shared" si="1"/>
        <v>ACCT#9725-001//PCT#2</v>
      </c>
    </row>
    <row r="6" spans="1:8" x14ac:dyDescent="0.25">
      <c r="E6" t="str">
        <f>"9725-001-121689"</f>
        <v>9725-001-121689</v>
      </c>
      <c r="F6" t="str">
        <f t="shared" si="0"/>
        <v>ACCT#9725-001//PCT#2</v>
      </c>
      <c r="G6" s="4">
        <v>209.39</v>
      </c>
      <c r="H6" t="str">
        <f t="shared" si="1"/>
        <v>ACCT#9725-001//PCT#2</v>
      </c>
    </row>
    <row r="7" spans="1:8" x14ac:dyDescent="0.25">
      <c r="E7" t="str">
        <f>"9725-001-121709"</f>
        <v>9725-001-121709</v>
      </c>
      <c r="F7" t="str">
        <f t="shared" si="0"/>
        <v>ACCT#9725-001//PCT#2</v>
      </c>
      <c r="G7" s="4">
        <v>419.48</v>
      </c>
      <c r="H7" t="str">
        <f t="shared" si="1"/>
        <v>ACCT#9725-001//PCT#2</v>
      </c>
    </row>
    <row r="8" spans="1:8" x14ac:dyDescent="0.25">
      <c r="E8" t="str">
        <f>"9725-001-121727"</f>
        <v>9725-001-121727</v>
      </c>
      <c r="F8" t="str">
        <f t="shared" si="0"/>
        <v>ACCT#9725-001//PCT#2</v>
      </c>
      <c r="G8" s="4">
        <v>207.2</v>
      </c>
      <c r="H8" t="str">
        <f t="shared" si="1"/>
        <v>ACCT#9725-001//PCT#2</v>
      </c>
    </row>
    <row r="9" spans="1:8" x14ac:dyDescent="0.25">
      <c r="E9" t="str">
        <f>"9725-001-121748"</f>
        <v>9725-001-121748</v>
      </c>
      <c r="F9" t="str">
        <f t="shared" si="0"/>
        <v>ACCT#9725-001//PCT#2</v>
      </c>
      <c r="G9" s="4">
        <v>424.29</v>
      </c>
      <c r="H9" t="str">
        <f t="shared" si="1"/>
        <v>ACCT#9725-001//PCT#2</v>
      </c>
    </row>
    <row r="10" spans="1:8" x14ac:dyDescent="0.25">
      <c r="E10" t="str">
        <f>"9725-001-121765"</f>
        <v>9725-001-121765</v>
      </c>
      <c r="F10" t="str">
        <f t="shared" si="0"/>
        <v>ACCT#9725-001//PCT#2</v>
      </c>
      <c r="G10" s="4">
        <v>210</v>
      </c>
      <c r="H10" t="str">
        <f t="shared" si="1"/>
        <v>ACCT#9725-001//PCT#2</v>
      </c>
    </row>
    <row r="11" spans="1:8" x14ac:dyDescent="0.25">
      <c r="E11" t="str">
        <f>"9725-001-121787"</f>
        <v>9725-001-121787</v>
      </c>
      <c r="F11" t="str">
        <f>"ACCT#9725-001/PCT#2"</f>
        <v>ACCT#9725-001/PCT#2</v>
      </c>
      <c r="G11" s="4">
        <v>417.21</v>
      </c>
      <c r="H11" t="str">
        <f>"ACCT#9725-001/PCT#2"</f>
        <v>ACCT#9725-001/PCT#2</v>
      </c>
    </row>
    <row r="12" spans="1:8" x14ac:dyDescent="0.25">
      <c r="E12" t="str">
        <f>"9725-007-121631"</f>
        <v>9725-007-121631</v>
      </c>
      <c r="F12" t="str">
        <f t="shared" ref="F12:F17" si="2">"ACCT#9725-007/PCT#4"</f>
        <v>ACCT#9725-007/PCT#4</v>
      </c>
      <c r="G12" s="4">
        <v>3119.91</v>
      </c>
      <c r="H12" t="str">
        <f t="shared" ref="H12:H17" si="3">"ACCT#9725-007/PCT#4"</f>
        <v>ACCT#9725-007/PCT#4</v>
      </c>
    </row>
    <row r="13" spans="1:8" x14ac:dyDescent="0.25">
      <c r="E13" t="str">
        <f>"9725-007-121656"</f>
        <v>9725-007-121656</v>
      </c>
      <c r="F13" t="str">
        <f t="shared" si="2"/>
        <v>ACCT#9725-007/PCT#4</v>
      </c>
      <c r="G13" s="4">
        <v>2090.0500000000002</v>
      </c>
      <c r="H13" t="str">
        <f t="shared" si="3"/>
        <v>ACCT#9725-007/PCT#4</v>
      </c>
    </row>
    <row r="14" spans="1:8" x14ac:dyDescent="0.25">
      <c r="E14" t="str">
        <f>"9725-007-121674"</f>
        <v>9725-007-121674</v>
      </c>
      <c r="F14" t="str">
        <f t="shared" si="2"/>
        <v>ACCT#9725-007/PCT#4</v>
      </c>
      <c r="G14" s="4">
        <v>2321.67</v>
      </c>
      <c r="H14" t="str">
        <f t="shared" si="3"/>
        <v>ACCT#9725-007/PCT#4</v>
      </c>
    </row>
    <row r="15" spans="1:8" x14ac:dyDescent="0.25">
      <c r="E15" t="str">
        <f>"9725-007-121698"</f>
        <v>9725-007-121698</v>
      </c>
      <c r="F15" t="str">
        <f t="shared" si="2"/>
        <v>ACCT#9725-007/PCT#4</v>
      </c>
      <c r="G15" s="4">
        <v>1452.6</v>
      </c>
      <c r="H15" t="str">
        <f t="shared" si="3"/>
        <v>ACCT#9725-007/PCT#4</v>
      </c>
    </row>
    <row r="16" spans="1:8" x14ac:dyDescent="0.25">
      <c r="E16" t="str">
        <f>"9725-007-121756"</f>
        <v>9725-007-121756</v>
      </c>
      <c r="F16" t="str">
        <f t="shared" si="2"/>
        <v>ACCT#9725-007/PCT#4</v>
      </c>
      <c r="G16" s="4">
        <v>3046.79</v>
      </c>
      <c r="H16" t="str">
        <f t="shared" si="3"/>
        <v>ACCT#9725-007/PCT#4</v>
      </c>
    </row>
    <row r="17" spans="1:8" x14ac:dyDescent="0.25">
      <c r="E17" t="str">
        <f>"9725-007-121775"</f>
        <v>9725-007-121775</v>
      </c>
      <c r="F17" t="str">
        <f t="shared" si="2"/>
        <v>ACCT#9725-007/PCT#4</v>
      </c>
      <c r="G17" s="4">
        <v>3334.15</v>
      </c>
      <c r="H17" t="str">
        <f t="shared" si="3"/>
        <v>ACCT#9725-007/PCT#4</v>
      </c>
    </row>
    <row r="18" spans="1:8" x14ac:dyDescent="0.25">
      <c r="A18" t="s">
        <v>8</v>
      </c>
      <c r="B18">
        <v>4636</v>
      </c>
      <c r="C18" s="4">
        <v>2947.77</v>
      </c>
      <c r="D18" s="1">
        <v>44376</v>
      </c>
      <c r="E18" t="str">
        <f>"202106174053"</f>
        <v>202106174053</v>
      </c>
      <c r="F18" t="str">
        <f t="shared" ref="F18:F25" si="4">"ACCT#9725-001/PCT#2"</f>
        <v>ACCT#9725-001/PCT#2</v>
      </c>
      <c r="G18" s="4">
        <v>638.91</v>
      </c>
      <c r="H18" t="str">
        <f t="shared" ref="H18:H25" si="5">"ACCT#9725-001/PCT#2"</f>
        <v>ACCT#9725-001/PCT#2</v>
      </c>
    </row>
    <row r="19" spans="1:8" x14ac:dyDescent="0.25">
      <c r="E19" t="str">
        <f>"202106174054"</f>
        <v>202106174054</v>
      </c>
      <c r="F19" t="str">
        <f t="shared" si="4"/>
        <v>ACCT#9725-001/PCT#2</v>
      </c>
      <c r="G19" s="4">
        <v>432.45</v>
      </c>
      <c r="H19" t="str">
        <f t="shared" si="5"/>
        <v>ACCT#9725-001/PCT#2</v>
      </c>
    </row>
    <row r="20" spans="1:8" x14ac:dyDescent="0.25">
      <c r="E20" t="str">
        <f>"9725-001-121810"</f>
        <v>9725-001-121810</v>
      </c>
      <c r="F20" t="str">
        <f t="shared" si="4"/>
        <v>ACCT#9725-001/PCT#2</v>
      </c>
      <c r="G20" s="4">
        <v>412.92</v>
      </c>
      <c r="H20" t="str">
        <f t="shared" si="5"/>
        <v>ACCT#9725-001/PCT#2</v>
      </c>
    </row>
    <row r="21" spans="1:8" x14ac:dyDescent="0.25">
      <c r="E21" t="str">
        <f>"9725-001-121887"</f>
        <v>9725-001-121887</v>
      </c>
      <c r="F21" t="str">
        <f t="shared" si="4"/>
        <v>ACCT#9725-001/PCT#2</v>
      </c>
      <c r="G21" s="4">
        <v>405.81</v>
      </c>
      <c r="H21" t="str">
        <f t="shared" si="5"/>
        <v>ACCT#9725-001/PCT#2</v>
      </c>
    </row>
    <row r="22" spans="1:8" x14ac:dyDescent="0.25">
      <c r="E22" t="str">
        <f>"9725-001-121903"</f>
        <v>9725-001-121903</v>
      </c>
      <c r="F22" t="str">
        <f t="shared" si="4"/>
        <v>ACCT#9725-001/PCT#2</v>
      </c>
      <c r="G22" s="4">
        <v>224.01</v>
      </c>
      <c r="H22" t="str">
        <f t="shared" si="5"/>
        <v>ACCT#9725-001/PCT#2</v>
      </c>
    </row>
    <row r="23" spans="1:8" x14ac:dyDescent="0.25">
      <c r="E23" t="str">
        <f>"9725-001-121924"</f>
        <v>9725-001-121924</v>
      </c>
      <c r="F23" t="str">
        <f t="shared" si="4"/>
        <v>ACCT#9725-001/PCT#2</v>
      </c>
      <c r="G23" s="4">
        <v>423.27</v>
      </c>
      <c r="H23" t="str">
        <f t="shared" si="5"/>
        <v>ACCT#9725-001/PCT#2</v>
      </c>
    </row>
    <row r="24" spans="1:8" x14ac:dyDescent="0.25">
      <c r="E24" t="str">
        <f>"9725-001-121937"</f>
        <v>9725-001-121937</v>
      </c>
      <c r="F24" t="str">
        <f t="shared" si="4"/>
        <v>ACCT#9725-001/PCT#2</v>
      </c>
      <c r="G24" s="4">
        <v>205.47</v>
      </c>
      <c r="H24" t="str">
        <f t="shared" si="5"/>
        <v>ACCT#9725-001/PCT#2</v>
      </c>
    </row>
    <row r="25" spans="1:8" x14ac:dyDescent="0.25">
      <c r="E25" t="str">
        <f>"9725-001-121954"</f>
        <v>9725-001-121954</v>
      </c>
      <c r="F25" t="str">
        <f t="shared" si="4"/>
        <v>ACCT#9725-001/PCT#2</v>
      </c>
      <c r="G25" s="4">
        <v>204.93</v>
      </c>
      <c r="H25" t="str">
        <f t="shared" si="5"/>
        <v>ACCT#9725-001/PCT#2</v>
      </c>
    </row>
    <row r="26" spans="1:8" x14ac:dyDescent="0.25">
      <c r="A26" t="s">
        <v>9</v>
      </c>
      <c r="B26">
        <v>135805</v>
      </c>
      <c r="C26" s="4">
        <v>391.86</v>
      </c>
      <c r="D26" s="1">
        <v>44361</v>
      </c>
      <c r="E26" t="str">
        <f>"428099"</f>
        <v>428099</v>
      </c>
      <c r="F26" t="str">
        <f>"CUST#16500/PCT#4"</f>
        <v>CUST#16500/PCT#4</v>
      </c>
      <c r="G26" s="4">
        <v>391.86</v>
      </c>
      <c r="H26" t="str">
        <f>"CUST#16500/PCT#4"</f>
        <v>CUST#16500/PCT#4</v>
      </c>
    </row>
    <row r="27" spans="1:8" x14ac:dyDescent="0.25">
      <c r="A27" t="s">
        <v>10</v>
      </c>
      <c r="B27">
        <v>135806</v>
      </c>
      <c r="C27" s="4">
        <v>21945</v>
      </c>
      <c r="D27" s="1">
        <v>44361</v>
      </c>
      <c r="E27" t="str">
        <f>"202106073729"</f>
        <v>202106073729</v>
      </c>
      <c r="F27" t="str">
        <f>"20-20179"</f>
        <v>20-20179</v>
      </c>
      <c r="G27" s="4">
        <v>1117.5</v>
      </c>
      <c r="H27" t="str">
        <f>"20-20179"</f>
        <v>20-20179</v>
      </c>
    </row>
    <row r="28" spans="1:8" x14ac:dyDescent="0.25">
      <c r="E28" t="str">
        <f>"202106073730"</f>
        <v>202106073730</v>
      </c>
      <c r="F28" t="str">
        <f>"19-19885"</f>
        <v>19-19885</v>
      </c>
      <c r="G28" s="4">
        <v>922.5</v>
      </c>
      <c r="H28" t="str">
        <f>"19-19885"</f>
        <v>19-19885</v>
      </c>
    </row>
    <row r="29" spans="1:8" x14ac:dyDescent="0.25">
      <c r="E29" t="str">
        <f>"202106073731"</f>
        <v>202106073731</v>
      </c>
      <c r="F29" t="str">
        <f>"20-20258"</f>
        <v>20-20258</v>
      </c>
      <c r="G29" s="4">
        <v>605</v>
      </c>
      <c r="H29" t="str">
        <f>"20-20258"</f>
        <v>20-20258</v>
      </c>
    </row>
    <row r="30" spans="1:8" x14ac:dyDescent="0.25">
      <c r="E30" t="str">
        <f>"202106073732"</f>
        <v>202106073732</v>
      </c>
      <c r="F30" t="str">
        <f>"20-20359"</f>
        <v>20-20359</v>
      </c>
      <c r="G30" s="4">
        <v>500</v>
      </c>
      <c r="H30" t="str">
        <f>"20-20359"</f>
        <v>20-20359</v>
      </c>
    </row>
    <row r="31" spans="1:8" x14ac:dyDescent="0.25">
      <c r="E31" t="str">
        <f>"202106073733"</f>
        <v>202106073733</v>
      </c>
      <c r="F31" t="str">
        <f>"19-19986"</f>
        <v>19-19986</v>
      </c>
      <c r="G31" s="4">
        <v>1352.5</v>
      </c>
      <c r="H31" t="str">
        <f>"19-19986"</f>
        <v>19-19986</v>
      </c>
    </row>
    <row r="32" spans="1:8" x14ac:dyDescent="0.25">
      <c r="E32" t="str">
        <f>"202106073734"</f>
        <v>202106073734</v>
      </c>
      <c r="F32" t="str">
        <f>"20-20514"</f>
        <v>20-20514</v>
      </c>
      <c r="G32" s="4">
        <v>642.5</v>
      </c>
      <c r="H32" t="str">
        <f>"20-20514"</f>
        <v>20-20514</v>
      </c>
    </row>
    <row r="33" spans="1:8" x14ac:dyDescent="0.25">
      <c r="E33" t="str">
        <f>"202106073735"</f>
        <v>202106073735</v>
      </c>
      <c r="F33" t="str">
        <f>"20-20130"</f>
        <v>20-20130</v>
      </c>
      <c r="G33" s="4">
        <v>2555</v>
      </c>
      <c r="H33" t="str">
        <f>"20-20130"</f>
        <v>20-20130</v>
      </c>
    </row>
    <row r="34" spans="1:8" x14ac:dyDescent="0.25">
      <c r="E34" t="str">
        <f>"202106073736"</f>
        <v>202106073736</v>
      </c>
      <c r="F34" t="str">
        <f>"20-20321"</f>
        <v>20-20321</v>
      </c>
      <c r="G34" s="4">
        <v>470</v>
      </c>
      <c r="H34" t="str">
        <f>"20-20321"</f>
        <v>20-20321</v>
      </c>
    </row>
    <row r="35" spans="1:8" x14ac:dyDescent="0.25">
      <c r="E35" t="str">
        <f>"202106073737"</f>
        <v>202106073737</v>
      </c>
      <c r="F35" t="str">
        <f>"19-19811"</f>
        <v>19-19811</v>
      </c>
      <c r="G35" s="4">
        <v>1080</v>
      </c>
      <c r="H35" t="str">
        <f>"19-19811"</f>
        <v>19-19811</v>
      </c>
    </row>
    <row r="36" spans="1:8" x14ac:dyDescent="0.25">
      <c r="E36" t="str">
        <f>"202106073738"</f>
        <v>202106073738</v>
      </c>
      <c r="F36" t="str">
        <f>"21-20542"</f>
        <v>21-20542</v>
      </c>
      <c r="G36" s="4">
        <v>580</v>
      </c>
      <c r="H36" t="str">
        <f>"21-20542"</f>
        <v>21-20542</v>
      </c>
    </row>
    <row r="37" spans="1:8" x14ac:dyDescent="0.25">
      <c r="E37" t="str">
        <f>"202106073739"</f>
        <v>202106073739</v>
      </c>
      <c r="F37" t="str">
        <f>"20-20426"</f>
        <v>20-20426</v>
      </c>
      <c r="G37" s="4">
        <v>922.5</v>
      </c>
      <c r="H37" t="str">
        <f>"20-20426"</f>
        <v>20-20426</v>
      </c>
    </row>
    <row r="38" spans="1:8" x14ac:dyDescent="0.25">
      <c r="E38" t="str">
        <f>"202106073740"</f>
        <v>202106073740</v>
      </c>
      <c r="F38" t="str">
        <f>"19-19889"</f>
        <v>19-19889</v>
      </c>
      <c r="G38" s="4">
        <v>247.5</v>
      </c>
      <c r="H38" t="str">
        <f>"19-19889"</f>
        <v>19-19889</v>
      </c>
    </row>
    <row r="39" spans="1:8" x14ac:dyDescent="0.25">
      <c r="E39" t="str">
        <f>"202106073741"</f>
        <v>202106073741</v>
      </c>
      <c r="F39" t="str">
        <f>"19-19456"</f>
        <v>19-19456</v>
      </c>
      <c r="G39" s="4">
        <v>1172.5</v>
      </c>
      <c r="H39" t="str">
        <f>"19-19456"</f>
        <v>19-19456</v>
      </c>
    </row>
    <row r="40" spans="1:8" x14ac:dyDescent="0.25">
      <c r="E40" t="str">
        <f>"202106073742"</f>
        <v>202106073742</v>
      </c>
      <c r="F40" t="str">
        <f>"21-20616"</f>
        <v>21-20616</v>
      </c>
      <c r="G40" s="4">
        <v>507.5</v>
      </c>
      <c r="H40" t="str">
        <f>"21-20616"</f>
        <v>21-20616</v>
      </c>
    </row>
    <row r="41" spans="1:8" x14ac:dyDescent="0.25">
      <c r="E41" t="str">
        <f>"202106073743"</f>
        <v>202106073743</v>
      </c>
      <c r="F41" t="str">
        <f>"19-19521"</f>
        <v>19-19521</v>
      </c>
      <c r="G41" s="4">
        <v>677.5</v>
      </c>
      <c r="H41" t="str">
        <f>"19-19521"</f>
        <v>19-19521</v>
      </c>
    </row>
    <row r="42" spans="1:8" x14ac:dyDescent="0.25">
      <c r="E42" t="str">
        <f>"202106073744"</f>
        <v>202106073744</v>
      </c>
      <c r="F42" t="str">
        <f>"19-19849"</f>
        <v>19-19849</v>
      </c>
      <c r="G42" s="4">
        <v>2137.5</v>
      </c>
      <c r="H42" t="str">
        <f>"19-19849"</f>
        <v>19-19849</v>
      </c>
    </row>
    <row r="43" spans="1:8" x14ac:dyDescent="0.25">
      <c r="E43" t="str">
        <f>"202106073745"</f>
        <v>202106073745</v>
      </c>
      <c r="F43" t="str">
        <f>"20-20215"</f>
        <v>20-20215</v>
      </c>
      <c r="G43" s="4">
        <v>867.5</v>
      </c>
      <c r="H43" t="str">
        <f>"20-20215"</f>
        <v>20-20215</v>
      </c>
    </row>
    <row r="44" spans="1:8" x14ac:dyDescent="0.25">
      <c r="E44" t="str">
        <f>"202106073746"</f>
        <v>202106073746</v>
      </c>
      <c r="F44" t="str">
        <f>"423-4051"</f>
        <v>423-4051</v>
      </c>
      <c r="G44" s="4">
        <v>2690</v>
      </c>
      <c r="H44" t="str">
        <f>"423-4051"</f>
        <v>423-4051</v>
      </c>
    </row>
    <row r="45" spans="1:8" x14ac:dyDescent="0.25">
      <c r="E45" t="str">
        <f>"202106073747"</f>
        <v>202106073747</v>
      </c>
      <c r="F45" t="str">
        <f>"19-19849"</f>
        <v>19-19849</v>
      </c>
      <c r="G45" s="4">
        <v>2137.5</v>
      </c>
      <c r="H45" t="str">
        <f>"19-19849"</f>
        <v>19-19849</v>
      </c>
    </row>
    <row r="46" spans="1:8" x14ac:dyDescent="0.25">
      <c r="E46" t="str">
        <f>"202106073748"</f>
        <v>202106073748</v>
      </c>
      <c r="F46" t="str">
        <f>"16-16978"</f>
        <v>16-16978</v>
      </c>
      <c r="G46" s="4">
        <v>760</v>
      </c>
      <c r="H46" t="str">
        <f>"16-16978"</f>
        <v>16-16978</v>
      </c>
    </row>
    <row r="47" spans="1:8" x14ac:dyDescent="0.25">
      <c r="A47" t="s">
        <v>11</v>
      </c>
      <c r="B47">
        <v>1106</v>
      </c>
      <c r="C47" s="4">
        <v>0</v>
      </c>
      <c r="D47" s="1">
        <v>44362</v>
      </c>
      <c r="E47" t="str">
        <f>"202106153942"</f>
        <v>202106153942</v>
      </c>
      <c r="F47" t="str">
        <f>"ACCT# 72-56313 / 06032021"</f>
        <v>ACCT# 72-56313 / 06032021</v>
      </c>
      <c r="G47" s="4">
        <v>-39.979999999999997</v>
      </c>
      <c r="H47" t="str">
        <f>"ACCT# 72-56313 / 06032021"</f>
        <v>ACCT# 72-56313 / 06032021</v>
      </c>
    </row>
    <row r="48" spans="1:8" x14ac:dyDescent="0.25">
      <c r="E48" t="str">
        <f>"202106143923"</f>
        <v>202106143923</v>
      </c>
      <c r="F48" t="str">
        <f>"ACCT #72-56313 / 06/03/2021"</f>
        <v>ACCT #72-56313 / 06/03/2021</v>
      </c>
      <c r="G48" s="4">
        <v>39.979999999999997</v>
      </c>
      <c r="H48" t="str">
        <f>"ACCT #72-56313 / 06/03/2021"</f>
        <v>ACCT #72-56313 / 06/03/2021</v>
      </c>
    </row>
    <row r="49" spans="1:8" x14ac:dyDescent="0.25">
      <c r="A49" t="s">
        <v>12</v>
      </c>
      <c r="B49">
        <v>4552</v>
      </c>
      <c r="C49" s="4">
        <v>276.33999999999997</v>
      </c>
      <c r="D49" s="1">
        <v>44362</v>
      </c>
      <c r="E49" t="str">
        <f>"21-27699"</f>
        <v>21-27699</v>
      </c>
      <c r="F49" t="str">
        <f>"INV 215-100102"</f>
        <v>INV 215-100102</v>
      </c>
      <c r="G49" s="4">
        <v>276.33999999999997</v>
      </c>
      <c r="H49" t="str">
        <f>"INV 215-100102"</f>
        <v>INV 215-100102</v>
      </c>
    </row>
    <row r="50" spans="1:8" x14ac:dyDescent="0.25">
      <c r="A50" t="s">
        <v>13</v>
      </c>
      <c r="B50">
        <v>1111</v>
      </c>
      <c r="C50" s="4">
        <v>0</v>
      </c>
      <c r="D50" s="1">
        <v>44362</v>
      </c>
      <c r="E50" t="str">
        <f>"202106153943"</f>
        <v>202106153943</v>
      </c>
      <c r="F50" t="str">
        <f>"ACCT# 72-56313 / 06032021"</f>
        <v>ACCT# 72-56313 / 06032021</v>
      </c>
      <c r="G50" s="4">
        <v>-56</v>
      </c>
      <c r="H50" t="str">
        <f>"ACCT# 72-56313 / 06032021"</f>
        <v>ACCT# 72-56313 / 06032021</v>
      </c>
    </row>
    <row r="51" spans="1:8" x14ac:dyDescent="0.25">
      <c r="E51" t="str">
        <f>"202106143928"</f>
        <v>202106143928</v>
      </c>
      <c r="F51" t="str">
        <f>"ACCT #72-56313 / 06/03/2021"</f>
        <v>ACCT #72-56313 / 06/03/2021</v>
      </c>
      <c r="G51" s="4">
        <v>56</v>
      </c>
      <c r="H51" t="str">
        <f>"ACCT #72-56313 / 06/03/2021"</f>
        <v>ACCT #72-56313 / 06/03/2021</v>
      </c>
    </row>
    <row r="52" spans="1:8" x14ac:dyDescent="0.25">
      <c r="A52" t="s">
        <v>14</v>
      </c>
      <c r="B52">
        <v>135807</v>
      </c>
      <c r="C52" s="4">
        <v>2149.5</v>
      </c>
      <c r="D52" s="1">
        <v>44361</v>
      </c>
      <c r="E52" t="str">
        <f>"202106073712"</f>
        <v>202106073712</v>
      </c>
      <c r="F52" t="str">
        <f>"20-20321"</f>
        <v>20-20321</v>
      </c>
      <c r="G52" s="4">
        <v>105</v>
      </c>
      <c r="H52" t="str">
        <f>"20-20321"</f>
        <v>20-20321</v>
      </c>
    </row>
    <row r="53" spans="1:8" x14ac:dyDescent="0.25">
      <c r="E53" t="str">
        <f>"202106073713"</f>
        <v>202106073713</v>
      </c>
      <c r="F53" t="str">
        <f>"21-20568"</f>
        <v>21-20568</v>
      </c>
      <c r="G53" s="4">
        <v>187.5</v>
      </c>
      <c r="H53" t="str">
        <f>"21-20568"</f>
        <v>21-20568</v>
      </c>
    </row>
    <row r="54" spans="1:8" x14ac:dyDescent="0.25">
      <c r="E54" t="str">
        <f>"202106073714"</f>
        <v>202106073714</v>
      </c>
      <c r="F54" t="str">
        <f>"21-20724"</f>
        <v>21-20724</v>
      </c>
      <c r="G54" s="4">
        <v>180</v>
      </c>
      <c r="H54" t="str">
        <f>"21-20724"</f>
        <v>21-20724</v>
      </c>
    </row>
    <row r="55" spans="1:8" x14ac:dyDescent="0.25">
      <c r="E55" t="str">
        <f>"202106073715"</f>
        <v>202106073715</v>
      </c>
      <c r="F55" t="str">
        <f>"21-20702"</f>
        <v>21-20702</v>
      </c>
      <c r="G55" s="4">
        <v>392.5</v>
      </c>
      <c r="H55" t="str">
        <f>"21-20702"</f>
        <v>21-20702</v>
      </c>
    </row>
    <row r="56" spans="1:8" x14ac:dyDescent="0.25">
      <c r="E56" t="str">
        <f>"202106073716"</f>
        <v>202106073716</v>
      </c>
      <c r="F56" t="str">
        <f>"20-20261"</f>
        <v>20-20261</v>
      </c>
      <c r="G56" s="4">
        <v>317.5</v>
      </c>
      <c r="H56" t="str">
        <f>"20-20261"</f>
        <v>20-20261</v>
      </c>
    </row>
    <row r="57" spans="1:8" x14ac:dyDescent="0.25">
      <c r="E57" t="str">
        <f>"202106073717"</f>
        <v>202106073717</v>
      </c>
      <c r="F57" t="str">
        <f>"19-19963"</f>
        <v>19-19963</v>
      </c>
      <c r="G57" s="4">
        <v>45</v>
      </c>
      <c r="H57" t="str">
        <f>"19-19963"</f>
        <v>19-19963</v>
      </c>
    </row>
    <row r="58" spans="1:8" x14ac:dyDescent="0.25">
      <c r="E58" t="str">
        <f>"202106073718"</f>
        <v>202106073718</v>
      </c>
      <c r="F58" t="str">
        <f>"20-20077"</f>
        <v>20-20077</v>
      </c>
      <c r="G58" s="4">
        <v>270</v>
      </c>
      <c r="H58" t="str">
        <f>"20-20077"</f>
        <v>20-20077</v>
      </c>
    </row>
    <row r="59" spans="1:8" x14ac:dyDescent="0.25">
      <c r="E59" t="str">
        <f>"202106073719"</f>
        <v>202106073719</v>
      </c>
      <c r="F59" t="str">
        <f>"19-20002"</f>
        <v>19-20002</v>
      </c>
      <c r="G59" s="4">
        <v>652</v>
      </c>
      <c r="H59" t="str">
        <f>"19-20002"</f>
        <v>19-20002</v>
      </c>
    </row>
    <row r="60" spans="1:8" x14ac:dyDescent="0.25">
      <c r="A60" t="s">
        <v>15</v>
      </c>
      <c r="B60">
        <v>135808</v>
      </c>
      <c r="C60" s="4">
        <v>108.23</v>
      </c>
      <c r="D60" s="1">
        <v>44361</v>
      </c>
      <c r="E60" t="str">
        <f>"202106083778"</f>
        <v>202106083778</v>
      </c>
      <c r="F60" t="str">
        <f>"REIMBURSE FILE LABELS"</f>
        <v>REIMBURSE FILE LABELS</v>
      </c>
      <c r="G60" s="4">
        <v>108.23</v>
      </c>
      <c r="H60" t="str">
        <f>"REIMBURSE FILE LABELS"</f>
        <v>REIMBURSE FILE LABELS</v>
      </c>
    </row>
    <row r="61" spans="1:8" x14ac:dyDescent="0.25">
      <c r="A61" t="s">
        <v>15</v>
      </c>
      <c r="B61">
        <v>135985</v>
      </c>
      <c r="C61" s="4">
        <v>15</v>
      </c>
      <c r="D61" s="1">
        <v>44375</v>
      </c>
      <c r="E61" t="str">
        <f>"202106224117"</f>
        <v>202106224117</v>
      </c>
      <c r="F61" t="str">
        <f>"REIMBURSE/ADAM MARSHALL"</f>
        <v>REIMBURSE/ADAM MARSHALL</v>
      </c>
      <c r="G61" s="4">
        <v>15</v>
      </c>
      <c r="H61" t="str">
        <f>"REIMBURSE/ADAM MARSHALL"</f>
        <v>REIMBURSE/ADAM MARSHALL</v>
      </c>
    </row>
    <row r="62" spans="1:8" x14ac:dyDescent="0.25">
      <c r="A62" t="s">
        <v>16</v>
      </c>
      <c r="B62">
        <v>4568</v>
      </c>
      <c r="C62" s="4">
        <v>1043.8</v>
      </c>
      <c r="D62" s="1">
        <v>44362</v>
      </c>
      <c r="E62" t="str">
        <f>"202106043702"</f>
        <v>202106043702</v>
      </c>
      <c r="F62" t="str">
        <f>"REIMBURSE/ADENA LEWIS"</f>
        <v>REIMBURSE/ADENA LEWIS</v>
      </c>
      <c r="G62" s="4">
        <v>1043.8</v>
      </c>
      <c r="H62" t="str">
        <f>"REIMBURSE/ADENA LEWIS"</f>
        <v>REIMBURSE/ADENA LEWIS</v>
      </c>
    </row>
    <row r="63" spans="1:8" x14ac:dyDescent="0.25">
      <c r="E63" t="str">
        <f>""</f>
        <v/>
      </c>
      <c r="F63" t="str">
        <f>""</f>
        <v/>
      </c>
      <c r="H63" t="str">
        <f>"REIMBURSE/ADENA LEWIS"</f>
        <v>REIMBURSE/ADENA LEWIS</v>
      </c>
    </row>
    <row r="64" spans="1:8" x14ac:dyDescent="0.25">
      <c r="A64" t="s">
        <v>16</v>
      </c>
      <c r="B64">
        <v>4649</v>
      </c>
      <c r="C64" s="4">
        <v>108.8</v>
      </c>
      <c r="D64" s="1">
        <v>44376</v>
      </c>
      <c r="E64" t="str">
        <f>"202106224137"</f>
        <v>202106224137</v>
      </c>
      <c r="F64" t="str">
        <f>"MAIL CHIMP/ADENA LEWIS"</f>
        <v>MAIL CHIMP/ADENA LEWIS</v>
      </c>
      <c r="G64" s="4">
        <v>108.8</v>
      </c>
      <c r="H64" t="str">
        <f>"MAIL CHIMP/ADENA LEWIS"</f>
        <v>MAIL CHIMP/ADENA LEWIS</v>
      </c>
    </row>
    <row r="65" spans="1:8" x14ac:dyDescent="0.25">
      <c r="A65" t="s">
        <v>17</v>
      </c>
      <c r="B65">
        <v>135809</v>
      </c>
      <c r="C65" s="4">
        <v>1851.5</v>
      </c>
      <c r="D65" s="1">
        <v>44361</v>
      </c>
      <c r="E65" t="str">
        <f>"206776"</f>
        <v>206776</v>
      </c>
      <c r="F65" t="str">
        <f>"INV 206776"</f>
        <v>INV 206776</v>
      </c>
      <c r="G65" s="4">
        <v>322.75</v>
      </c>
      <c r="H65" t="str">
        <f>"INV 206776"</f>
        <v>INV 206776</v>
      </c>
    </row>
    <row r="66" spans="1:8" x14ac:dyDescent="0.25">
      <c r="E66" t="str">
        <f>"206870"</f>
        <v>206870</v>
      </c>
      <c r="F66" t="str">
        <f>"INV 206870"</f>
        <v>INV 206870</v>
      </c>
      <c r="G66" s="4">
        <v>1528.75</v>
      </c>
      <c r="H66" t="str">
        <f>"INV 206870"</f>
        <v>INV 206870</v>
      </c>
    </row>
    <row r="67" spans="1:8" x14ac:dyDescent="0.25">
      <c r="A67" t="s">
        <v>18</v>
      </c>
      <c r="B67">
        <v>135810</v>
      </c>
      <c r="C67" s="4">
        <v>40.6</v>
      </c>
      <c r="D67" s="1">
        <v>44361</v>
      </c>
      <c r="E67" t="str">
        <f>"7373126"</f>
        <v>7373126</v>
      </c>
      <c r="F67" t="str">
        <f>"ACCT#17295/PCT#3"</f>
        <v>ACCT#17295/PCT#3</v>
      </c>
      <c r="G67" s="4">
        <v>40.6</v>
      </c>
      <c r="H67" t="str">
        <f>"ACCT#17295/PCT#3"</f>
        <v>ACCT#17295/PCT#3</v>
      </c>
    </row>
    <row r="68" spans="1:8" x14ac:dyDescent="0.25">
      <c r="A68" t="s">
        <v>19</v>
      </c>
      <c r="B68">
        <v>4681</v>
      </c>
      <c r="C68" s="4">
        <v>900</v>
      </c>
      <c r="D68" s="1">
        <v>44376</v>
      </c>
      <c r="E68" t="str">
        <f>"202106164020"</f>
        <v>202106164020</v>
      </c>
      <c r="F68" t="str">
        <f>"100-435-4105"</f>
        <v>100-435-4105</v>
      </c>
      <c r="G68" s="4">
        <v>450</v>
      </c>
      <c r="H68" t="str">
        <f>"100-435-4105"</f>
        <v>100-435-4105</v>
      </c>
    </row>
    <row r="69" spans="1:8" x14ac:dyDescent="0.25">
      <c r="E69" t="str">
        <f>"202106164021"</f>
        <v>202106164021</v>
      </c>
      <c r="F69" t="str">
        <f>"4237867"</f>
        <v>4237867</v>
      </c>
      <c r="G69" s="4">
        <v>100</v>
      </c>
      <c r="H69" t="str">
        <f>"4237867"</f>
        <v>4237867</v>
      </c>
    </row>
    <row r="70" spans="1:8" x14ac:dyDescent="0.25">
      <c r="E70" t="str">
        <f>"202106164022"</f>
        <v>202106164022</v>
      </c>
      <c r="F70" t="str">
        <f>"423-7867"</f>
        <v>423-7867</v>
      </c>
      <c r="G70" s="4">
        <v>100</v>
      </c>
      <c r="H70" t="str">
        <f>"423-7867"</f>
        <v>423-7867</v>
      </c>
    </row>
    <row r="71" spans="1:8" x14ac:dyDescent="0.25">
      <c r="E71" t="str">
        <f>"202106164029"</f>
        <v>202106164029</v>
      </c>
      <c r="F71" t="str">
        <f>"AC-2017-1119A"</f>
        <v>AC-2017-1119A</v>
      </c>
      <c r="G71" s="4">
        <v>250</v>
      </c>
      <c r="H71" t="str">
        <f>"AC-2017-1119A"</f>
        <v>AC-2017-1119A</v>
      </c>
    </row>
    <row r="72" spans="1:8" x14ac:dyDescent="0.25">
      <c r="A72" t="s">
        <v>20</v>
      </c>
      <c r="B72">
        <v>4643</v>
      </c>
      <c r="C72" s="4">
        <v>1356.32</v>
      </c>
      <c r="D72" s="1">
        <v>44376</v>
      </c>
      <c r="E72" t="str">
        <f>"202106214112"</f>
        <v>202106214112</v>
      </c>
      <c r="F72" t="str">
        <f>"HAULING/PCT#1"</f>
        <v>HAULING/PCT#1</v>
      </c>
      <c r="G72" s="4">
        <v>1356.32</v>
      </c>
      <c r="H72" t="str">
        <f>"HAULING/PCT#1"</f>
        <v>HAULING/PCT#1</v>
      </c>
    </row>
    <row r="73" spans="1:8" x14ac:dyDescent="0.25">
      <c r="A73" t="s">
        <v>21</v>
      </c>
      <c r="B73">
        <v>135811</v>
      </c>
      <c r="C73" s="4">
        <v>350</v>
      </c>
      <c r="D73" s="1">
        <v>44361</v>
      </c>
      <c r="E73" t="str">
        <f>"20339"</f>
        <v>20339</v>
      </c>
      <c r="F73" t="str">
        <f>"BEE REMOVAL/PCT#2"</f>
        <v>BEE REMOVAL/PCT#2</v>
      </c>
      <c r="G73" s="4">
        <v>350</v>
      </c>
      <c r="H73" t="str">
        <f>"BEE REMOVAL/PCT#2"</f>
        <v>BEE REMOVAL/PCT#2</v>
      </c>
    </row>
    <row r="74" spans="1:8" x14ac:dyDescent="0.25">
      <c r="A74" t="s">
        <v>22</v>
      </c>
      <c r="B74">
        <v>4580</v>
      </c>
      <c r="C74" s="4">
        <v>890.57</v>
      </c>
      <c r="D74" s="1">
        <v>44362</v>
      </c>
      <c r="E74" t="str">
        <f>"202105263423"</f>
        <v>202105263423</v>
      </c>
      <c r="F74" t="str">
        <f>"Amazon Order"</f>
        <v>Amazon Order</v>
      </c>
      <c r="G74" s="4">
        <v>35.92</v>
      </c>
      <c r="H74" t="str">
        <f>"Rubber Bans"</f>
        <v>Rubber Bans</v>
      </c>
    </row>
    <row r="75" spans="1:8" x14ac:dyDescent="0.25">
      <c r="E75" t="str">
        <f>"202106073759"</f>
        <v>202106073759</v>
      </c>
      <c r="F75" t="str">
        <f>"Amazon Order"</f>
        <v>Amazon Order</v>
      </c>
      <c r="G75" s="4">
        <v>50.88</v>
      </c>
      <c r="H75" t="str">
        <f>"Ink"</f>
        <v>Ink</v>
      </c>
    </row>
    <row r="76" spans="1:8" x14ac:dyDescent="0.25">
      <c r="E76" t="str">
        <f>""</f>
        <v/>
      </c>
      <c r="F76" t="str">
        <f>""</f>
        <v/>
      </c>
      <c r="H76" t="str">
        <f>"Sticky Notes"</f>
        <v>Sticky Notes</v>
      </c>
    </row>
    <row r="77" spans="1:8" x14ac:dyDescent="0.25">
      <c r="E77" t="str">
        <f>"202106073760"</f>
        <v>202106073760</v>
      </c>
      <c r="F77" t="str">
        <f>"Amazon Order"</f>
        <v>Amazon Order</v>
      </c>
      <c r="G77" s="4">
        <v>96.95</v>
      </c>
      <c r="H77" t="str">
        <f>"AAA Batteries"</f>
        <v>AAA Batteries</v>
      </c>
    </row>
    <row r="78" spans="1:8" x14ac:dyDescent="0.25">
      <c r="E78" t="str">
        <f>""</f>
        <v/>
      </c>
      <c r="F78" t="str">
        <f>""</f>
        <v/>
      </c>
      <c r="H78" t="str">
        <f>"Smead File Folders"</f>
        <v>Smead File Folders</v>
      </c>
    </row>
    <row r="79" spans="1:8" x14ac:dyDescent="0.25">
      <c r="E79" t="str">
        <f>""</f>
        <v/>
      </c>
      <c r="F79" t="str">
        <f>""</f>
        <v/>
      </c>
      <c r="H79" t="str">
        <f>"Smead Expanding"</f>
        <v>Smead Expanding</v>
      </c>
    </row>
    <row r="80" spans="1:8" x14ac:dyDescent="0.25">
      <c r="E80" t="str">
        <f>""</f>
        <v/>
      </c>
      <c r="F80" t="str">
        <f>""</f>
        <v/>
      </c>
      <c r="H80" t="str">
        <f>"AA Batteries"</f>
        <v>AA Batteries</v>
      </c>
    </row>
    <row r="81" spans="1:8" x14ac:dyDescent="0.25">
      <c r="E81" t="str">
        <f>""</f>
        <v/>
      </c>
      <c r="F81" t="str">
        <f>""</f>
        <v/>
      </c>
      <c r="H81" t="str">
        <f>"1.5 in. Binder"</f>
        <v>1.5 in. Binder</v>
      </c>
    </row>
    <row r="82" spans="1:8" x14ac:dyDescent="0.25">
      <c r="E82" t="str">
        <f>""</f>
        <v/>
      </c>
      <c r="F82" t="str">
        <f>""</f>
        <v/>
      </c>
      <c r="H82" t="str">
        <f>"Clasp Envelopes"</f>
        <v>Clasp Envelopes</v>
      </c>
    </row>
    <row r="83" spans="1:8" x14ac:dyDescent="0.25">
      <c r="E83" t="str">
        <f>"202106093842"</f>
        <v>202106093842</v>
      </c>
      <c r="F83" t="str">
        <f>"Amazon Order SO"</f>
        <v>Amazon Order SO</v>
      </c>
      <c r="G83" s="4">
        <v>80.44</v>
      </c>
      <c r="H83" t="str">
        <f>"Dry Erase Board"</f>
        <v>Dry Erase Board</v>
      </c>
    </row>
    <row r="84" spans="1:8" x14ac:dyDescent="0.25">
      <c r="E84" t="str">
        <f>""</f>
        <v/>
      </c>
      <c r="F84" t="str">
        <f>""</f>
        <v/>
      </c>
      <c r="H84" t="str">
        <f>"CCTV DVR Camera Pack"</f>
        <v>CCTV DVR Camera Pack</v>
      </c>
    </row>
    <row r="85" spans="1:8" x14ac:dyDescent="0.25">
      <c r="E85" t="str">
        <f>""</f>
        <v/>
      </c>
      <c r="F85" t="str">
        <f>""</f>
        <v/>
      </c>
      <c r="H85" t="str">
        <f>"Phonetone 3-Way"</f>
        <v>Phonetone 3-Way</v>
      </c>
    </row>
    <row r="86" spans="1:8" x14ac:dyDescent="0.25">
      <c r="E86" t="str">
        <f>""</f>
        <v/>
      </c>
      <c r="F86" t="str">
        <f>""</f>
        <v/>
      </c>
      <c r="H86" t="str">
        <f>"CR1225 Renata Batter"</f>
        <v>CR1225 Renata Batter</v>
      </c>
    </row>
    <row r="87" spans="1:8" x14ac:dyDescent="0.25">
      <c r="E87" t="str">
        <f>""</f>
        <v/>
      </c>
      <c r="F87" t="str">
        <f>""</f>
        <v/>
      </c>
      <c r="H87" t="str">
        <f>"3 PCS BNC Male"</f>
        <v>3 PCS BNC Male</v>
      </c>
    </row>
    <row r="88" spans="1:8" x14ac:dyDescent="0.25">
      <c r="E88" t="str">
        <f>"24268"</f>
        <v>24268</v>
      </c>
      <c r="F88" t="str">
        <f>"Cables"</f>
        <v>Cables</v>
      </c>
      <c r="G88" s="4">
        <v>133.08000000000001</v>
      </c>
      <c r="H88" t="str">
        <f>"StarTech"</f>
        <v>StarTech</v>
      </c>
    </row>
    <row r="89" spans="1:8" x14ac:dyDescent="0.25">
      <c r="E89" t="str">
        <f>"24295"</f>
        <v>24295</v>
      </c>
      <c r="F89" t="str">
        <f>"Flash Furniture  Chair"</f>
        <v>Flash Furniture  Chair</v>
      </c>
      <c r="G89" s="4">
        <v>131.25</v>
      </c>
      <c r="H89" t="str">
        <f>"FlashFurnitureChair"</f>
        <v>FlashFurnitureChair</v>
      </c>
    </row>
    <row r="90" spans="1:8" x14ac:dyDescent="0.25">
      <c r="E90" t="str">
        <f>"24321"</f>
        <v>24321</v>
      </c>
      <c r="F90" t="str">
        <f>"Verifone Cable Rj45 JP1"</f>
        <v>Verifone Cable Rj45 JP1</v>
      </c>
      <c r="G90" s="4">
        <v>18.05</v>
      </c>
      <c r="H90" t="str">
        <f>"Verifone Cable Rj45 JP1"</f>
        <v>Verifone Cable Rj45 JP1</v>
      </c>
    </row>
    <row r="91" spans="1:8" x14ac:dyDescent="0.25">
      <c r="E91" t="str">
        <f>"24373"</f>
        <v>24373</v>
      </c>
      <c r="F91" t="str">
        <f>"Cardboard Pet Carriers"</f>
        <v>Cardboard Pet Carriers</v>
      </c>
      <c r="G91" s="4">
        <v>344</v>
      </c>
      <c r="H91" t="str">
        <f>"Cardboard Pet Carriers"</f>
        <v>Cardboard Pet Carriers</v>
      </c>
    </row>
    <row r="92" spans="1:8" x14ac:dyDescent="0.25">
      <c r="A92" t="s">
        <v>22</v>
      </c>
      <c r="B92">
        <v>4661</v>
      </c>
      <c r="C92" s="4">
        <v>1038.75</v>
      </c>
      <c r="D92" s="1">
        <v>44376</v>
      </c>
      <c r="E92" t="str">
        <f>"202106224143"</f>
        <v>202106224143</v>
      </c>
      <c r="F92" t="str">
        <f>"Amazon Order"</f>
        <v>Amazon Order</v>
      </c>
      <c r="G92" s="4">
        <v>285.37</v>
      </c>
      <c r="H92" t="str">
        <f>"4 Tier Bookshelf"</f>
        <v>4 Tier Bookshelf</v>
      </c>
    </row>
    <row r="93" spans="1:8" x14ac:dyDescent="0.25">
      <c r="E93" t="str">
        <f>""</f>
        <v/>
      </c>
      <c r="F93" t="str">
        <f>""</f>
        <v/>
      </c>
      <c r="H93" t="str">
        <f>"Duracell 2032"</f>
        <v>Duracell 2032</v>
      </c>
    </row>
    <row r="94" spans="1:8" x14ac:dyDescent="0.25">
      <c r="E94" t="str">
        <f>""</f>
        <v/>
      </c>
      <c r="F94" t="str">
        <f>""</f>
        <v/>
      </c>
      <c r="H94" t="str">
        <f>"Desk Set"</f>
        <v>Desk Set</v>
      </c>
    </row>
    <row r="95" spans="1:8" x14ac:dyDescent="0.25">
      <c r="E95" t="str">
        <f>""</f>
        <v/>
      </c>
      <c r="F95" t="str">
        <f>""</f>
        <v/>
      </c>
      <c r="H95" t="str">
        <f>"Tool Kit"</f>
        <v>Tool Kit</v>
      </c>
    </row>
    <row r="96" spans="1:8" x14ac:dyDescent="0.25">
      <c r="E96" t="str">
        <f>"202106224146"</f>
        <v>202106224146</v>
      </c>
      <c r="F96" t="str">
        <f>"Amazon Order"</f>
        <v>Amazon Order</v>
      </c>
      <c r="G96" s="4">
        <v>46.98</v>
      </c>
      <c r="H96" t="str">
        <f>"Jumbo"</f>
        <v>Jumbo</v>
      </c>
    </row>
    <row r="97" spans="1:8" x14ac:dyDescent="0.25">
      <c r="E97" t="str">
        <f>""</f>
        <v/>
      </c>
      <c r="F97" t="str">
        <f>""</f>
        <v/>
      </c>
      <c r="H97" t="str">
        <f>"Large"</f>
        <v>Large</v>
      </c>
    </row>
    <row r="98" spans="1:8" x14ac:dyDescent="0.25">
      <c r="E98" t="str">
        <f>"202106224147"</f>
        <v>202106224147</v>
      </c>
      <c r="F98" t="str">
        <f>"TV stand"</f>
        <v>TV stand</v>
      </c>
      <c r="G98" s="4">
        <v>319.98</v>
      </c>
      <c r="H98" t="str">
        <f>"TV Stand Amazon"</f>
        <v>TV Stand Amazon</v>
      </c>
    </row>
    <row r="99" spans="1:8" x14ac:dyDescent="0.25">
      <c r="E99" t="str">
        <f>"202106224148"</f>
        <v>202106224148</v>
      </c>
      <c r="F99" t="str">
        <f>"Supplies"</f>
        <v>Supplies</v>
      </c>
      <c r="G99" s="4">
        <v>48.06</v>
      </c>
      <c r="H99" t="str">
        <f>"Germ-X"</f>
        <v>Germ-X</v>
      </c>
    </row>
    <row r="100" spans="1:8" x14ac:dyDescent="0.25">
      <c r="E100" t="str">
        <f>""</f>
        <v/>
      </c>
      <c r="F100" t="str">
        <f>""</f>
        <v/>
      </c>
      <c r="H100" t="str">
        <f>"Lysol Wipes"</f>
        <v>Lysol Wipes</v>
      </c>
    </row>
    <row r="101" spans="1:8" x14ac:dyDescent="0.25">
      <c r="E101" t="str">
        <f>""</f>
        <v/>
      </c>
      <c r="F101" t="str">
        <f>""</f>
        <v/>
      </c>
      <c r="H101" t="str">
        <f>"Puffs"</f>
        <v>Puffs</v>
      </c>
    </row>
    <row r="102" spans="1:8" x14ac:dyDescent="0.25">
      <c r="E102" t="str">
        <f>"202106224149"</f>
        <v>202106224149</v>
      </c>
      <c r="F102" t="str">
        <f>"AMAZON ORDER"</f>
        <v>AMAZON ORDER</v>
      </c>
      <c r="G102" s="4">
        <v>338.36</v>
      </c>
      <c r="H102" t="str">
        <f>"SHEILA SHINE"</f>
        <v>SHEILA SHINE</v>
      </c>
    </row>
    <row r="103" spans="1:8" x14ac:dyDescent="0.25">
      <c r="E103" t="str">
        <f>""</f>
        <v/>
      </c>
      <c r="F103" t="str">
        <f>""</f>
        <v/>
      </c>
      <c r="H103" t="str">
        <f>"BRAWNY PAPERTOWELS"</f>
        <v>BRAWNY PAPERTOWELS</v>
      </c>
    </row>
    <row r="104" spans="1:8" x14ac:dyDescent="0.25">
      <c r="E104" t="str">
        <f>""</f>
        <v/>
      </c>
      <c r="F104" t="str">
        <f>""</f>
        <v/>
      </c>
      <c r="H104" t="str">
        <f>"DIAL SOAP"</f>
        <v>DIAL SOAP</v>
      </c>
    </row>
    <row r="105" spans="1:8" x14ac:dyDescent="0.25">
      <c r="A105" t="s">
        <v>23</v>
      </c>
      <c r="B105">
        <v>1119</v>
      </c>
      <c r="C105" s="4">
        <v>0</v>
      </c>
      <c r="D105" s="1">
        <v>44362</v>
      </c>
      <c r="E105" t="str">
        <f>"202106153944"</f>
        <v>202106153944</v>
      </c>
      <c r="F105" t="str">
        <f>"ACCT# 72-56313 / 06032021"</f>
        <v>ACCT# 72-56313 / 06032021</v>
      </c>
      <c r="G105" s="4">
        <v>-96.9</v>
      </c>
      <c r="H105" t="str">
        <f>"ACCT# 72-56313 / 06032021"</f>
        <v>ACCT# 72-56313 / 06032021</v>
      </c>
    </row>
    <row r="106" spans="1:8" x14ac:dyDescent="0.25">
      <c r="E106" t="str">
        <f>"202106143936"</f>
        <v>202106143936</v>
      </c>
      <c r="F106" t="str">
        <f>"ACCT #72-56313 / 06/03/2021"</f>
        <v>ACCT #72-56313 / 06/03/2021</v>
      </c>
      <c r="G106" s="4">
        <v>96.9</v>
      </c>
      <c r="H106" t="str">
        <f>"ACCT #72-56313 / 06/03/2021"</f>
        <v>ACCT #72-56313 / 06/03/2021</v>
      </c>
    </row>
    <row r="107" spans="1:8" x14ac:dyDescent="0.25">
      <c r="A107" t="s">
        <v>24</v>
      </c>
      <c r="B107">
        <v>135812</v>
      </c>
      <c r="C107" s="4">
        <v>24.28</v>
      </c>
      <c r="D107" s="1">
        <v>44361</v>
      </c>
      <c r="E107" t="str">
        <f>"5417474"</f>
        <v>5417474</v>
      </c>
      <c r="F107" t="str">
        <f>"CUST#100074/PCT#3"</f>
        <v>CUST#100074/PCT#3</v>
      </c>
      <c r="G107" s="4">
        <v>24.28</v>
      </c>
      <c r="H107" t="str">
        <f>"CUST#100074/PCT#3"</f>
        <v>CUST#100074/PCT#3</v>
      </c>
    </row>
    <row r="108" spans="1:8" x14ac:dyDescent="0.25">
      <c r="A108" t="s">
        <v>25</v>
      </c>
      <c r="B108">
        <v>135813</v>
      </c>
      <c r="C108" s="4">
        <v>587.25</v>
      </c>
      <c r="D108" s="1">
        <v>44361</v>
      </c>
      <c r="E108" t="str">
        <f>"3056590942"</f>
        <v>3056590942</v>
      </c>
      <c r="F108" t="str">
        <f>"INV 3056590942  305659094"</f>
        <v>INV 3056590942  305659094</v>
      </c>
      <c r="G108" s="4">
        <v>587.25</v>
      </c>
      <c r="H108" t="str">
        <f>"INV 3056590942"</f>
        <v>INV 3056590942</v>
      </c>
    </row>
    <row r="109" spans="1:8" x14ac:dyDescent="0.25">
      <c r="E109" t="str">
        <f>""</f>
        <v/>
      </c>
      <c r="F109" t="str">
        <f>""</f>
        <v/>
      </c>
      <c r="H109" t="str">
        <f>"INV 3056590943"</f>
        <v>INV 3056590943</v>
      </c>
    </row>
    <row r="110" spans="1:8" x14ac:dyDescent="0.25">
      <c r="A110" t="s">
        <v>25</v>
      </c>
      <c r="B110">
        <v>135986</v>
      </c>
      <c r="C110" s="4">
        <v>129.94</v>
      </c>
      <c r="D110" s="1">
        <v>44375</v>
      </c>
      <c r="E110" t="str">
        <f>"3058527829"</f>
        <v>3058527829</v>
      </c>
      <c r="F110" t="str">
        <f>"INV 3058527829"</f>
        <v>INV 3058527829</v>
      </c>
      <c r="G110" s="4">
        <v>129.94</v>
      </c>
      <c r="H110" t="str">
        <f>"INV 3058527829"</f>
        <v>INV 3058527829</v>
      </c>
    </row>
    <row r="111" spans="1:8" x14ac:dyDescent="0.25">
      <c r="A111" t="s">
        <v>26</v>
      </c>
      <c r="B111">
        <v>135987</v>
      </c>
      <c r="C111" s="4">
        <v>350</v>
      </c>
      <c r="D111" s="1">
        <v>44375</v>
      </c>
      <c r="E111" t="str">
        <f>"113972"</f>
        <v>113972</v>
      </c>
      <c r="F111" t="str">
        <f>"LICENSE PLATE ENVELOPES/TAX OF"</f>
        <v>LICENSE PLATE ENVELOPES/TAX OF</v>
      </c>
      <c r="G111" s="4">
        <v>350</v>
      </c>
      <c r="H111" t="str">
        <f>"LICENSE PLATE ENVELOPES/TAX OF"</f>
        <v>LICENSE PLATE ENVELOPES/TAX OF</v>
      </c>
    </row>
    <row r="112" spans="1:8" x14ac:dyDescent="0.25">
      <c r="A112" t="s">
        <v>27</v>
      </c>
      <c r="B112">
        <v>4621</v>
      </c>
      <c r="C112" s="4">
        <v>4583.68</v>
      </c>
      <c r="D112" s="1">
        <v>44362</v>
      </c>
      <c r="E112" t="str">
        <f>"202105253395"</f>
        <v>202105253395</v>
      </c>
      <c r="F112" t="str">
        <f>"423-2327"</f>
        <v>423-2327</v>
      </c>
      <c r="G112" s="4">
        <v>1727.5</v>
      </c>
      <c r="H112" t="str">
        <f>"423-2327"</f>
        <v>423-2327</v>
      </c>
    </row>
    <row r="113" spans="1:8" x14ac:dyDescent="0.25">
      <c r="E113" t="str">
        <f>"202105253400"</f>
        <v>202105253400</v>
      </c>
      <c r="F113" t="str">
        <f>"02-0413-2 02-0413-5"</f>
        <v>02-0413-2 02-0413-5</v>
      </c>
      <c r="G113" s="4">
        <v>375</v>
      </c>
      <c r="H113" t="str">
        <f>"02-0413-2 02-0413-5"</f>
        <v>02-0413-2 02-0413-5</v>
      </c>
    </row>
    <row r="114" spans="1:8" x14ac:dyDescent="0.25">
      <c r="E114" t="str">
        <f>"202105253406"</f>
        <v>202105253406</v>
      </c>
      <c r="F114" t="str">
        <f>"CM20190831B"</f>
        <v>CM20190831B</v>
      </c>
      <c r="G114" s="4">
        <v>400</v>
      </c>
      <c r="H114" t="str">
        <f>"CM20190831B"</f>
        <v>CM20190831B</v>
      </c>
    </row>
    <row r="115" spans="1:8" x14ac:dyDescent="0.25">
      <c r="E115" t="str">
        <f>"202105253407"</f>
        <v>202105253407</v>
      </c>
      <c r="F115" t="str">
        <f>"1681-335"</f>
        <v>1681-335</v>
      </c>
      <c r="G115" s="4">
        <v>100</v>
      </c>
      <c r="H115" t="str">
        <f>"1681-335"</f>
        <v>1681-335</v>
      </c>
    </row>
    <row r="116" spans="1:8" x14ac:dyDescent="0.25">
      <c r="E116" t="str">
        <f>"202105263434"</f>
        <v>202105263434</v>
      </c>
      <c r="F116" t="str">
        <f>"JP1060212019F"</f>
        <v>JP1060212019F</v>
      </c>
      <c r="G116" s="4">
        <v>400</v>
      </c>
      <c r="H116" t="str">
        <f>"JP1060212019F"</f>
        <v>JP1060212019F</v>
      </c>
    </row>
    <row r="117" spans="1:8" x14ac:dyDescent="0.25">
      <c r="E117" t="str">
        <f>"202106013479"</f>
        <v>202106013479</v>
      </c>
      <c r="F117" t="str">
        <f>"423-4051"</f>
        <v>423-4051</v>
      </c>
      <c r="G117" s="4">
        <v>1031.18</v>
      </c>
      <c r="H117" t="str">
        <f>"423-4051"</f>
        <v>423-4051</v>
      </c>
    </row>
    <row r="118" spans="1:8" x14ac:dyDescent="0.25">
      <c r="E118" t="str">
        <f>"202106033500"</f>
        <v>202106033500</v>
      </c>
      <c r="F118" t="str">
        <f>"1740-21 1745-335"</f>
        <v>1740-21 1745-335</v>
      </c>
      <c r="G118" s="4">
        <v>300</v>
      </c>
      <c r="H118" t="str">
        <f>"1740-21 1745-335"</f>
        <v>1740-21 1745-335</v>
      </c>
    </row>
    <row r="119" spans="1:8" x14ac:dyDescent="0.25">
      <c r="E119" t="str">
        <f>"202106033501"</f>
        <v>202106033501</v>
      </c>
      <c r="F119" t="str">
        <f>"57-622"</f>
        <v>57-622</v>
      </c>
      <c r="G119" s="4">
        <v>250</v>
      </c>
      <c r="H119" t="str">
        <f>"57-622"</f>
        <v>57-622</v>
      </c>
    </row>
    <row r="120" spans="1:8" x14ac:dyDescent="0.25">
      <c r="A120" t="s">
        <v>27</v>
      </c>
      <c r="B120">
        <v>4692</v>
      </c>
      <c r="C120" s="4">
        <v>3000</v>
      </c>
      <c r="D120" s="1">
        <v>44376</v>
      </c>
      <c r="E120" t="str">
        <f>"202106164017"</f>
        <v>202106164017</v>
      </c>
      <c r="F120" t="str">
        <f>"DCPC-20-103 DCPC 20-102"</f>
        <v>DCPC-20-103 DCPC 20-102</v>
      </c>
      <c r="G120" s="4">
        <v>375</v>
      </c>
      <c r="H120" t="str">
        <f>"DCPC-20-103 DCPC 20-102"</f>
        <v>DCPC-20-103 DCPC 20-102</v>
      </c>
    </row>
    <row r="121" spans="1:8" x14ac:dyDescent="0.25">
      <c r="E121" t="str">
        <f>"202106164018"</f>
        <v>202106164018</v>
      </c>
      <c r="F121" t="str">
        <f>"02-0211-3"</f>
        <v>02-0211-3</v>
      </c>
      <c r="G121" s="4">
        <v>125</v>
      </c>
      <c r="H121" t="str">
        <f>"02-0211-3"</f>
        <v>02-0211-3</v>
      </c>
    </row>
    <row r="122" spans="1:8" x14ac:dyDescent="0.25">
      <c r="E122" t="str">
        <f>"202106164019"</f>
        <v>202106164019</v>
      </c>
      <c r="F122" t="str">
        <f>"1804-21"</f>
        <v>1804-21</v>
      </c>
      <c r="G122" s="4">
        <v>100</v>
      </c>
      <c r="H122" t="str">
        <f>"1804-21"</f>
        <v>1804-21</v>
      </c>
    </row>
    <row r="123" spans="1:8" x14ac:dyDescent="0.25">
      <c r="E123" t="str">
        <f>"202106174057"</f>
        <v>202106174057</v>
      </c>
      <c r="F123" t="str">
        <f>"57-622"</f>
        <v>57-622</v>
      </c>
      <c r="G123" s="4">
        <v>250</v>
      </c>
      <c r="H123" t="str">
        <f>"57-622"</f>
        <v>57-622</v>
      </c>
    </row>
    <row r="124" spans="1:8" x14ac:dyDescent="0.25">
      <c r="E124" t="str">
        <f>"202106174058"</f>
        <v>202106174058</v>
      </c>
      <c r="F124" t="str">
        <f>"4-01018-3"</f>
        <v>4-01018-3</v>
      </c>
      <c r="G124" s="4">
        <v>250</v>
      </c>
      <c r="H124" t="str">
        <f>"4-01018-3"</f>
        <v>4-01018-3</v>
      </c>
    </row>
    <row r="125" spans="1:8" x14ac:dyDescent="0.25">
      <c r="E125" t="str">
        <f>"202106174076"</f>
        <v>202106174076</v>
      </c>
      <c r="F125" t="str">
        <f>"17-043"</f>
        <v>17-043</v>
      </c>
      <c r="G125" s="4">
        <v>600</v>
      </c>
      <c r="H125" t="str">
        <f>"17-043"</f>
        <v>17-043</v>
      </c>
    </row>
    <row r="126" spans="1:8" x14ac:dyDescent="0.25">
      <c r="E126" t="str">
        <f>"202106174077"</f>
        <v>202106174077</v>
      </c>
      <c r="F126" t="str">
        <f>"17283"</f>
        <v>17283</v>
      </c>
      <c r="G126" s="4">
        <v>400</v>
      </c>
      <c r="H126" t="str">
        <f>"17283"</f>
        <v>17283</v>
      </c>
    </row>
    <row r="127" spans="1:8" x14ac:dyDescent="0.25">
      <c r="E127" t="str">
        <f>"202106174078"</f>
        <v>202106174078</v>
      </c>
      <c r="F127" t="str">
        <f>"16-738"</f>
        <v>16-738</v>
      </c>
      <c r="G127" s="4">
        <v>400</v>
      </c>
      <c r="H127" t="str">
        <f>"16-738"</f>
        <v>16-738</v>
      </c>
    </row>
    <row r="128" spans="1:8" x14ac:dyDescent="0.25">
      <c r="E128" t="str">
        <f>"202106174080"</f>
        <v>202106174080</v>
      </c>
      <c r="F128" t="str">
        <f>"423-7803"</f>
        <v>423-7803</v>
      </c>
      <c r="G128" s="4">
        <v>100</v>
      </c>
      <c r="H128" t="str">
        <f>"423-7803"</f>
        <v>423-7803</v>
      </c>
    </row>
    <row r="129" spans="1:8" x14ac:dyDescent="0.25">
      <c r="E129" t="str">
        <f>"202106174092"</f>
        <v>202106174092</v>
      </c>
      <c r="F129" t="str">
        <f>"16-981"</f>
        <v>16-981</v>
      </c>
      <c r="G129" s="4">
        <v>400</v>
      </c>
      <c r="H129" t="str">
        <f>"16-981"</f>
        <v>16-981</v>
      </c>
    </row>
    <row r="130" spans="1:8" x14ac:dyDescent="0.25">
      <c r="A130" t="s">
        <v>28</v>
      </c>
      <c r="B130">
        <v>135814</v>
      </c>
      <c r="C130" s="4">
        <v>294.32</v>
      </c>
      <c r="D130" s="1">
        <v>44361</v>
      </c>
      <c r="E130" t="str">
        <f>"202106013480"</f>
        <v>202106013480</v>
      </c>
      <c r="F130" t="str">
        <f>"ACCT#3-3053/PCT#2"</f>
        <v>ACCT#3-3053/PCT#2</v>
      </c>
      <c r="G130" s="4">
        <v>294.32</v>
      </c>
      <c r="H130" t="str">
        <f>"ACCT#3-3053/PCT#2"</f>
        <v>ACCT#3-3053/PCT#2</v>
      </c>
    </row>
    <row r="131" spans="1:8" x14ac:dyDescent="0.25">
      <c r="A131" t="s">
        <v>29</v>
      </c>
      <c r="B131">
        <v>135815</v>
      </c>
      <c r="C131" s="4">
        <v>4642.78</v>
      </c>
      <c r="D131" s="1">
        <v>44361</v>
      </c>
      <c r="E131" t="str">
        <f>"INV93561"</f>
        <v>INV93561</v>
      </c>
      <c r="F131" t="str">
        <f>"VINE SERVICE MARCH-MAY 2021"</f>
        <v>VINE SERVICE MARCH-MAY 2021</v>
      </c>
      <c r="G131" s="4">
        <v>4642.78</v>
      </c>
      <c r="H131" t="str">
        <f>"CUST#BASTROP COUNTY"</f>
        <v>CUST#BASTROP COUNTY</v>
      </c>
    </row>
    <row r="132" spans="1:8" x14ac:dyDescent="0.25">
      <c r="A132" t="s">
        <v>30</v>
      </c>
      <c r="B132">
        <v>135816</v>
      </c>
      <c r="C132" s="4">
        <v>689.44</v>
      </c>
      <c r="D132" s="1">
        <v>44361</v>
      </c>
      <c r="E132" t="str">
        <f>"202106013472"</f>
        <v>202106013472</v>
      </c>
      <c r="F132" t="str">
        <f>"ACCT#010057/AUDITOR"</f>
        <v>ACCT#010057/AUDITOR</v>
      </c>
      <c r="G132" s="4">
        <v>43.49</v>
      </c>
      <c r="H132" t="str">
        <f>"ACCT#010057/AUDITOR"</f>
        <v>ACCT#010057/AUDITOR</v>
      </c>
    </row>
    <row r="133" spans="1:8" x14ac:dyDescent="0.25">
      <c r="E133" t="str">
        <f>"202106023481"</f>
        <v>202106023481</v>
      </c>
      <c r="F133" t="str">
        <f>"ACCT#011474/ELECTIONS"</f>
        <v>ACCT#011474/ELECTIONS</v>
      </c>
      <c r="G133" s="4">
        <v>31</v>
      </c>
      <c r="H133" t="str">
        <f>"ACCT#011474/ELECTIONS"</f>
        <v>ACCT#011474/ELECTIONS</v>
      </c>
    </row>
    <row r="134" spans="1:8" x14ac:dyDescent="0.25">
      <c r="E134" t="str">
        <f>"202106023482"</f>
        <v>202106023482</v>
      </c>
      <c r="F134" t="str">
        <f>"ACCT#010311/COUNTY COURT"</f>
        <v>ACCT#010311/COUNTY COURT</v>
      </c>
      <c r="G134" s="4">
        <v>46.5</v>
      </c>
      <c r="H134" t="str">
        <f>"ACCT#010311/COUNTY COURT"</f>
        <v>ACCT#010311/COUNTY COURT</v>
      </c>
    </row>
    <row r="135" spans="1:8" x14ac:dyDescent="0.25">
      <c r="E135" t="str">
        <f>"202106023483"</f>
        <v>202106023483</v>
      </c>
      <c r="F135" t="str">
        <f>"ACCT#012260/DISTRICT ATTNY"</f>
        <v>ACCT#012260/DISTRICT ATTNY</v>
      </c>
      <c r="G135" s="4">
        <v>108</v>
      </c>
      <c r="H135" t="str">
        <f>"ACCT#012260/DISTRICT ATTNY"</f>
        <v>ACCT#012260/DISTRICT ATTNY</v>
      </c>
    </row>
    <row r="136" spans="1:8" x14ac:dyDescent="0.25">
      <c r="E136" t="str">
        <f>"202106023484"</f>
        <v>202106023484</v>
      </c>
      <c r="F136" t="str">
        <f>"ACCT#010602/COMMISSIONERS"</f>
        <v>ACCT#010602/COMMISSIONERS</v>
      </c>
      <c r="G136" s="4">
        <v>16.5</v>
      </c>
      <c r="H136" t="str">
        <f>"ACCT#010602/COMMISSIONERS"</f>
        <v>ACCT#010602/COMMISSIONERS</v>
      </c>
    </row>
    <row r="137" spans="1:8" x14ac:dyDescent="0.25">
      <c r="E137" t="str">
        <f>"202106023485"</f>
        <v>202106023485</v>
      </c>
      <c r="F137" t="str">
        <f>"ACCT#010057/AUDITOR"</f>
        <v>ACCT#010057/AUDITOR</v>
      </c>
      <c r="G137" s="4">
        <v>57</v>
      </c>
      <c r="H137" t="str">
        <f>"ACCT#010057/AUDITOR"</f>
        <v>ACCT#010057/AUDITOR</v>
      </c>
    </row>
    <row r="138" spans="1:8" x14ac:dyDescent="0.25">
      <c r="E138" t="str">
        <f>"202106023486"</f>
        <v>202106023486</v>
      </c>
      <c r="F138" t="str">
        <f>"ACCT#010835/PCT#1"</f>
        <v>ACCT#010835/PCT#1</v>
      </c>
      <c r="G138" s="4">
        <v>13.49</v>
      </c>
      <c r="H138" t="str">
        <f>"ACCT#010835/PCT#1"</f>
        <v>ACCT#010835/PCT#1</v>
      </c>
    </row>
    <row r="139" spans="1:8" x14ac:dyDescent="0.25">
      <c r="E139" t="str">
        <f>"202106023487"</f>
        <v>202106023487</v>
      </c>
      <c r="F139" t="str">
        <f>"ACCT#012259/DISTRICT CLERK"</f>
        <v>ACCT#012259/DISTRICT CLERK</v>
      </c>
      <c r="G139" s="4">
        <v>40.5</v>
      </c>
      <c r="H139" t="str">
        <f>"ACCT#012259/DISTRICT CLERK"</f>
        <v>ACCT#012259/DISTRICT CLERK</v>
      </c>
    </row>
    <row r="140" spans="1:8" x14ac:dyDescent="0.25">
      <c r="E140" t="str">
        <f>"202106023488"</f>
        <v>202106023488</v>
      </c>
      <c r="F140" t="str">
        <f>"ACCT#011955/DISTRICT JUDGE"</f>
        <v>ACCT#011955/DISTRICT JUDGE</v>
      </c>
      <c r="G140" s="4">
        <v>48</v>
      </c>
      <c r="H140" t="str">
        <f>"ACCT#011955/DISTRICT JUDGE"</f>
        <v>ACCT#011955/DISTRICT JUDGE</v>
      </c>
    </row>
    <row r="141" spans="1:8" x14ac:dyDescent="0.25">
      <c r="E141" t="str">
        <f>"202106023489"</f>
        <v>202106023489</v>
      </c>
      <c r="F141" t="str">
        <f>"ACCT#012231/DIST JUDGE OFFICE"</f>
        <v>ACCT#012231/DIST JUDGE OFFICE</v>
      </c>
      <c r="G141" s="4">
        <v>10</v>
      </c>
      <c r="H141" t="str">
        <f>"ACCT#012231/DIST JUDGE OFFICE"</f>
        <v>ACCT#012231/DIST JUDGE OFFICE</v>
      </c>
    </row>
    <row r="142" spans="1:8" x14ac:dyDescent="0.25">
      <c r="E142" t="str">
        <f>"202106023490"</f>
        <v>202106023490</v>
      </c>
      <c r="F142" t="str">
        <f>"ACCT#012571/TREASURER"</f>
        <v>ACCT#012571/TREASURER</v>
      </c>
      <c r="G142" s="4">
        <v>30</v>
      </c>
      <c r="H142" t="str">
        <f>"ACCT#012571/TREASURER"</f>
        <v>ACCT#012571/TREASURER</v>
      </c>
    </row>
    <row r="143" spans="1:8" x14ac:dyDescent="0.25">
      <c r="E143" t="str">
        <f>"202106023491"</f>
        <v>202106023491</v>
      </c>
      <c r="F143" t="str">
        <f>"ACCT#015476/PURCHASING"</f>
        <v>ACCT#015476/PURCHASING</v>
      </c>
      <c r="G143" s="4">
        <v>17.989999999999998</v>
      </c>
      <c r="H143" t="str">
        <f>"ACCT#015476/PURCHASING"</f>
        <v>ACCT#015476/PURCHASING</v>
      </c>
    </row>
    <row r="144" spans="1:8" x14ac:dyDescent="0.25">
      <c r="E144" t="str">
        <f>"202106033497"</f>
        <v>202106033497</v>
      </c>
      <c r="F144" t="str">
        <f>"ACCT#015199/ JP#1"</f>
        <v>ACCT#015199/ JP#1</v>
      </c>
      <c r="G144" s="4">
        <v>9</v>
      </c>
      <c r="H144" t="str">
        <f>"ACCT#015199/ JP#1"</f>
        <v>ACCT#015199/ JP#1</v>
      </c>
    </row>
    <row r="145" spans="1:8" x14ac:dyDescent="0.25">
      <c r="E145" t="str">
        <f>"202106033498"</f>
        <v>202106033498</v>
      </c>
      <c r="F145" t="str">
        <f>"ACCT#010149/AG EXTENSION"</f>
        <v>ACCT#010149/AG EXTENSION</v>
      </c>
      <c r="G145" s="4">
        <v>35.49</v>
      </c>
      <c r="H145" t="str">
        <f>"ACCT#010149/AG EXTENSION"</f>
        <v>ACCT#010149/AG EXTENSION</v>
      </c>
    </row>
    <row r="146" spans="1:8" x14ac:dyDescent="0.25">
      <c r="E146" t="str">
        <f>"202106043695"</f>
        <v>202106043695</v>
      </c>
      <c r="F146" t="str">
        <f>"ACCT#014877/INDIGENT HEALTH"</f>
        <v>ACCT#014877/INDIGENT HEALTH</v>
      </c>
      <c r="G146" s="4">
        <v>35.99</v>
      </c>
      <c r="H146" t="str">
        <f>"ACCT#014877/INDIGENT HEALTH"</f>
        <v>ACCT#014877/INDIGENT HEALTH</v>
      </c>
    </row>
    <row r="147" spans="1:8" x14ac:dyDescent="0.25">
      <c r="E147" t="str">
        <f>"202106083769"</f>
        <v>202106083769</v>
      </c>
      <c r="F147" t="str">
        <f>"ACCT#012280 / COUNTY CLERK"</f>
        <v>ACCT#012280 / COUNTY CLERK</v>
      </c>
      <c r="G147" s="4">
        <v>54</v>
      </c>
      <c r="H147" t="str">
        <f>"ACCT#012280 / COUNTY CLERK"</f>
        <v>ACCT#012280 / COUNTY CLERK</v>
      </c>
    </row>
    <row r="148" spans="1:8" x14ac:dyDescent="0.25">
      <c r="E148" t="str">
        <f>"202106083770"</f>
        <v>202106083770</v>
      </c>
      <c r="F148" t="str">
        <f>"ACCT#012803 / CO JUDGE"</f>
        <v>ACCT#012803 / CO JUDGE</v>
      </c>
      <c r="G148" s="4">
        <v>16.5</v>
      </c>
      <c r="H148" t="str">
        <f>"ACCT#012803 / CO JUDGE"</f>
        <v>ACCT#012803 / CO JUDGE</v>
      </c>
    </row>
    <row r="149" spans="1:8" x14ac:dyDescent="0.25">
      <c r="E149" t="str">
        <f>"202106083777"</f>
        <v>202106083777</v>
      </c>
      <c r="F149" t="str">
        <f>"ACCT#014737/ANIMAL SERVICE"</f>
        <v>ACCT#014737/ANIMAL SERVICE</v>
      </c>
      <c r="G149" s="4">
        <v>48.99</v>
      </c>
      <c r="H149" t="str">
        <f>"ACCT#014737/ANIMAL SERVICE"</f>
        <v>ACCT#014737/ANIMAL SERVICE</v>
      </c>
    </row>
    <row r="150" spans="1:8" x14ac:dyDescent="0.25">
      <c r="E150" t="str">
        <f>"202106083797"</f>
        <v>202106083797</v>
      </c>
      <c r="F150" t="str">
        <f>"ACCT#0133936/HUMAN RESOURCES"</f>
        <v>ACCT#0133936/HUMAN RESOURCES</v>
      </c>
      <c r="G150" s="4">
        <v>27</v>
      </c>
      <c r="H150" t="str">
        <f>"ACCT#0133936/HUMAN RESOURCES"</f>
        <v>ACCT#0133936/HUMAN RESOURCES</v>
      </c>
    </row>
    <row r="151" spans="1:8" x14ac:dyDescent="0.25">
      <c r="A151" t="s">
        <v>31</v>
      </c>
      <c r="B151">
        <v>135744</v>
      </c>
      <c r="C151" s="4">
        <v>109.5</v>
      </c>
      <c r="D151" s="1">
        <v>44356</v>
      </c>
      <c r="E151" t="str">
        <f>"202106083786"</f>
        <v>202106083786</v>
      </c>
      <c r="F151" t="str">
        <f>"ACCT#0201855301 / 05042021"</f>
        <v>ACCT#0201855301 / 05042021</v>
      </c>
      <c r="G151" s="4">
        <v>54.3</v>
      </c>
      <c r="H151" t="str">
        <f>"ACCT#0201855301 / 05042021"</f>
        <v>ACCT#0201855301 / 05042021</v>
      </c>
    </row>
    <row r="152" spans="1:8" x14ac:dyDescent="0.25">
      <c r="E152" t="str">
        <f>"202106083787"</f>
        <v>202106083787</v>
      </c>
      <c r="F152" t="str">
        <f>"ACCT#0201891401 / 05052021"</f>
        <v>ACCT#0201891401 / 05052021</v>
      </c>
      <c r="G152" s="4">
        <v>25.28</v>
      </c>
      <c r="H152" t="str">
        <f>"ACCT#0201891401 / 05052021"</f>
        <v>ACCT#0201891401 / 05052021</v>
      </c>
    </row>
    <row r="153" spans="1:8" x14ac:dyDescent="0.25">
      <c r="E153" t="str">
        <f>"202106083788"</f>
        <v>202106083788</v>
      </c>
      <c r="F153" t="str">
        <f>"ACCT#0202496901 / 05172021"</f>
        <v>ACCT#0202496901 / 05172021</v>
      </c>
      <c r="G153" s="4">
        <v>29.92</v>
      </c>
      <c r="H153" t="str">
        <f>"ACCT#0202496901 / 05172021"</f>
        <v>ACCT#0202496901 / 05172021</v>
      </c>
    </row>
    <row r="154" spans="1:8" x14ac:dyDescent="0.25">
      <c r="A154" t="s">
        <v>31</v>
      </c>
      <c r="B154">
        <v>135817</v>
      </c>
      <c r="C154" s="4">
        <v>584.25</v>
      </c>
      <c r="D154" s="1">
        <v>44361</v>
      </c>
      <c r="E154" t="str">
        <f>"202106083806"</f>
        <v>202106083806</v>
      </c>
      <c r="F154" t="str">
        <f>"ACCT#7700010026/PCT#3"</f>
        <v>ACCT#7700010026/PCT#3</v>
      </c>
      <c r="G154" s="4">
        <v>328</v>
      </c>
      <c r="H154" t="str">
        <f>"ACCT#7700010026"</f>
        <v>ACCT#7700010026</v>
      </c>
    </row>
    <row r="155" spans="1:8" x14ac:dyDescent="0.25">
      <c r="E155" t="str">
        <f>"202106083810"</f>
        <v>202106083810</v>
      </c>
      <c r="F155" t="str">
        <f>"ACCT#7700010027/PCT#4"</f>
        <v>ACCT#7700010027/PCT#4</v>
      </c>
      <c r="G155" s="4">
        <v>256.25</v>
      </c>
      <c r="H155" t="str">
        <f>"ACCT#7700010027/PCT#4"</f>
        <v>ACCT#7700010027/PCT#4</v>
      </c>
    </row>
    <row r="156" spans="1:8" x14ac:dyDescent="0.25">
      <c r="A156" t="s">
        <v>31</v>
      </c>
      <c r="B156">
        <v>135983</v>
      </c>
      <c r="C156" s="4">
        <v>1127.75</v>
      </c>
      <c r="D156" s="1">
        <v>44371</v>
      </c>
      <c r="E156" t="str">
        <f>"202106234164"</f>
        <v>202106234164</v>
      </c>
      <c r="F156" t="str">
        <f>"ACCT#0102120801 / 06022021"</f>
        <v>ACCT#0102120801 / 06022021</v>
      </c>
      <c r="G156" s="4">
        <v>46.17</v>
      </c>
      <c r="H156" t="str">
        <f>"AQUA WATER SUPPLY CORPORATION"</f>
        <v>AQUA WATER SUPPLY CORPORATION</v>
      </c>
    </row>
    <row r="157" spans="1:8" x14ac:dyDescent="0.25">
      <c r="E157" t="str">
        <f>"202106234166"</f>
        <v>202106234166</v>
      </c>
      <c r="F157" t="str">
        <f>"ACCT#0400785803 / 06022021"</f>
        <v>ACCT#0400785803 / 06022021</v>
      </c>
      <c r="G157" s="4">
        <v>332.1</v>
      </c>
      <c r="H157" t="str">
        <f>"AQUA WATER SUPPLY CORPORATION"</f>
        <v>AQUA WATER SUPPLY CORPORATION</v>
      </c>
    </row>
    <row r="158" spans="1:8" x14ac:dyDescent="0.25">
      <c r="E158" t="str">
        <f>"202106234167"</f>
        <v>202106234167</v>
      </c>
      <c r="F158" t="str">
        <f>"ACCT#0401408501 / 06022021"</f>
        <v>ACCT#0401408501 / 06022021</v>
      </c>
      <c r="G158" s="4">
        <v>666.03</v>
      </c>
      <c r="H158" t="str">
        <f>"ACCT#0401408501 / 06022021"</f>
        <v>ACCT#0401408501 / 06022021</v>
      </c>
    </row>
    <row r="159" spans="1:8" x14ac:dyDescent="0.25">
      <c r="E159" t="str">
        <f>"202106234168"</f>
        <v>202106234168</v>
      </c>
      <c r="F159" t="str">
        <f>"ACCT#0800042801 / 06032021"</f>
        <v>ACCT#0800042801 / 06032021</v>
      </c>
      <c r="G159" s="4">
        <v>58.17</v>
      </c>
      <c r="H159" t="str">
        <f>"AQUA WATER SUPPLY CORPORATION"</f>
        <v>AQUA WATER SUPPLY CORPORATION</v>
      </c>
    </row>
    <row r="160" spans="1:8" x14ac:dyDescent="0.25">
      <c r="E160" t="str">
        <f>"202106234169"</f>
        <v>202106234169</v>
      </c>
      <c r="F160" t="str">
        <f>"ACCT#0802361501 / 06022021"</f>
        <v>ACCT#0802361501 / 06022021</v>
      </c>
      <c r="G160" s="4">
        <v>25.28</v>
      </c>
      <c r="H160" t="str">
        <f>"ACCT#0802361501 / 06022021"</f>
        <v>ACCT#0802361501 / 06022021</v>
      </c>
    </row>
    <row r="161" spans="1:8" x14ac:dyDescent="0.25">
      <c r="A161" t="s">
        <v>31</v>
      </c>
      <c r="B161">
        <v>135988</v>
      </c>
      <c r="C161" s="4">
        <v>18</v>
      </c>
      <c r="D161" s="1">
        <v>44375</v>
      </c>
      <c r="E161" t="str">
        <f>"202106174069"</f>
        <v>202106174069</v>
      </c>
      <c r="F161" t="str">
        <f>"CUST#016020/COLLECTIONS"</f>
        <v>CUST#016020/COLLECTIONS</v>
      </c>
      <c r="G161" s="4">
        <v>18</v>
      </c>
      <c r="H161" t="str">
        <f>"CUST#016020/COLLECTIONS"</f>
        <v>CUST#016020/COLLECTIONS</v>
      </c>
    </row>
    <row r="162" spans="1:8" x14ac:dyDescent="0.25">
      <c r="A162" t="s">
        <v>32</v>
      </c>
      <c r="B162">
        <v>4572</v>
      </c>
      <c r="C162" s="4">
        <v>1200</v>
      </c>
      <c r="D162" s="1">
        <v>44362</v>
      </c>
      <c r="E162" t="str">
        <f>"15186"</f>
        <v>15186</v>
      </c>
      <c r="F162" t="str">
        <f>"WEBSITE MEDIA MGMT &amp; HOSTING"</f>
        <v>WEBSITE MEDIA MGMT &amp; HOSTING</v>
      </c>
      <c r="G162" s="4">
        <v>1200</v>
      </c>
      <c r="H162" t="str">
        <f>"WEBSITE MEDIA MGMT &amp; HOSTING"</f>
        <v>WEBSITE MEDIA MGMT &amp; HOSTING</v>
      </c>
    </row>
    <row r="163" spans="1:8" x14ac:dyDescent="0.25">
      <c r="A163" t="s">
        <v>33</v>
      </c>
      <c r="B163">
        <v>135989</v>
      </c>
      <c r="C163" s="4">
        <v>182.13</v>
      </c>
      <c r="D163" s="1">
        <v>44375</v>
      </c>
      <c r="E163" t="str">
        <f>"202106234163"</f>
        <v>202106234163</v>
      </c>
      <c r="F163" t="str">
        <f>"JAIL MEDICAL"</f>
        <v>JAIL MEDICAL</v>
      </c>
      <c r="G163" s="4">
        <v>182.13</v>
      </c>
      <c r="H163" t="str">
        <f>"JAIL MEDICAL"</f>
        <v>JAIL MEDICAL</v>
      </c>
    </row>
    <row r="164" spans="1:8" x14ac:dyDescent="0.25">
      <c r="A164" t="s">
        <v>34</v>
      </c>
      <c r="B164">
        <v>135990</v>
      </c>
      <c r="C164" s="4">
        <v>31.76</v>
      </c>
      <c r="D164" s="1">
        <v>44375</v>
      </c>
      <c r="E164" t="str">
        <f>"202106224116"</f>
        <v>202106224116</v>
      </c>
      <c r="F164" t="str">
        <f>"REIMBURSE/ASHLEY HERMANS"</f>
        <v>REIMBURSE/ASHLEY HERMANS</v>
      </c>
      <c r="G164" s="4">
        <v>31.76</v>
      </c>
      <c r="H164" t="str">
        <f>"REIMBURSE/ASHLEY HERMANS"</f>
        <v>REIMBURSE/ASHLEY HERMANS</v>
      </c>
    </row>
    <row r="165" spans="1:8" x14ac:dyDescent="0.25">
      <c r="A165" t="s">
        <v>35</v>
      </c>
      <c r="B165">
        <v>135818</v>
      </c>
      <c r="C165" s="4">
        <v>6446.94</v>
      </c>
      <c r="D165" s="1">
        <v>44361</v>
      </c>
      <c r="E165" t="str">
        <f>"202106023492"</f>
        <v>202106023492</v>
      </c>
      <c r="F165" t="str">
        <f>"ACCT#512A49-0048-1933"</f>
        <v>ACCT#512A49-0048-1933</v>
      </c>
      <c r="G165" s="4">
        <v>5435.45</v>
      </c>
      <c r="H165" t="str">
        <f>"ACCT#512A49-0048-1933"</f>
        <v>ACCT#512A49-0048-1933</v>
      </c>
    </row>
    <row r="166" spans="1:8" x14ac:dyDescent="0.25">
      <c r="E166" t="str">
        <f>""</f>
        <v/>
      </c>
      <c r="F166" t="str">
        <f>""</f>
        <v/>
      </c>
      <c r="H166" t="str">
        <f>"ACCT#512A49-0048-1933"</f>
        <v>ACCT#512A49-0048-1933</v>
      </c>
    </row>
    <row r="167" spans="1:8" x14ac:dyDescent="0.25">
      <c r="E167" t="str">
        <f>""</f>
        <v/>
      </c>
      <c r="F167" t="str">
        <f>""</f>
        <v/>
      </c>
      <c r="H167" t="str">
        <f>"ACCT#512A49-0048-1933"</f>
        <v>ACCT#512A49-0048-1933</v>
      </c>
    </row>
    <row r="168" spans="1:8" x14ac:dyDescent="0.25">
      <c r="E168" t="str">
        <f>"202106083775"</f>
        <v>202106083775</v>
      </c>
      <c r="F168" t="str">
        <f>"ACCT#512-308-9870 530 7"</f>
        <v>ACCT#512-308-9870 530 7</v>
      </c>
      <c r="G168" s="4">
        <v>1011.49</v>
      </c>
      <c r="H168" t="str">
        <f>"ACCT#512-308-9870 530 7"</f>
        <v>ACCT#512-308-9870 530 7</v>
      </c>
    </row>
    <row r="169" spans="1:8" x14ac:dyDescent="0.25">
      <c r="A169" t="s">
        <v>35</v>
      </c>
      <c r="B169">
        <v>135819</v>
      </c>
      <c r="C169" s="4">
        <v>195</v>
      </c>
      <c r="D169" s="1">
        <v>44361</v>
      </c>
      <c r="E169" t="str">
        <f>"387147"</f>
        <v>387147</v>
      </c>
      <c r="F169" t="str">
        <f>"INV 387147"</f>
        <v>INV 387147</v>
      </c>
      <c r="G169" s="4">
        <v>125</v>
      </c>
      <c r="H169" t="str">
        <f>"INV 387147"</f>
        <v>INV 387147</v>
      </c>
    </row>
    <row r="170" spans="1:8" x14ac:dyDescent="0.25">
      <c r="E170" t="str">
        <f>"388835"</f>
        <v>388835</v>
      </c>
      <c r="F170" t="str">
        <f>"INV 388835"</f>
        <v>INV 388835</v>
      </c>
      <c r="G170" s="4">
        <v>70</v>
      </c>
      <c r="H170" t="str">
        <f>"INV 388835"</f>
        <v>INV 388835</v>
      </c>
    </row>
    <row r="171" spans="1:8" x14ac:dyDescent="0.25">
      <c r="A171" t="s">
        <v>35</v>
      </c>
      <c r="B171">
        <v>135820</v>
      </c>
      <c r="C171" s="4">
        <v>5099.75</v>
      </c>
      <c r="D171" s="1">
        <v>44361</v>
      </c>
      <c r="E171" t="str">
        <f>"1443891600"</f>
        <v>1443891600</v>
      </c>
      <c r="F171" t="str">
        <f>"ACCT#831-000-6084 095"</f>
        <v>ACCT#831-000-6084 095</v>
      </c>
      <c r="G171" s="4">
        <v>1684.69</v>
      </c>
      <c r="H171" t="str">
        <f>"ACCT#831-000-6084 095"</f>
        <v>ACCT#831-000-6084 095</v>
      </c>
    </row>
    <row r="172" spans="1:8" x14ac:dyDescent="0.25">
      <c r="E172" t="str">
        <f>"6898562608"</f>
        <v>6898562608</v>
      </c>
      <c r="F172" t="str">
        <f>"ACCT#831-000-7218 923"</f>
        <v>ACCT#831-000-7218 923</v>
      </c>
      <c r="G172" s="4">
        <v>874.25</v>
      </c>
      <c r="H172" t="str">
        <f>"ACCT#831-000-7218 923"</f>
        <v>ACCT#831-000-7218 923</v>
      </c>
    </row>
    <row r="173" spans="1:8" x14ac:dyDescent="0.25">
      <c r="E173" t="str">
        <f>"7629632602"</f>
        <v>7629632602</v>
      </c>
      <c r="F173" t="str">
        <f>"ACCT#831-000-9850 451"</f>
        <v>ACCT#831-000-9850 451</v>
      </c>
      <c r="G173" s="4">
        <v>2540.81</v>
      </c>
      <c r="H173" t="str">
        <f>"ACCT#831-000-9850 451"</f>
        <v>ACCT#831-000-9850 451</v>
      </c>
    </row>
    <row r="174" spans="1:8" x14ac:dyDescent="0.25">
      <c r="A174" t="s">
        <v>35</v>
      </c>
      <c r="B174">
        <v>135991</v>
      </c>
      <c r="C174" s="4">
        <v>345</v>
      </c>
      <c r="D174" s="1">
        <v>44375</v>
      </c>
      <c r="E174" t="str">
        <f>"388555"</f>
        <v>388555</v>
      </c>
      <c r="F174" t="str">
        <f>"INV 388555"</f>
        <v>INV 388555</v>
      </c>
      <c r="G174" s="4">
        <v>70</v>
      </c>
      <c r="H174" t="str">
        <f>"INV 388555"</f>
        <v>INV 388555</v>
      </c>
    </row>
    <row r="175" spans="1:8" x14ac:dyDescent="0.25">
      <c r="E175" t="str">
        <f>"390608"</f>
        <v>390608</v>
      </c>
      <c r="F175" t="str">
        <f>"INV 390608"</f>
        <v>INV 390608</v>
      </c>
      <c r="G175" s="4">
        <v>150</v>
      </c>
      <c r="H175" t="str">
        <f>"INV 390608"</f>
        <v>INV 390608</v>
      </c>
    </row>
    <row r="176" spans="1:8" x14ac:dyDescent="0.25">
      <c r="E176" t="str">
        <f>"3990381"</f>
        <v>3990381</v>
      </c>
      <c r="F176" t="str">
        <f>"INV 390381"</f>
        <v>INV 390381</v>
      </c>
      <c r="G176" s="4">
        <v>125</v>
      </c>
      <c r="H176" t="str">
        <f>"INV 390381"</f>
        <v>INV 390381</v>
      </c>
    </row>
    <row r="177" spans="1:8" x14ac:dyDescent="0.25">
      <c r="A177" t="s">
        <v>35</v>
      </c>
      <c r="B177">
        <v>135992</v>
      </c>
      <c r="C177" s="4">
        <v>2983.46</v>
      </c>
      <c r="D177" s="1">
        <v>44375</v>
      </c>
      <c r="E177" t="str">
        <f>"202106224128"</f>
        <v>202106224128</v>
      </c>
      <c r="F177" t="str">
        <f>"ACCT#831-000-9850-451"</f>
        <v>ACCT#831-000-9850-451</v>
      </c>
      <c r="G177" s="4">
        <v>2983.46</v>
      </c>
      <c r="H177" t="str">
        <f>"ACCT#831-000-9850-451"</f>
        <v>ACCT#831-000-9850-451</v>
      </c>
    </row>
    <row r="178" spans="1:8" x14ac:dyDescent="0.25">
      <c r="A178" t="s">
        <v>36</v>
      </c>
      <c r="B178">
        <v>135821</v>
      </c>
      <c r="C178" s="4">
        <v>4521.97</v>
      </c>
      <c r="D178" s="1">
        <v>44361</v>
      </c>
      <c r="E178" t="str">
        <f>"90524359X05272021"</f>
        <v>90524359X05272021</v>
      </c>
      <c r="F178" t="str">
        <f>"ACCT#287290524359/58143538"</f>
        <v>ACCT#287290524359/58143538</v>
      </c>
      <c r="G178" s="4">
        <v>4521.97</v>
      </c>
      <c r="H178" t="str">
        <f t="shared" ref="H178:H190" si="6">"ACCT#287290524359/58143538"</f>
        <v>ACCT#287290524359/58143538</v>
      </c>
    </row>
    <row r="179" spans="1:8" x14ac:dyDescent="0.25">
      <c r="E179" t="str">
        <f>""</f>
        <v/>
      </c>
      <c r="F179" t="str">
        <f>""</f>
        <v/>
      </c>
      <c r="H179" t="str">
        <f t="shared" si="6"/>
        <v>ACCT#287290524359/58143538</v>
      </c>
    </row>
    <row r="180" spans="1:8" x14ac:dyDescent="0.25">
      <c r="E180" t="str">
        <f>""</f>
        <v/>
      </c>
      <c r="F180" t="str">
        <f>""</f>
        <v/>
      </c>
      <c r="H180" t="str">
        <f t="shared" si="6"/>
        <v>ACCT#287290524359/58143538</v>
      </c>
    </row>
    <row r="181" spans="1:8" x14ac:dyDescent="0.25">
      <c r="E181" t="str">
        <f>""</f>
        <v/>
      </c>
      <c r="F181" t="str">
        <f>""</f>
        <v/>
      </c>
      <c r="H181" t="str">
        <f t="shared" si="6"/>
        <v>ACCT#287290524359/58143538</v>
      </c>
    </row>
    <row r="182" spans="1:8" x14ac:dyDescent="0.25">
      <c r="E182" t="str">
        <f>""</f>
        <v/>
      </c>
      <c r="F182" t="str">
        <f>""</f>
        <v/>
      </c>
      <c r="H182" t="str">
        <f t="shared" si="6"/>
        <v>ACCT#287290524359/58143538</v>
      </c>
    </row>
    <row r="183" spans="1:8" x14ac:dyDescent="0.25">
      <c r="E183" t="str">
        <f>""</f>
        <v/>
      </c>
      <c r="F183" t="str">
        <f>""</f>
        <v/>
      </c>
      <c r="H183" t="str">
        <f t="shared" si="6"/>
        <v>ACCT#287290524359/58143538</v>
      </c>
    </row>
    <row r="184" spans="1:8" x14ac:dyDescent="0.25">
      <c r="E184" t="str">
        <f>""</f>
        <v/>
      </c>
      <c r="F184" t="str">
        <f>""</f>
        <v/>
      </c>
      <c r="H184" t="str">
        <f t="shared" si="6"/>
        <v>ACCT#287290524359/58143538</v>
      </c>
    </row>
    <row r="185" spans="1:8" x14ac:dyDescent="0.25">
      <c r="E185" t="str">
        <f>""</f>
        <v/>
      </c>
      <c r="F185" t="str">
        <f>""</f>
        <v/>
      </c>
      <c r="H185" t="str">
        <f t="shared" si="6"/>
        <v>ACCT#287290524359/58143538</v>
      </c>
    </row>
    <row r="186" spans="1:8" x14ac:dyDescent="0.25">
      <c r="E186" t="str">
        <f>""</f>
        <v/>
      </c>
      <c r="F186" t="str">
        <f>""</f>
        <v/>
      </c>
      <c r="H186" t="str">
        <f t="shared" si="6"/>
        <v>ACCT#287290524359/58143538</v>
      </c>
    </row>
    <row r="187" spans="1:8" x14ac:dyDescent="0.25">
      <c r="E187" t="str">
        <f>""</f>
        <v/>
      </c>
      <c r="F187" t="str">
        <f>""</f>
        <v/>
      </c>
      <c r="H187" t="str">
        <f t="shared" si="6"/>
        <v>ACCT#287290524359/58143538</v>
      </c>
    </row>
    <row r="188" spans="1:8" x14ac:dyDescent="0.25">
      <c r="E188" t="str">
        <f>""</f>
        <v/>
      </c>
      <c r="F188" t="str">
        <f>""</f>
        <v/>
      </c>
      <c r="H188" t="str">
        <f t="shared" si="6"/>
        <v>ACCT#287290524359/58143538</v>
      </c>
    </row>
    <row r="189" spans="1:8" x14ac:dyDescent="0.25">
      <c r="E189" t="str">
        <f>""</f>
        <v/>
      </c>
      <c r="F189" t="str">
        <f>""</f>
        <v/>
      </c>
      <c r="H189" t="str">
        <f t="shared" si="6"/>
        <v>ACCT#287290524359/58143538</v>
      </c>
    </row>
    <row r="190" spans="1:8" x14ac:dyDescent="0.25">
      <c r="E190" t="str">
        <f>""</f>
        <v/>
      </c>
      <c r="F190" t="str">
        <f>""</f>
        <v/>
      </c>
      <c r="H190" t="str">
        <f t="shared" si="6"/>
        <v>ACCT#287290524359/58143538</v>
      </c>
    </row>
    <row r="191" spans="1:8" x14ac:dyDescent="0.25">
      <c r="A191" t="s">
        <v>36</v>
      </c>
      <c r="B191">
        <v>135993</v>
      </c>
      <c r="C191" s="4">
        <v>1748.82</v>
      </c>
      <c r="D191" s="1">
        <v>44375</v>
      </c>
      <c r="E191" t="str">
        <f>"202106214104"</f>
        <v>202106214104</v>
      </c>
      <c r="F191" t="str">
        <f>"ACCT#287263291654"</f>
        <v>ACCT#287263291654</v>
      </c>
      <c r="G191" s="4">
        <v>1483.22</v>
      </c>
      <c r="H191" t="str">
        <f t="shared" ref="H191:H208" si="7">"ACCT#287263291654"</f>
        <v>ACCT#287263291654</v>
      </c>
    </row>
    <row r="192" spans="1:8" x14ac:dyDescent="0.25">
      <c r="E192" t="str">
        <f>""</f>
        <v/>
      </c>
      <c r="F192" t="str">
        <f>""</f>
        <v/>
      </c>
      <c r="H192" t="str">
        <f t="shared" si="7"/>
        <v>ACCT#287263291654</v>
      </c>
    </row>
    <row r="193" spans="5:8" x14ac:dyDescent="0.25">
      <c r="E193" t="str">
        <f>""</f>
        <v/>
      </c>
      <c r="F193" t="str">
        <f>""</f>
        <v/>
      </c>
      <c r="H193" t="str">
        <f t="shared" si="7"/>
        <v>ACCT#287263291654</v>
      </c>
    </row>
    <row r="194" spans="5:8" x14ac:dyDescent="0.25">
      <c r="E194" t="str">
        <f>""</f>
        <v/>
      </c>
      <c r="F194" t="str">
        <f>""</f>
        <v/>
      </c>
      <c r="H194" t="str">
        <f t="shared" si="7"/>
        <v>ACCT#287263291654</v>
      </c>
    </row>
    <row r="195" spans="5:8" x14ac:dyDescent="0.25">
      <c r="E195" t="str">
        <f>""</f>
        <v/>
      </c>
      <c r="F195" t="str">
        <f>""</f>
        <v/>
      </c>
      <c r="H195" t="str">
        <f t="shared" si="7"/>
        <v>ACCT#287263291654</v>
      </c>
    </row>
    <row r="196" spans="5:8" x14ac:dyDescent="0.25">
      <c r="E196" t="str">
        <f>""</f>
        <v/>
      </c>
      <c r="F196" t="str">
        <f>""</f>
        <v/>
      </c>
      <c r="H196" t="str">
        <f t="shared" si="7"/>
        <v>ACCT#287263291654</v>
      </c>
    </row>
    <row r="197" spans="5:8" x14ac:dyDescent="0.25">
      <c r="E197" t="str">
        <f>""</f>
        <v/>
      </c>
      <c r="F197" t="str">
        <f>""</f>
        <v/>
      </c>
      <c r="H197" t="str">
        <f t="shared" si="7"/>
        <v>ACCT#287263291654</v>
      </c>
    </row>
    <row r="198" spans="5:8" x14ac:dyDescent="0.25">
      <c r="E198" t="str">
        <f>""</f>
        <v/>
      </c>
      <c r="F198" t="str">
        <f>""</f>
        <v/>
      </c>
      <c r="H198" t="str">
        <f t="shared" si="7"/>
        <v>ACCT#287263291654</v>
      </c>
    </row>
    <row r="199" spans="5:8" x14ac:dyDescent="0.25">
      <c r="E199" t="str">
        <f>""</f>
        <v/>
      </c>
      <c r="F199" t="str">
        <f>""</f>
        <v/>
      </c>
      <c r="H199" t="str">
        <f t="shared" si="7"/>
        <v>ACCT#287263291654</v>
      </c>
    </row>
    <row r="200" spans="5:8" x14ac:dyDescent="0.25">
      <c r="E200" t="str">
        <f>""</f>
        <v/>
      </c>
      <c r="F200" t="str">
        <f>""</f>
        <v/>
      </c>
      <c r="H200" t="str">
        <f t="shared" si="7"/>
        <v>ACCT#287263291654</v>
      </c>
    </row>
    <row r="201" spans="5:8" x14ac:dyDescent="0.25">
      <c r="E201" t="str">
        <f>""</f>
        <v/>
      </c>
      <c r="F201" t="str">
        <f>""</f>
        <v/>
      </c>
      <c r="H201" t="str">
        <f t="shared" si="7"/>
        <v>ACCT#287263291654</v>
      </c>
    </row>
    <row r="202" spans="5:8" x14ac:dyDescent="0.25">
      <c r="E202" t="str">
        <f>""</f>
        <v/>
      </c>
      <c r="F202" t="str">
        <f>""</f>
        <v/>
      </c>
      <c r="H202" t="str">
        <f t="shared" si="7"/>
        <v>ACCT#287263291654</v>
      </c>
    </row>
    <row r="203" spans="5:8" x14ac:dyDescent="0.25">
      <c r="E203" t="str">
        <f>""</f>
        <v/>
      </c>
      <c r="F203" t="str">
        <f>""</f>
        <v/>
      </c>
      <c r="H203" t="str">
        <f t="shared" si="7"/>
        <v>ACCT#287263291654</v>
      </c>
    </row>
    <row r="204" spans="5:8" x14ac:dyDescent="0.25">
      <c r="E204" t="str">
        <f>""</f>
        <v/>
      </c>
      <c r="F204" t="str">
        <f>""</f>
        <v/>
      </c>
      <c r="H204" t="str">
        <f t="shared" si="7"/>
        <v>ACCT#287263291654</v>
      </c>
    </row>
    <row r="205" spans="5:8" x14ac:dyDescent="0.25">
      <c r="E205" t="str">
        <f>""</f>
        <v/>
      </c>
      <c r="F205" t="str">
        <f>""</f>
        <v/>
      </c>
      <c r="H205" t="str">
        <f t="shared" si="7"/>
        <v>ACCT#287263291654</v>
      </c>
    </row>
    <row r="206" spans="5:8" x14ac:dyDescent="0.25">
      <c r="E206" t="str">
        <f>""</f>
        <v/>
      </c>
      <c r="F206" t="str">
        <f>""</f>
        <v/>
      </c>
      <c r="H206" t="str">
        <f t="shared" si="7"/>
        <v>ACCT#287263291654</v>
      </c>
    </row>
    <row r="207" spans="5:8" x14ac:dyDescent="0.25">
      <c r="E207" t="str">
        <f>""</f>
        <v/>
      </c>
      <c r="F207" t="str">
        <f>""</f>
        <v/>
      </c>
      <c r="H207" t="str">
        <f t="shared" si="7"/>
        <v>ACCT#287263291654</v>
      </c>
    </row>
    <row r="208" spans="5:8" x14ac:dyDescent="0.25">
      <c r="E208" t="str">
        <f>""</f>
        <v/>
      </c>
      <c r="F208" t="str">
        <f>""</f>
        <v/>
      </c>
      <c r="H208" t="str">
        <f t="shared" si="7"/>
        <v>ACCT#287263291654</v>
      </c>
    </row>
    <row r="209" spans="1:8" x14ac:dyDescent="0.25">
      <c r="E209" t="str">
        <f>"202106224141"</f>
        <v>202106224141</v>
      </c>
      <c r="F209" t="str">
        <f>"INV 287280903541X06202021"</f>
        <v>INV 287280903541X06202021</v>
      </c>
      <c r="G209" s="4">
        <v>265.60000000000002</v>
      </c>
      <c r="H209" t="str">
        <f>"INV 287280903541X06202021"</f>
        <v>INV 287280903541X06202021</v>
      </c>
    </row>
    <row r="210" spans="1:8" x14ac:dyDescent="0.25">
      <c r="A210" t="s">
        <v>37</v>
      </c>
      <c r="B210">
        <v>1103</v>
      </c>
      <c r="C210" s="4">
        <v>0</v>
      </c>
      <c r="D210" s="1">
        <v>44362</v>
      </c>
      <c r="E210" t="str">
        <f>"202106153945"</f>
        <v>202106153945</v>
      </c>
      <c r="F210" t="str">
        <f>"ACCT# 72-56313 / 06032021"</f>
        <v>ACCT# 72-56313 / 06032021</v>
      </c>
      <c r="G210" s="4">
        <v>-10.99</v>
      </c>
      <c r="H210" t="str">
        <f>"ACCT# 72-56313 / 06032021"</f>
        <v>ACCT# 72-56313 / 06032021</v>
      </c>
    </row>
    <row r="211" spans="1:8" x14ac:dyDescent="0.25">
      <c r="E211" t="str">
        <f>"202106143920"</f>
        <v>202106143920</v>
      </c>
      <c r="F211" t="str">
        <f>"ACCT #72-56313 / 06/03/2021"</f>
        <v>ACCT #72-56313 / 06/03/2021</v>
      </c>
      <c r="G211" s="4">
        <v>10.99</v>
      </c>
      <c r="H211" t="str">
        <f>"ACCT #72-56313 / 06/03/2021"</f>
        <v>ACCT #72-56313 / 06/03/2021</v>
      </c>
    </row>
    <row r="212" spans="1:8" x14ac:dyDescent="0.25">
      <c r="A212" t="s">
        <v>38</v>
      </c>
      <c r="B212">
        <v>135994</v>
      </c>
      <c r="C212" s="4">
        <v>135</v>
      </c>
      <c r="D212" s="1">
        <v>44375</v>
      </c>
      <c r="E212" t="str">
        <f>"202106224129"</f>
        <v>202106224129</v>
      </c>
      <c r="F212" t="str">
        <f>"ACCT#505949115/ADENA L."</f>
        <v>ACCT#505949115/ADENA L.</v>
      </c>
      <c r="G212" s="4">
        <v>135</v>
      </c>
      <c r="H212" t="str">
        <f>"ACCT#505949115/ADENA L."</f>
        <v>ACCT#505949115/ADENA L.</v>
      </c>
    </row>
    <row r="213" spans="1:8" x14ac:dyDescent="0.25">
      <c r="A213" t="s">
        <v>39</v>
      </c>
      <c r="B213">
        <v>135822</v>
      </c>
      <c r="C213" s="4">
        <v>399.77</v>
      </c>
      <c r="D213" s="1">
        <v>44361</v>
      </c>
      <c r="E213" t="str">
        <f>"158626"</f>
        <v>158626</v>
      </c>
      <c r="F213" t="str">
        <f>"FRIGHTLINER PARTS/PCT#3"</f>
        <v>FRIGHTLINER PARTS/PCT#3</v>
      </c>
      <c r="G213" s="4">
        <v>399.77</v>
      </c>
      <c r="H213" t="str">
        <f>"FRIGHTLINER PARTS/PCT#3"</f>
        <v>FRIGHTLINER PARTS/PCT#3</v>
      </c>
    </row>
    <row r="214" spans="1:8" x14ac:dyDescent="0.25">
      <c r="A214" t="s">
        <v>40</v>
      </c>
      <c r="B214">
        <v>4566</v>
      </c>
      <c r="C214" s="4">
        <v>450</v>
      </c>
      <c r="D214" s="1">
        <v>44362</v>
      </c>
      <c r="E214" t="str">
        <f>"2195"</f>
        <v>2195</v>
      </c>
      <c r="F214" t="str">
        <f>"2018-MCF-03"</f>
        <v>2018-MCF-03</v>
      </c>
      <c r="G214" s="4">
        <v>450</v>
      </c>
      <c r="H214" t="str">
        <f>"2018-MCF-03"</f>
        <v>2018-MCF-03</v>
      </c>
    </row>
    <row r="215" spans="1:8" x14ac:dyDescent="0.25">
      <c r="A215" t="s">
        <v>41</v>
      </c>
      <c r="B215">
        <v>1114</v>
      </c>
      <c r="C215" s="4">
        <v>0</v>
      </c>
      <c r="D215" s="1">
        <v>44362</v>
      </c>
      <c r="E215" t="str">
        <f>"202106153946"</f>
        <v>202106153946</v>
      </c>
      <c r="F215" t="str">
        <f>"ACCT# 72-56313 / 06032021"</f>
        <v>ACCT# 72-56313 / 06032021</v>
      </c>
      <c r="G215" s="4">
        <v>-27.02</v>
      </c>
      <c r="H215" t="str">
        <f>"ACCT# 72-56313 / 06032021"</f>
        <v>ACCT# 72-56313 / 06032021</v>
      </c>
    </row>
    <row r="216" spans="1:8" x14ac:dyDescent="0.25">
      <c r="E216" t="str">
        <f>"202106143931"</f>
        <v>202106143931</v>
      </c>
      <c r="F216" t="str">
        <f>"ACCT #72-56313 / 06/03/2021"</f>
        <v>ACCT #72-56313 / 06/03/2021</v>
      </c>
      <c r="G216" s="4">
        <v>27.02</v>
      </c>
      <c r="H216" t="str">
        <f>"ACCT #72-56313 / 06/03/2021"</f>
        <v>ACCT #72-56313 / 06/03/2021</v>
      </c>
    </row>
    <row r="217" spans="1:8" x14ac:dyDescent="0.25">
      <c r="A217" t="s">
        <v>42</v>
      </c>
      <c r="B217">
        <v>4594</v>
      </c>
      <c r="C217" s="4">
        <v>494.5</v>
      </c>
      <c r="D217" s="1">
        <v>44362</v>
      </c>
      <c r="E217" t="str">
        <f>"202106043670"</f>
        <v>202106043670</v>
      </c>
      <c r="F217" t="str">
        <f>"ACCT#0011/PCT#3"</f>
        <v>ACCT#0011/PCT#3</v>
      </c>
      <c r="G217" s="4">
        <v>152</v>
      </c>
      <c r="H217" t="str">
        <f>"ACCT#0011/PCT#3"</f>
        <v>ACCT#0011/PCT#3</v>
      </c>
    </row>
    <row r="218" spans="1:8" x14ac:dyDescent="0.25">
      <c r="E218" t="str">
        <f>"202106043671"</f>
        <v>202106043671</v>
      </c>
      <c r="F218" t="str">
        <f>"ACCT#0009/PCT#1"</f>
        <v>ACCT#0009/PCT#1</v>
      </c>
      <c r="G218" s="4">
        <v>38</v>
      </c>
      <c r="H218" t="str">
        <f>"ACCT#0009/PCT#1"</f>
        <v>ACCT#0009/PCT#1</v>
      </c>
    </row>
    <row r="219" spans="1:8" x14ac:dyDescent="0.25">
      <c r="E219" t="str">
        <f>"202106043672"</f>
        <v>202106043672</v>
      </c>
      <c r="F219" t="str">
        <f>"ACCT#0010/PCT#2"</f>
        <v>ACCT#0010/PCT#2</v>
      </c>
      <c r="G219" s="4">
        <v>273.5</v>
      </c>
      <c r="H219" t="str">
        <f>"ACCT#0010/PCT#2"</f>
        <v>ACCT#0010/PCT#2</v>
      </c>
    </row>
    <row r="220" spans="1:8" x14ac:dyDescent="0.25">
      <c r="E220" t="str">
        <f>"383494"</f>
        <v>383494</v>
      </c>
      <c r="F220" t="str">
        <f>"INV 383494"</f>
        <v>INV 383494</v>
      </c>
      <c r="G220" s="4">
        <v>31</v>
      </c>
      <c r="H220" t="str">
        <f>"INV 383494"</f>
        <v>INV 383494</v>
      </c>
    </row>
    <row r="221" spans="1:8" x14ac:dyDescent="0.25">
      <c r="A221" t="s">
        <v>43</v>
      </c>
      <c r="B221">
        <v>4558</v>
      </c>
      <c r="C221" s="4">
        <v>4500</v>
      </c>
      <c r="D221" s="1">
        <v>44362</v>
      </c>
      <c r="E221" t="str">
        <f>"1641"</f>
        <v>1641</v>
      </c>
      <c r="F221" t="str">
        <f>"DEAD TREES WINDFEILD THICKET"</f>
        <v>DEAD TREES WINDFEILD THICKET</v>
      </c>
      <c r="G221" s="4">
        <v>4500</v>
      </c>
      <c r="H221" t="str">
        <f>"DEAD TREES WINDFEILD THICKET"</f>
        <v>DEAD TREES WINDFEILD THICKET</v>
      </c>
    </row>
    <row r="222" spans="1:8" x14ac:dyDescent="0.25">
      <c r="A222" t="s">
        <v>44</v>
      </c>
      <c r="B222">
        <v>135995</v>
      </c>
      <c r="C222" s="4">
        <v>105</v>
      </c>
      <c r="D222" s="1">
        <v>44375</v>
      </c>
      <c r="E222" t="str">
        <f>"202106164015"</f>
        <v>202106164015</v>
      </c>
      <c r="F222" t="str">
        <f>"REIMBURSE #24582 #27559 #24136"</f>
        <v>REIMBURSE #24582 #27559 #24136</v>
      </c>
      <c r="G222" s="4">
        <v>105</v>
      </c>
      <c r="H222" t="str">
        <f>"REIMBURSE #24582 #27559 #24136"</f>
        <v>REIMBURSE #24582 #27559 #24136</v>
      </c>
    </row>
    <row r="223" spans="1:8" x14ac:dyDescent="0.25">
      <c r="A223" t="s">
        <v>45</v>
      </c>
      <c r="B223">
        <v>135823</v>
      </c>
      <c r="C223" s="4">
        <v>2507</v>
      </c>
      <c r="D223" s="1">
        <v>44361</v>
      </c>
      <c r="E223" t="str">
        <f>"11378 3-29-21"</f>
        <v>11378 3-29-21</v>
      </c>
      <c r="F223" t="str">
        <f t="shared" ref="F223:F249" si="8">"SERVICE"</f>
        <v>SERVICE</v>
      </c>
      <c r="G223" s="4">
        <v>75</v>
      </c>
      <c r="H223" t="str">
        <f t="shared" ref="H223:H249" si="9">"SERVICE"</f>
        <v>SERVICE</v>
      </c>
    </row>
    <row r="224" spans="1:8" x14ac:dyDescent="0.25">
      <c r="E224" t="str">
        <f>"12285 3-29-21"</f>
        <v>12285 3-29-21</v>
      </c>
      <c r="F224" t="str">
        <f t="shared" si="8"/>
        <v>SERVICE</v>
      </c>
      <c r="G224" s="4">
        <v>119</v>
      </c>
      <c r="H224" t="str">
        <f t="shared" si="9"/>
        <v>SERVICE</v>
      </c>
    </row>
    <row r="225" spans="5:8" x14ac:dyDescent="0.25">
      <c r="E225" t="str">
        <f>"12815 3-23-21"</f>
        <v>12815 3-23-21</v>
      </c>
      <c r="F225" t="str">
        <f t="shared" si="8"/>
        <v>SERVICE</v>
      </c>
      <c r="G225" s="4">
        <v>5</v>
      </c>
      <c r="H225" t="str">
        <f t="shared" si="9"/>
        <v>SERVICE</v>
      </c>
    </row>
    <row r="226" spans="5:8" x14ac:dyDescent="0.25">
      <c r="E226" t="str">
        <f>"13-587"</f>
        <v>13-587</v>
      </c>
      <c r="F226" t="str">
        <f t="shared" si="8"/>
        <v>SERVICE</v>
      </c>
      <c r="G226" s="4">
        <v>57</v>
      </c>
      <c r="H226" t="str">
        <f t="shared" si="9"/>
        <v>SERVICE</v>
      </c>
    </row>
    <row r="227" spans="5:8" x14ac:dyDescent="0.25">
      <c r="E227" t="str">
        <f>"13053 - 04/05/21"</f>
        <v>13053 - 04/05/21</v>
      </c>
      <c r="F227" t="str">
        <f t="shared" si="8"/>
        <v>SERVICE</v>
      </c>
      <c r="G227" s="4">
        <v>250</v>
      </c>
      <c r="H227" t="str">
        <f t="shared" si="9"/>
        <v>SERVICE</v>
      </c>
    </row>
    <row r="228" spans="5:8" x14ac:dyDescent="0.25">
      <c r="E228" t="str">
        <f>"13091 - 04/05/21"</f>
        <v>13091 - 04/05/21</v>
      </c>
      <c r="F228" t="str">
        <f t="shared" si="8"/>
        <v>SERVICE</v>
      </c>
      <c r="G228" s="4">
        <v>250</v>
      </c>
      <c r="H228" t="str">
        <f t="shared" si="9"/>
        <v>SERVICE</v>
      </c>
    </row>
    <row r="229" spans="5:8" x14ac:dyDescent="0.25">
      <c r="E229" t="str">
        <f>"13126"</f>
        <v>13126</v>
      </c>
      <c r="F229" t="str">
        <f t="shared" si="8"/>
        <v>SERVICE</v>
      </c>
      <c r="G229" s="4">
        <v>325</v>
      </c>
      <c r="H229" t="str">
        <f t="shared" si="9"/>
        <v>SERVICE</v>
      </c>
    </row>
    <row r="230" spans="5:8" x14ac:dyDescent="0.25">
      <c r="E230" t="str">
        <f>"13220"</f>
        <v>13220</v>
      </c>
      <c r="F230" t="str">
        <f t="shared" si="8"/>
        <v>SERVICE</v>
      </c>
      <c r="G230" s="4">
        <v>75</v>
      </c>
      <c r="H230" t="str">
        <f t="shared" si="9"/>
        <v>SERVICE</v>
      </c>
    </row>
    <row r="231" spans="5:8" x14ac:dyDescent="0.25">
      <c r="E231" t="str">
        <f>"13301 3-22-21"</f>
        <v>13301 3-22-21</v>
      </c>
      <c r="F231" t="str">
        <f t="shared" si="8"/>
        <v>SERVICE</v>
      </c>
      <c r="G231" s="4">
        <v>42</v>
      </c>
      <c r="H231" t="str">
        <f t="shared" si="9"/>
        <v>SERVICE</v>
      </c>
    </row>
    <row r="232" spans="5:8" x14ac:dyDescent="0.25">
      <c r="E232" t="str">
        <f>"13325"</f>
        <v>13325</v>
      </c>
      <c r="F232" t="str">
        <f t="shared" si="8"/>
        <v>SERVICE</v>
      </c>
      <c r="G232" s="4">
        <v>67</v>
      </c>
      <c r="H232" t="str">
        <f t="shared" si="9"/>
        <v>SERVICE</v>
      </c>
    </row>
    <row r="233" spans="5:8" x14ac:dyDescent="0.25">
      <c r="E233" t="str">
        <f>"13325 4-29-21"</f>
        <v>13325 4-29-21</v>
      </c>
      <c r="F233" t="str">
        <f t="shared" si="8"/>
        <v>SERVICE</v>
      </c>
      <c r="G233" s="4">
        <v>8</v>
      </c>
      <c r="H233" t="str">
        <f t="shared" si="9"/>
        <v>SERVICE</v>
      </c>
    </row>
    <row r="234" spans="5:8" x14ac:dyDescent="0.25">
      <c r="E234" t="str">
        <f>"13385 3-24-21"</f>
        <v>13385 3-24-21</v>
      </c>
      <c r="F234" t="str">
        <f t="shared" si="8"/>
        <v>SERVICE</v>
      </c>
      <c r="G234" s="4">
        <v>38</v>
      </c>
      <c r="H234" t="str">
        <f t="shared" si="9"/>
        <v>SERVICE</v>
      </c>
    </row>
    <row r="235" spans="5:8" x14ac:dyDescent="0.25">
      <c r="E235" t="str">
        <f>"13469"</f>
        <v>13469</v>
      </c>
      <c r="F235" t="str">
        <f t="shared" si="8"/>
        <v>SERVICE</v>
      </c>
      <c r="G235" s="4">
        <v>150</v>
      </c>
      <c r="H235" t="str">
        <f t="shared" si="9"/>
        <v>SERVICE</v>
      </c>
    </row>
    <row r="236" spans="5:8" x14ac:dyDescent="0.25">
      <c r="E236" t="str">
        <f>"13489 3-24-21"</f>
        <v>13489 3-24-21</v>
      </c>
      <c r="F236" t="str">
        <f t="shared" si="8"/>
        <v>SERVICE</v>
      </c>
      <c r="G236" s="4">
        <v>50</v>
      </c>
      <c r="H236" t="str">
        <f t="shared" si="9"/>
        <v>SERVICE</v>
      </c>
    </row>
    <row r="237" spans="5:8" x14ac:dyDescent="0.25">
      <c r="E237" t="str">
        <f>"13508 3-29-21"</f>
        <v>13508 3-29-21</v>
      </c>
      <c r="F237" t="str">
        <f t="shared" si="8"/>
        <v>SERVICE</v>
      </c>
      <c r="G237" s="4">
        <v>9</v>
      </c>
      <c r="H237" t="str">
        <f t="shared" si="9"/>
        <v>SERVICE</v>
      </c>
    </row>
    <row r="238" spans="5:8" x14ac:dyDescent="0.25">
      <c r="E238" t="str">
        <f>"13519"</f>
        <v>13519</v>
      </c>
      <c r="F238" t="str">
        <f t="shared" si="8"/>
        <v>SERVICE</v>
      </c>
      <c r="G238" s="4">
        <v>150</v>
      </c>
      <c r="H238" t="str">
        <f t="shared" si="9"/>
        <v>SERVICE</v>
      </c>
    </row>
    <row r="239" spans="5:8" x14ac:dyDescent="0.25">
      <c r="E239" t="str">
        <f>"13534 4-9-21"</f>
        <v>13534 4-9-21</v>
      </c>
      <c r="F239" t="str">
        <f t="shared" si="8"/>
        <v>SERVICE</v>
      </c>
      <c r="G239" s="4">
        <v>50</v>
      </c>
      <c r="H239" t="str">
        <f t="shared" si="9"/>
        <v>SERVICE</v>
      </c>
    </row>
    <row r="240" spans="5:8" x14ac:dyDescent="0.25">
      <c r="E240" t="str">
        <f>"13588"</f>
        <v>13588</v>
      </c>
      <c r="F240" t="str">
        <f t="shared" si="8"/>
        <v>SERVICE</v>
      </c>
      <c r="G240" s="4">
        <v>65</v>
      </c>
      <c r="H240" t="str">
        <f t="shared" si="9"/>
        <v>SERVICE</v>
      </c>
    </row>
    <row r="241" spans="1:8" x14ac:dyDescent="0.25">
      <c r="E241" t="str">
        <f>"13603 4-23-21"</f>
        <v>13603 4-23-21</v>
      </c>
      <c r="F241" t="str">
        <f t="shared" si="8"/>
        <v>SERVICE</v>
      </c>
      <c r="G241" s="4">
        <v>38</v>
      </c>
      <c r="H241" t="str">
        <f t="shared" si="9"/>
        <v>SERVICE</v>
      </c>
    </row>
    <row r="242" spans="1:8" x14ac:dyDescent="0.25">
      <c r="E242" t="str">
        <f>"13611 4-22-21"</f>
        <v>13611 4-22-21</v>
      </c>
      <c r="F242" t="str">
        <f t="shared" si="8"/>
        <v>SERVICE</v>
      </c>
      <c r="G242" s="4">
        <v>18</v>
      </c>
      <c r="H242" t="str">
        <f t="shared" si="9"/>
        <v>SERVICE</v>
      </c>
    </row>
    <row r="243" spans="1:8" x14ac:dyDescent="0.25">
      <c r="E243" t="str">
        <f>"13645"</f>
        <v>13645</v>
      </c>
      <c r="F243" t="str">
        <f t="shared" si="8"/>
        <v>SERVICE</v>
      </c>
      <c r="G243" s="4">
        <v>75</v>
      </c>
      <c r="H243" t="str">
        <f t="shared" si="9"/>
        <v>SERVICE</v>
      </c>
    </row>
    <row r="244" spans="1:8" x14ac:dyDescent="0.25">
      <c r="E244" t="str">
        <f>"13646"</f>
        <v>13646</v>
      </c>
      <c r="F244" t="str">
        <f t="shared" si="8"/>
        <v>SERVICE</v>
      </c>
      <c r="G244" s="4">
        <v>141</v>
      </c>
      <c r="H244" t="str">
        <f t="shared" si="9"/>
        <v>SERVICE</v>
      </c>
    </row>
    <row r="245" spans="1:8" x14ac:dyDescent="0.25">
      <c r="E245" t="str">
        <f>"13659"</f>
        <v>13659</v>
      </c>
      <c r="F245" t="str">
        <f t="shared" si="8"/>
        <v>SERVICE</v>
      </c>
      <c r="G245" s="4">
        <v>150</v>
      </c>
      <c r="H245" t="str">
        <f t="shared" si="9"/>
        <v>SERVICE</v>
      </c>
    </row>
    <row r="246" spans="1:8" x14ac:dyDescent="0.25">
      <c r="E246" t="str">
        <f>"13670"</f>
        <v>13670</v>
      </c>
      <c r="F246" t="str">
        <f t="shared" si="8"/>
        <v>SERVICE</v>
      </c>
      <c r="G246" s="4">
        <v>150</v>
      </c>
      <c r="H246" t="str">
        <f t="shared" si="9"/>
        <v>SERVICE</v>
      </c>
    </row>
    <row r="247" spans="1:8" x14ac:dyDescent="0.25">
      <c r="E247" t="str">
        <f>"13674"</f>
        <v>13674</v>
      </c>
      <c r="F247" t="str">
        <f t="shared" si="8"/>
        <v>SERVICE</v>
      </c>
      <c r="G247" s="4">
        <v>75</v>
      </c>
      <c r="H247" t="str">
        <f t="shared" si="9"/>
        <v>SERVICE</v>
      </c>
    </row>
    <row r="248" spans="1:8" x14ac:dyDescent="0.25">
      <c r="E248" t="str">
        <f>"13697"</f>
        <v>13697</v>
      </c>
      <c r="F248" t="str">
        <f t="shared" si="8"/>
        <v>SERVICE</v>
      </c>
      <c r="G248" s="4">
        <v>75</v>
      </c>
      <c r="H248" t="str">
        <f t="shared" si="9"/>
        <v>SERVICE</v>
      </c>
    </row>
    <row r="249" spans="1:8" x14ac:dyDescent="0.25">
      <c r="A249" t="s">
        <v>45</v>
      </c>
      <c r="B249">
        <v>135996</v>
      </c>
      <c r="C249" s="4">
        <v>5350</v>
      </c>
      <c r="D249" s="1">
        <v>44375</v>
      </c>
      <c r="E249" t="str">
        <f>"13022"</f>
        <v>13022</v>
      </c>
      <c r="F249" t="str">
        <f t="shared" si="8"/>
        <v>SERVICE</v>
      </c>
      <c r="G249" s="4">
        <v>325</v>
      </c>
      <c r="H249" t="str">
        <f t="shared" si="9"/>
        <v>SERVICE</v>
      </c>
    </row>
    <row r="250" spans="1:8" x14ac:dyDescent="0.25">
      <c r="E250" t="str">
        <f>"13101"</f>
        <v>13101</v>
      </c>
      <c r="F250" t="str">
        <f>"SERVICE  04/05/2021"</f>
        <v>SERVICE  04/05/2021</v>
      </c>
      <c r="G250" s="4">
        <v>400</v>
      </c>
      <c r="H250" t="str">
        <f>"SERVICE  04/05/2021"</f>
        <v>SERVICE  04/05/2021</v>
      </c>
    </row>
    <row r="251" spans="1:8" x14ac:dyDescent="0.25">
      <c r="E251" t="str">
        <f>"13133"</f>
        <v>13133</v>
      </c>
      <c r="F251" t="str">
        <f>"SERVICE"</f>
        <v>SERVICE</v>
      </c>
      <c r="G251" s="4">
        <v>325</v>
      </c>
      <c r="H251" t="str">
        <f>"SERVICE"</f>
        <v>SERVICE</v>
      </c>
    </row>
    <row r="252" spans="1:8" x14ac:dyDescent="0.25">
      <c r="E252" t="str">
        <f>"13159"</f>
        <v>13159</v>
      </c>
      <c r="F252" t="str">
        <f>"SERVICE 04/05/2021"</f>
        <v>SERVICE 04/05/2021</v>
      </c>
      <c r="G252" s="4">
        <v>475</v>
      </c>
      <c r="H252" t="str">
        <f>"SERVICE 04/05/2021"</f>
        <v>SERVICE 04/05/2021</v>
      </c>
    </row>
    <row r="253" spans="1:8" x14ac:dyDescent="0.25">
      <c r="E253" t="str">
        <f>"13187"</f>
        <v>13187</v>
      </c>
      <c r="F253" t="str">
        <f>"SERVICE"</f>
        <v>SERVICE</v>
      </c>
      <c r="G253" s="4">
        <v>400</v>
      </c>
      <c r="H253" t="str">
        <f t="shared" ref="H253:H264" si="10">"SERVICE"</f>
        <v>SERVICE</v>
      </c>
    </row>
    <row r="254" spans="1:8" x14ac:dyDescent="0.25">
      <c r="E254" t="str">
        <f>"13189"</f>
        <v>13189</v>
      </c>
      <c r="F254" t="str">
        <f>"SERVICE"</f>
        <v>SERVICE</v>
      </c>
      <c r="G254" s="4">
        <v>325</v>
      </c>
      <c r="H254" t="str">
        <f t="shared" si="10"/>
        <v>SERVICE</v>
      </c>
    </row>
    <row r="255" spans="1:8" x14ac:dyDescent="0.25">
      <c r="E255" t="str">
        <f>"13221"</f>
        <v>13221</v>
      </c>
      <c r="F255" t="str">
        <f>"SERVICE"</f>
        <v>SERVICE</v>
      </c>
      <c r="G255" s="4">
        <v>325</v>
      </c>
      <c r="H255" t="str">
        <f t="shared" si="10"/>
        <v>SERVICE</v>
      </c>
    </row>
    <row r="256" spans="1:8" x14ac:dyDescent="0.25">
      <c r="E256" t="str">
        <f>"13236"</f>
        <v>13236</v>
      </c>
      <c r="F256" t="str">
        <f>"SERVICE"</f>
        <v>SERVICE</v>
      </c>
      <c r="G256" s="4">
        <v>325</v>
      </c>
      <c r="H256" t="str">
        <f t="shared" si="10"/>
        <v>SERVICE</v>
      </c>
    </row>
    <row r="257" spans="1:8" x14ac:dyDescent="0.25">
      <c r="E257" t="str">
        <f>"13237"</f>
        <v>13237</v>
      </c>
      <c r="F257" t="str">
        <f>"SERVICE"</f>
        <v>SERVICE</v>
      </c>
      <c r="G257" s="4">
        <v>325</v>
      </c>
      <c r="H257" t="str">
        <f t="shared" si="10"/>
        <v>SERVICE</v>
      </c>
    </row>
    <row r="258" spans="1:8" x14ac:dyDescent="0.25">
      <c r="E258" t="str">
        <f>"13254"</f>
        <v>13254</v>
      </c>
      <c r="F258" t="str">
        <f>"SERVICE 04/05/2021"</f>
        <v>SERVICE 04/05/2021</v>
      </c>
      <c r="G258" s="4">
        <v>250</v>
      </c>
      <c r="H258" t="str">
        <f t="shared" si="10"/>
        <v>SERVICE</v>
      </c>
    </row>
    <row r="259" spans="1:8" x14ac:dyDescent="0.25">
      <c r="E259" t="str">
        <f>"13297"</f>
        <v>13297</v>
      </c>
      <c r="F259" t="str">
        <f t="shared" ref="F259:F264" si="11">"SERVICE"</f>
        <v>SERVICE</v>
      </c>
      <c r="G259" s="4">
        <v>325</v>
      </c>
      <c r="H259" t="str">
        <f t="shared" si="10"/>
        <v>SERVICE</v>
      </c>
    </row>
    <row r="260" spans="1:8" x14ac:dyDescent="0.25">
      <c r="E260" t="str">
        <f>"13315"</f>
        <v>13315</v>
      </c>
      <c r="F260" t="str">
        <f t="shared" si="11"/>
        <v>SERVICE</v>
      </c>
      <c r="G260" s="4">
        <v>325</v>
      </c>
      <c r="H260" t="str">
        <f t="shared" si="10"/>
        <v>SERVICE</v>
      </c>
    </row>
    <row r="261" spans="1:8" x14ac:dyDescent="0.25">
      <c r="E261" t="str">
        <f>"13345"</f>
        <v>13345</v>
      </c>
      <c r="F261" t="str">
        <f t="shared" si="11"/>
        <v>SERVICE</v>
      </c>
      <c r="G261" s="4">
        <v>325</v>
      </c>
      <c r="H261" t="str">
        <f t="shared" si="10"/>
        <v>SERVICE</v>
      </c>
    </row>
    <row r="262" spans="1:8" x14ac:dyDescent="0.25">
      <c r="E262" t="str">
        <f>"202106164049"</f>
        <v>202106164049</v>
      </c>
      <c r="F262" t="str">
        <f t="shared" si="11"/>
        <v>SERVICE</v>
      </c>
      <c r="G262" s="4">
        <v>250</v>
      </c>
      <c r="H262" t="str">
        <f t="shared" si="10"/>
        <v>SERVICE</v>
      </c>
    </row>
    <row r="263" spans="1:8" x14ac:dyDescent="0.25">
      <c r="E263" t="str">
        <f>"202106164050"</f>
        <v>202106164050</v>
      </c>
      <c r="F263" t="str">
        <f t="shared" si="11"/>
        <v>SERVICE</v>
      </c>
      <c r="G263" s="4">
        <v>325</v>
      </c>
      <c r="H263" t="str">
        <f t="shared" si="10"/>
        <v>SERVICE</v>
      </c>
    </row>
    <row r="264" spans="1:8" x14ac:dyDescent="0.25">
      <c r="E264" t="str">
        <f>"202106164051"</f>
        <v>202106164051</v>
      </c>
      <c r="F264" t="str">
        <f t="shared" si="11"/>
        <v>SERVICE</v>
      </c>
      <c r="G264" s="4">
        <v>325</v>
      </c>
      <c r="H264" t="str">
        <f t="shared" si="10"/>
        <v>SERVICE</v>
      </c>
    </row>
    <row r="265" spans="1:8" x14ac:dyDescent="0.25">
      <c r="A265" t="s">
        <v>46</v>
      </c>
      <c r="B265">
        <v>4671</v>
      </c>
      <c r="C265" s="4">
        <v>72</v>
      </c>
      <c r="D265" s="1">
        <v>44376</v>
      </c>
      <c r="E265" t="str">
        <f>"16910"</f>
        <v>16910</v>
      </c>
      <c r="F265" t="str">
        <f>"ACCT#BC01"</f>
        <v>ACCT#BC01</v>
      </c>
      <c r="G265" s="4">
        <v>72</v>
      </c>
      <c r="H265" t="str">
        <f>"ACCT#BC01"</f>
        <v>ACCT#BC01</v>
      </c>
    </row>
    <row r="266" spans="1:8" x14ac:dyDescent="0.25">
      <c r="A266" t="s">
        <v>47</v>
      </c>
      <c r="B266">
        <v>4608</v>
      </c>
      <c r="C266" s="4">
        <v>112.64</v>
      </c>
      <c r="D266" s="1">
        <v>44362</v>
      </c>
      <c r="E266" t="str">
        <f>"202105273451"</f>
        <v>202105273451</v>
      </c>
      <c r="F266" t="str">
        <f>"ACCT#178467/DEPOSIT SLIPS"</f>
        <v>ACCT#178467/DEPOSIT SLIPS</v>
      </c>
      <c r="G266" s="4">
        <v>112.64</v>
      </c>
      <c r="H266" t="str">
        <f>"ACCT#178467/DEPOSIT SLIPS"</f>
        <v>ACCT#178467/DEPOSIT SLIPS</v>
      </c>
    </row>
    <row r="267" spans="1:8" x14ac:dyDescent="0.25">
      <c r="A267" t="s">
        <v>48</v>
      </c>
      <c r="B267">
        <v>4663</v>
      </c>
      <c r="C267" s="4">
        <v>113670.06</v>
      </c>
      <c r="D267" s="1">
        <v>44376</v>
      </c>
      <c r="E267" t="str">
        <f>"202106164000"</f>
        <v>202106164000</v>
      </c>
      <c r="F267" t="str">
        <f>"APRIL /HOME VISIT GRANT"</f>
        <v>APRIL /HOME VISIT GRANT</v>
      </c>
      <c r="G267" s="4">
        <v>4980.01</v>
      </c>
      <c r="H267" t="str">
        <f>"APRIL /HOME VISIT GRANT"</f>
        <v>APRIL /HOME VISIT GRANT</v>
      </c>
    </row>
    <row r="268" spans="1:8" x14ac:dyDescent="0.25">
      <c r="E268" t="str">
        <f>"202106174071"</f>
        <v>202106174071</v>
      </c>
      <c r="F268" t="str">
        <f>"HOGG FOUNDATION"</f>
        <v>HOGG FOUNDATION</v>
      </c>
      <c r="G268" s="4">
        <v>10796.05</v>
      </c>
      <c r="H268" t="str">
        <f>"HOGG FOUNDATION"</f>
        <v>HOGG FOUNDATION</v>
      </c>
    </row>
    <row r="269" spans="1:8" x14ac:dyDescent="0.25">
      <c r="E269" t="str">
        <f>"202106174074"</f>
        <v>202106174074</v>
      </c>
      <c r="F269" t="str">
        <f>"ST.DAVIDS FOUNDATION GRANT"</f>
        <v>ST.DAVIDS FOUNDATION GRANT</v>
      </c>
      <c r="G269" s="4">
        <v>97894</v>
      </c>
      <c r="H269" t="str">
        <f>"ST.DAVIDS FOUNDATION GRANT"</f>
        <v>ST.DAVIDS FOUNDATION GRANT</v>
      </c>
    </row>
    <row r="270" spans="1:8" x14ac:dyDescent="0.25">
      <c r="A270" t="s">
        <v>47</v>
      </c>
      <c r="B270">
        <v>4684</v>
      </c>
      <c r="C270" s="4">
        <v>490</v>
      </c>
      <c r="D270" s="1">
        <v>44376</v>
      </c>
      <c r="E270" t="str">
        <f>"202106214098"</f>
        <v>202106214098</v>
      </c>
      <c r="F270" t="str">
        <f>"VEHICLE REGISTRATIONS 6/18/21"</f>
        <v>VEHICLE REGISTRATIONS 6/18/21</v>
      </c>
      <c r="G270" s="4">
        <v>490</v>
      </c>
      <c r="H270" t="str">
        <f t="shared" ref="H270:H276" si="12">"VEHICLE REGISTRATIONS 6/18/21"</f>
        <v>VEHICLE REGISTRATIONS 6/18/21</v>
      </c>
    </row>
    <row r="271" spans="1:8" x14ac:dyDescent="0.25">
      <c r="E271" t="str">
        <f>""</f>
        <v/>
      </c>
      <c r="F271" t="str">
        <f>""</f>
        <v/>
      </c>
      <c r="H271" t="str">
        <f t="shared" si="12"/>
        <v>VEHICLE REGISTRATIONS 6/18/21</v>
      </c>
    </row>
    <row r="272" spans="1:8" x14ac:dyDescent="0.25">
      <c r="E272" t="str">
        <f>""</f>
        <v/>
      </c>
      <c r="F272" t="str">
        <f>""</f>
        <v/>
      </c>
      <c r="H272" t="str">
        <f t="shared" si="12"/>
        <v>VEHICLE REGISTRATIONS 6/18/21</v>
      </c>
    </row>
    <row r="273" spans="1:8" x14ac:dyDescent="0.25">
      <c r="E273" t="str">
        <f>""</f>
        <v/>
      </c>
      <c r="F273" t="str">
        <f>""</f>
        <v/>
      </c>
      <c r="H273" t="str">
        <f t="shared" si="12"/>
        <v>VEHICLE REGISTRATIONS 6/18/21</v>
      </c>
    </row>
    <row r="274" spans="1:8" x14ac:dyDescent="0.25">
      <c r="E274" t="str">
        <f>""</f>
        <v/>
      </c>
      <c r="F274" t="str">
        <f>""</f>
        <v/>
      </c>
      <c r="H274" t="str">
        <f t="shared" si="12"/>
        <v>VEHICLE REGISTRATIONS 6/18/21</v>
      </c>
    </row>
    <row r="275" spans="1:8" x14ac:dyDescent="0.25">
      <c r="E275" t="str">
        <f>""</f>
        <v/>
      </c>
      <c r="F275" t="str">
        <f>""</f>
        <v/>
      </c>
      <c r="H275" t="str">
        <f t="shared" si="12"/>
        <v>VEHICLE REGISTRATIONS 6/18/21</v>
      </c>
    </row>
    <row r="276" spans="1:8" x14ac:dyDescent="0.25">
      <c r="E276" t="str">
        <f>""</f>
        <v/>
      </c>
      <c r="F276" t="str">
        <f>""</f>
        <v/>
      </c>
      <c r="H276" t="str">
        <f t="shared" si="12"/>
        <v>VEHICLE REGISTRATIONS 6/18/21</v>
      </c>
    </row>
    <row r="277" spans="1:8" x14ac:dyDescent="0.25">
      <c r="A277" t="s">
        <v>49</v>
      </c>
      <c r="B277">
        <v>135824</v>
      </c>
      <c r="C277" s="4">
        <v>82017</v>
      </c>
      <c r="D277" s="1">
        <v>44361</v>
      </c>
      <c r="E277" t="str">
        <f>"202105263439"</f>
        <v>202105263439</v>
      </c>
      <c r="F277" t="str">
        <f>"2ND QTR FY'21"</f>
        <v>2ND QTR FY'21</v>
      </c>
      <c r="G277" s="4">
        <v>82017</v>
      </c>
      <c r="H277" t="str">
        <f>"2ND QTR FY'21"</f>
        <v>2ND QTR FY'21</v>
      </c>
    </row>
    <row r="278" spans="1:8" x14ac:dyDescent="0.25">
      <c r="A278" t="s">
        <v>49</v>
      </c>
      <c r="B278">
        <v>135997</v>
      </c>
      <c r="C278" s="4">
        <v>82017</v>
      </c>
      <c r="D278" s="1">
        <v>44375</v>
      </c>
      <c r="E278" t="str">
        <f>"202106224126"</f>
        <v>202106224126</v>
      </c>
      <c r="F278" t="str">
        <f>"REVENUE BASTROP"</f>
        <v>REVENUE BASTROP</v>
      </c>
      <c r="G278" s="4">
        <v>82017</v>
      </c>
      <c r="H278" t="str">
        <f>"REVENUE BASTROP"</f>
        <v>REVENUE BASTROP</v>
      </c>
    </row>
    <row r="279" spans="1:8" x14ac:dyDescent="0.25">
      <c r="A279" t="s">
        <v>47</v>
      </c>
      <c r="B279">
        <v>135998</v>
      </c>
      <c r="C279" s="4">
        <v>2751.4</v>
      </c>
      <c r="D279" s="1">
        <v>44375</v>
      </c>
      <c r="E279" t="str">
        <f>"202106214102"</f>
        <v>202106214102</v>
      </c>
      <c r="F279" t="str">
        <f>"ACCT#178459/CONFERENCE REIMBUR"</f>
        <v>ACCT#178459/CONFERENCE REIMBUR</v>
      </c>
      <c r="G279" s="4">
        <v>2751.4</v>
      </c>
      <c r="H279" t="str">
        <f>"CONFERENCE/SIMINAR REIMBURSE"</f>
        <v>CONFERENCE/SIMINAR REIMBURSE</v>
      </c>
    </row>
    <row r="280" spans="1:8" x14ac:dyDescent="0.25">
      <c r="A280" t="s">
        <v>50</v>
      </c>
      <c r="B280">
        <v>4556</v>
      </c>
      <c r="C280" s="4">
        <v>4525</v>
      </c>
      <c r="D280" s="1">
        <v>44362</v>
      </c>
      <c r="E280" t="str">
        <f>"2021035"</f>
        <v>2021035</v>
      </c>
      <c r="F280" t="str">
        <f>"TRANSPORT - OSCAR LOPEZ SANCHZ"</f>
        <v>TRANSPORT - OSCAR LOPEZ SANCHZ</v>
      </c>
      <c r="G280" s="4">
        <v>695</v>
      </c>
      <c r="H280" t="str">
        <f>"TRANSPORT - OSCAR LOPEZ SANCHZ"</f>
        <v>TRANSPORT - OSCAR LOPEZ SANCHZ</v>
      </c>
    </row>
    <row r="281" spans="1:8" x14ac:dyDescent="0.25">
      <c r="E281" t="str">
        <f>"2021037"</f>
        <v>2021037</v>
      </c>
      <c r="F281" t="str">
        <f>"TRANSPORT - E.G. HERNANDEZ"</f>
        <v>TRANSPORT - E.G. HERNANDEZ</v>
      </c>
      <c r="G281" s="4">
        <v>390</v>
      </c>
      <c r="H281" t="str">
        <f>"TRANSPORT - E.G. HERNANDEZ"</f>
        <v>TRANSPORT - E.G. HERNANDEZ</v>
      </c>
    </row>
    <row r="282" spans="1:8" x14ac:dyDescent="0.25">
      <c r="E282" t="str">
        <f>"2021042"</f>
        <v>2021042</v>
      </c>
      <c r="F282" t="str">
        <f>"TRANSPORT - ARMANDO PEREZ"</f>
        <v>TRANSPORT - ARMANDO PEREZ</v>
      </c>
      <c r="G282" s="4">
        <v>640</v>
      </c>
      <c r="H282" t="str">
        <f>"TRANSPORT - ARMANDO PEREZ"</f>
        <v>TRANSPORT - ARMANDO PEREZ</v>
      </c>
    </row>
    <row r="283" spans="1:8" x14ac:dyDescent="0.25">
      <c r="E283" t="str">
        <f>"2021087"</f>
        <v>2021087</v>
      </c>
      <c r="F283" t="str">
        <f>"TRANSPORT/DUANE DAVENPORT"</f>
        <v>TRANSPORT/DUANE DAVENPORT</v>
      </c>
      <c r="G283" s="4">
        <v>390</v>
      </c>
      <c r="H283" t="str">
        <f>"TRANSPORT/DUANE DAVENPORT"</f>
        <v>TRANSPORT/DUANE DAVENPORT</v>
      </c>
    </row>
    <row r="284" spans="1:8" x14ac:dyDescent="0.25">
      <c r="E284" t="str">
        <f>"2021092"</f>
        <v>2021092</v>
      </c>
      <c r="F284" t="str">
        <f>"TRANSPORT/ERNEST LEE"</f>
        <v>TRANSPORT/ERNEST LEE</v>
      </c>
      <c r="G284" s="4">
        <v>95</v>
      </c>
      <c r="H284" t="str">
        <f>"TRANSPORT/ERNEST LEE"</f>
        <v>TRANSPORT/ERNEST LEE</v>
      </c>
    </row>
    <row r="285" spans="1:8" x14ac:dyDescent="0.25">
      <c r="E285" t="str">
        <f>"2021101"</f>
        <v>2021101</v>
      </c>
      <c r="F285" t="str">
        <f>"TRANSPORT - LESLIE ANN TERWEY"</f>
        <v>TRANSPORT - LESLIE ANN TERWEY</v>
      </c>
      <c r="G285" s="4">
        <v>695</v>
      </c>
      <c r="H285" t="str">
        <f>"TRANSPORT - LESLIE ANN TERWEY"</f>
        <v>TRANSPORT - LESLIE ANN TERWEY</v>
      </c>
    </row>
    <row r="286" spans="1:8" x14ac:dyDescent="0.25">
      <c r="E286" t="str">
        <f>"2021103"</f>
        <v>2021103</v>
      </c>
      <c r="F286" t="str">
        <f>"TRANSPORT-CONRAD HEIDE"</f>
        <v>TRANSPORT-CONRAD HEIDE</v>
      </c>
      <c r="G286" s="4">
        <v>640</v>
      </c>
      <c r="H286" t="str">
        <f>"TRANSPORT-CONRAD HEIDE"</f>
        <v>TRANSPORT-CONRAD HEIDE</v>
      </c>
    </row>
    <row r="287" spans="1:8" x14ac:dyDescent="0.25">
      <c r="E287" t="str">
        <f>"2021105"</f>
        <v>2021105</v>
      </c>
      <c r="F287" t="str">
        <f>"TRANSPORT - ERNEST SIMON"</f>
        <v>TRANSPORT - ERNEST SIMON</v>
      </c>
      <c r="G287" s="4">
        <v>295</v>
      </c>
      <c r="H287" t="str">
        <f>"TRANSPORT - ERNEST SIMON"</f>
        <v>TRANSPORT - ERNEST SIMON</v>
      </c>
    </row>
    <row r="288" spans="1:8" x14ac:dyDescent="0.25">
      <c r="E288" t="str">
        <f>"2021109"</f>
        <v>2021109</v>
      </c>
      <c r="F288" t="str">
        <f>"TRANSPORT/FLORENCE HARKEY"</f>
        <v>TRANSPORT/FLORENCE HARKEY</v>
      </c>
      <c r="G288" s="4">
        <v>390</v>
      </c>
      <c r="H288" t="str">
        <f>"TRANSPORT/FLORENCE HARKEY"</f>
        <v>TRANSPORT/FLORENCE HARKEY</v>
      </c>
    </row>
    <row r="289" spans="1:8" x14ac:dyDescent="0.25">
      <c r="E289" t="str">
        <f>"2021114"</f>
        <v>2021114</v>
      </c>
      <c r="F289" t="str">
        <f>"TRANSPORT/JUDY MURPHY"</f>
        <v>TRANSPORT/JUDY MURPHY</v>
      </c>
      <c r="G289" s="4">
        <v>295</v>
      </c>
      <c r="H289" t="str">
        <f>"TRANSPORT/JUDY MURPHY"</f>
        <v>TRANSPORT/JUDY MURPHY</v>
      </c>
    </row>
    <row r="290" spans="1:8" x14ac:dyDescent="0.25">
      <c r="A290" t="s">
        <v>51</v>
      </c>
      <c r="B290">
        <v>135825</v>
      </c>
      <c r="C290" s="4">
        <v>2243.6799999999998</v>
      </c>
      <c r="D290" s="1">
        <v>44361</v>
      </c>
      <c r="E290" t="str">
        <f>"75955879"</f>
        <v>75955879</v>
      </c>
      <c r="F290" t="str">
        <f>"INV 75955879  75955879  7"</f>
        <v>INV 75955879  75955879  7</v>
      </c>
      <c r="G290" s="4">
        <v>2243.6799999999998</v>
      </c>
      <c r="H290" t="str">
        <f>"INV 75955879"</f>
        <v>INV 75955879</v>
      </c>
    </row>
    <row r="291" spans="1:8" x14ac:dyDescent="0.25">
      <c r="E291" t="str">
        <f>""</f>
        <v/>
      </c>
      <c r="F291" t="str">
        <f>""</f>
        <v/>
      </c>
      <c r="H291" t="str">
        <f>"INV 75963626"</f>
        <v>INV 75963626</v>
      </c>
    </row>
    <row r="292" spans="1:8" x14ac:dyDescent="0.25">
      <c r="E292" t="str">
        <f>""</f>
        <v/>
      </c>
      <c r="F292" t="str">
        <f>""</f>
        <v/>
      </c>
      <c r="H292" t="str">
        <f>"INV 75972891"</f>
        <v>INV 75972891</v>
      </c>
    </row>
    <row r="293" spans="1:8" x14ac:dyDescent="0.25">
      <c r="A293" t="s">
        <v>51</v>
      </c>
      <c r="B293">
        <v>135999</v>
      </c>
      <c r="C293" s="4">
        <v>1359.69</v>
      </c>
      <c r="D293" s="1">
        <v>44375</v>
      </c>
      <c r="E293" t="str">
        <f>"75982437"</f>
        <v>75982437</v>
      </c>
      <c r="F293" t="str">
        <f>"INV 75982437  75992312"</f>
        <v>INV 75982437  75992312</v>
      </c>
      <c r="G293" s="4">
        <v>1359.69</v>
      </c>
      <c r="H293" t="str">
        <f>"INV 75982437"</f>
        <v>INV 75982437</v>
      </c>
    </row>
    <row r="294" spans="1:8" x14ac:dyDescent="0.25">
      <c r="E294" t="str">
        <f>""</f>
        <v/>
      </c>
      <c r="F294" t="str">
        <f>""</f>
        <v/>
      </c>
      <c r="H294" t="str">
        <f>"INV 75992312"</f>
        <v>INV 75992312</v>
      </c>
    </row>
    <row r="295" spans="1:8" x14ac:dyDescent="0.25">
      <c r="A295" t="s">
        <v>52</v>
      </c>
      <c r="B295">
        <v>136000</v>
      </c>
      <c r="C295" s="4">
        <v>252</v>
      </c>
      <c r="D295" s="1">
        <v>44375</v>
      </c>
      <c r="E295" t="str">
        <f>"202106214103"</f>
        <v>202106214103</v>
      </c>
      <c r="F295" t="str">
        <f>"CAOUSE NO.#1CO-4203-19 HALLMAN"</f>
        <v>CAOUSE NO.#1CO-4203-19 HALLMAN</v>
      </c>
      <c r="G295" s="4">
        <v>252</v>
      </c>
      <c r="H295" t="str">
        <f>"CAOUSE NO.#1CO-4203-19 HALLMAN"</f>
        <v>CAOUSE NO.#1CO-4203-19 HALLMAN</v>
      </c>
    </row>
    <row r="296" spans="1:8" x14ac:dyDescent="0.25">
      <c r="A296" t="s">
        <v>53</v>
      </c>
      <c r="B296">
        <v>1104</v>
      </c>
      <c r="C296" s="4">
        <v>0</v>
      </c>
      <c r="D296" s="1">
        <v>44362</v>
      </c>
      <c r="E296" t="str">
        <f>"202106153947"</f>
        <v>202106153947</v>
      </c>
      <c r="F296" t="str">
        <f>"ACCT# 72-56313 / 06032021"</f>
        <v>ACCT# 72-56313 / 06032021</v>
      </c>
      <c r="G296" s="4">
        <v>-160.97999999999999</v>
      </c>
      <c r="H296" t="str">
        <f>"ACCT# 72-56313 / 06032021"</f>
        <v>ACCT# 72-56313 / 06032021</v>
      </c>
    </row>
    <row r="297" spans="1:8" x14ac:dyDescent="0.25">
      <c r="E297" t="str">
        <f>"202106143921"</f>
        <v>202106143921</v>
      </c>
      <c r="F297" t="str">
        <f>"ACCT #72-56313 / 06/03/2021"</f>
        <v>ACCT #72-56313 / 06/03/2021</v>
      </c>
      <c r="G297" s="4">
        <v>160.97999999999999</v>
      </c>
      <c r="H297" t="str">
        <f>"ACCT #72-56313 / 06/03/2021"</f>
        <v>ACCT #72-56313 / 06/03/2021</v>
      </c>
    </row>
    <row r="298" spans="1:8" x14ac:dyDescent="0.25">
      <c r="A298" t="s">
        <v>54</v>
      </c>
      <c r="B298">
        <v>4609</v>
      </c>
      <c r="C298" s="4">
        <v>3161.42</v>
      </c>
      <c r="D298" s="1">
        <v>44362</v>
      </c>
      <c r="E298" t="str">
        <f>"25213"</f>
        <v>25213</v>
      </c>
      <c r="F298" t="str">
        <f>"INV 25213"</f>
        <v>INV 25213</v>
      </c>
      <c r="G298" s="4">
        <v>3161.42</v>
      </c>
      <c r="H298" t="str">
        <f>"INV 25213"</f>
        <v>INV 25213</v>
      </c>
    </row>
    <row r="299" spans="1:8" x14ac:dyDescent="0.25">
      <c r="A299" t="s">
        <v>55</v>
      </c>
      <c r="B299">
        <v>4686</v>
      </c>
      <c r="C299" s="4">
        <v>500</v>
      </c>
      <c r="D299" s="1">
        <v>44376</v>
      </c>
      <c r="E299" t="str">
        <f>"202106174068"</f>
        <v>202106174068</v>
      </c>
      <c r="F299" t="str">
        <f>"CAUSE NO. 19-19967"</f>
        <v>CAUSE NO. 19-19967</v>
      </c>
      <c r="G299" s="4">
        <v>500</v>
      </c>
      <c r="H299" t="str">
        <f>"CAUSE NO. 19-19967"</f>
        <v>CAUSE NO. 19-19967</v>
      </c>
    </row>
    <row r="300" spans="1:8" x14ac:dyDescent="0.25">
      <c r="A300" t="s">
        <v>56</v>
      </c>
      <c r="B300">
        <v>135826</v>
      </c>
      <c r="C300" s="4">
        <v>5654.97</v>
      </c>
      <c r="D300" s="1">
        <v>44361</v>
      </c>
      <c r="E300" t="str">
        <f>"51263544"</f>
        <v>51263544</v>
      </c>
      <c r="F300" t="str">
        <f>"CUST#C27762/PCT#2"</f>
        <v>CUST#C27762/PCT#2</v>
      </c>
      <c r="G300" s="4">
        <v>1797.21</v>
      </c>
      <c r="H300" t="str">
        <f>"CUST#C27762/PCT#2"</f>
        <v>CUST#C27762/PCT#2</v>
      </c>
    </row>
    <row r="301" spans="1:8" x14ac:dyDescent="0.25">
      <c r="E301" t="str">
        <f>"S1264197"</f>
        <v>S1264197</v>
      </c>
      <c r="F301" t="str">
        <f>"C27745/PCT#1"</f>
        <v>C27745/PCT#1</v>
      </c>
      <c r="G301" s="4">
        <v>3857.76</v>
      </c>
      <c r="H301" t="str">
        <f>"C27745/PCT#1"</f>
        <v>C27745/PCT#1</v>
      </c>
    </row>
    <row r="302" spans="1:8" x14ac:dyDescent="0.25">
      <c r="A302" t="s">
        <v>56</v>
      </c>
      <c r="B302">
        <v>136001</v>
      </c>
      <c r="C302" s="4">
        <v>16313.4</v>
      </c>
      <c r="D302" s="1">
        <v>44375</v>
      </c>
      <c r="E302" t="str">
        <f>"S1266631"</f>
        <v>S1266631</v>
      </c>
      <c r="F302" t="str">
        <f>"ACCT#C27745/PCT#1"</f>
        <v>ACCT#C27745/PCT#1</v>
      </c>
      <c r="G302" s="4">
        <v>935.73</v>
      </c>
      <c r="H302" t="str">
        <f>"ACCT#C27745/PCT#1"</f>
        <v>ACCT#C27745/PCT#1</v>
      </c>
    </row>
    <row r="303" spans="1:8" x14ac:dyDescent="0.25">
      <c r="E303" t="str">
        <f>"S1267605"</f>
        <v>S1267605</v>
      </c>
      <c r="F303" t="str">
        <f>"ACCT#C27986/PCT#4"</f>
        <v>ACCT#C27986/PCT#4</v>
      </c>
      <c r="G303" s="4">
        <v>15236.82</v>
      </c>
      <c r="H303" t="str">
        <f>"ACCT#C27986/PCT#4"</f>
        <v>ACCT#C27986/PCT#4</v>
      </c>
    </row>
    <row r="304" spans="1:8" x14ac:dyDescent="0.25">
      <c r="E304" t="str">
        <f>"S126782"</f>
        <v>S126782</v>
      </c>
      <c r="F304" t="str">
        <f>"ACCT#C27745/PCT#1"</f>
        <v>ACCT#C27745/PCT#1</v>
      </c>
      <c r="G304" s="4">
        <v>140.85</v>
      </c>
      <c r="H304" t="str">
        <f>"ACCT#C27745/PCT#1"</f>
        <v>ACCT#C27745/PCT#1</v>
      </c>
    </row>
    <row r="305" spans="1:8" x14ac:dyDescent="0.25">
      <c r="A305" t="s">
        <v>57</v>
      </c>
      <c r="B305">
        <v>4578</v>
      </c>
      <c r="C305" s="4">
        <v>1467.49</v>
      </c>
      <c r="D305" s="1">
        <v>44362</v>
      </c>
      <c r="E305" t="str">
        <f>"6026"</f>
        <v>6026</v>
      </c>
      <c r="F305" t="str">
        <f>"CAT LABOR/PCT#1"</f>
        <v>CAT LABOR/PCT#1</v>
      </c>
      <c r="G305" s="4">
        <v>1467.49</v>
      </c>
      <c r="H305" t="str">
        <f>"CAT LABOR/PCT#1"</f>
        <v>CAT LABOR/PCT#1</v>
      </c>
    </row>
    <row r="306" spans="1:8" x14ac:dyDescent="0.25">
      <c r="A306" t="s">
        <v>58</v>
      </c>
      <c r="B306">
        <v>4551</v>
      </c>
      <c r="C306" s="4">
        <v>382.78</v>
      </c>
      <c r="D306" s="1">
        <v>44362</v>
      </c>
      <c r="E306" t="str">
        <f>"202106043680"</f>
        <v>202106043680</v>
      </c>
      <c r="F306" t="str">
        <f>"17-349/17-383/16-104"</f>
        <v>17-349/17-383/16-104</v>
      </c>
      <c r="G306" s="4">
        <v>382.78</v>
      </c>
      <c r="H306" t="str">
        <f>"17-349/17-383/16-104"</f>
        <v>17-349/17-383/16-104</v>
      </c>
    </row>
    <row r="307" spans="1:8" x14ac:dyDescent="0.25">
      <c r="A307" t="s">
        <v>59</v>
      </c>
      <c r="B307">
        <v>135827</v>
      </c>
      <c r="C307" s="4">
        <v>754.12</v>
      </c>
      <c r="D307" s="1">
        <v>44361</v>
      </c>
      <c r="E307" t="str">
        <f>"84078908829"</f>
        <v>84078908829</v>
      </c>
      <c r="F307" t="str">
        <f>"INV 84078908829  84078908"</f>
        <v>INV 84078908829  84078908</v>
      </c>
      <c r="G307" s="4">
        <v>754.12</v>
      </c>
      <c r="H307" t="str">
        <f>"INV 84078908829"</f>
        <v>INV 84078908829</v>
      </c>
    </row>
    <row r="308" spans="1:8" x14ac:dyDescent="0.25">
      <c r="E308" t="str">
        <f>""</f>
        <v/>
      </c>
      <c r="F308" t="str">
        <f>""</f>
        <v/>
      </c>
      <c r="H308" t="str">
        <f>"INV 84078908887"</f>
        <v>INV 84078908887</v>
      </c>
    </row>
    <row r="309" spans="1:8" x14ac:dyDescent="0.25">
      <c r="E309" t="str">
        <f>""</f>
        <v/>
      </c>
      <c r="F309" t="str">
        <f>""</f>
        <v/>
      </c>
      <c r="H309" t="str">
        <f>"INV 84078908942"</f>
        <v>INV 84078908942</v>
      </c>
    </row>
    <row r="310" spans="1:8" x14ac:dyDescent="0.25">
      <c r="A310" t="s">
        <v>59</v>
      </c>
      <c r="B310">
        <v>136002</v>
      </c>
      <c r="C310" s="4">
        <v>504.48</v>
      </c>
      <c r="D310" s="1">
        <v>44375</v>
      </c>
      <c r="E310" t="str">
        <f>"84078908999"</f>
        <v>84078908999</v>
      </c>
      <c r="F310" t="str">
        <f>"INV 84078908999  84048400"</f>
        <v>INV 84078908999  84048400</v>
      </c>
      <c r="G310" s="4">
        <v>504.48</v>
      </c>
      <c r="H310" t="str">
        <f>"INV 84078908999"</f>
        <v>INV 84078908999</v>
      </c>
    </row>
    <row r="311" spans="1:8" x14ac:dyDescent="0.25">
      <c r="E311" t="str">
        <f>""</f>
        <v/>
      </c>
      <c r="F311" t="str">
        <f>""</f>
        <v/>
      </c>
      <c r="H311" t="str">
        <f>"INV 84048400127"</f>
        <v>INV 84048400127</v>
      </c>
    </row>
    <row r="312" spans="1:8" x14ac:dyDescent="0.25">
      <c r="A312" t="s">
        <v>60</v>
      </c>
      <c r="B312">
        <v>136003</v>
      </c>
      <c r="C312" s="4">
        <v>102.14</v>
      </c>
      <c r="D312" s="1">
        <v>44375</v>
      </c>
      <c r="E312" t="str">
        <f>"202106214094"</f>
        <v>202106214094</v>
      </c>
      <c r="F312" t="str">
        <f>"CRIMESTOPPER FEES MAY 2021"</f>
        <v>CRIMESTOPPER FEES MAY 2021</v>
      </c>
      <c r="G312" s="4">
        <v>102.14</v>
      </c>
      <c r="H312" t="str">
        <f>"CRIMESTOPPER FEES MAY 2021"</f>
        <v>CRIMESTOPPER FEES MAY 2021</v>
      </c>
    </row>
    <row r="313" spans="1:8" x14ac:dyDescent="0.25">
      <c r="A313" t="s">
        <v>61</v>
      </c>
      <c r="B313">
        <v>135745</v>
      </c>
      <c r="C313" s="4">
        <v>2863.74</v>
      </c>
      <c r="D313" s="1">
        <v>44356</v>
      </c>
      <c r="E313" t="str">
        <f>"202106083798"</f>
        <v>202106083798</v>
      </c>
      <c r="F313" t="str">
        <f>"ACCT#5500090397 / 06012021"</f>
        <v>ACCT#5500090397 / 06012021</v>
      </c>
      <c r="G313" s="4">
        <v>185.24</v>
      </c>
      <c r="H313" t="str">
        <f>"ACCT#5500090397 / 06012021"</f>
        <v>ACCT#5500090397 / 06012021</v>
      </c>
    </row>
    <row r="314" spans="1:8" x14ac:dyDescent="0.25">
      <c r="E314" t="str">
        <f>"202106083799"</f>
        <v>202106083799</v>
      </c>
      <c r="F314" t="str">
        <f>"ACCT#5000057374 / 06032021"</f>
        <v>ACCT#5000057374 / 06032021</v>
      </c>
      <c r="G314" s="4">
        <v>2678.5</v>
      </c>
      <c r="H314" t="str">
        <f>"ACCT#5000057374 / 06032021"</f>
        <v>ACCT#5000057374 / 06032021</v>
      </c>
    </row>
    <row r="315" spans="1:8" x14ac:dyDescent="0.25">
      <c r="E315" t="str">
        <f>""</f>
        <v/>
      </c>
      <c r="F315" t="str">
        <f>""</f>
        <v/>
      </c>
      <c r="H315" t="str">
        <f>"ACCT#5000057374 / 06032021"</f>
        <v>ACCT#5000057374 / 06032021</v>
      </c>
    </row>
    <row r="316" spans="1:8" x14ac:dyDescent="0.25">
      <c r="E316" t="str">
        <f>""</f>
        <v/>
      </c>
      <c r="F316" t="str">
        <f>""</f>
        <v/>
      </c>
      <c r="H316" t="str">
        <f>"ACCT#5000057374 / 06032021"</f>
        <v>ACCT#5000057374 / 06032021</v>
      </c>
    </row>
    <row r="317" spans="1:8" x14ac:dyDescent="0.25">
      <c r="E317" t="str">
        <f>""</f>
        <v/>
      </c>
      <c r="F317" t="str">
        <f>""</f>
        <v/>
      </c>
      <c r="H317" t="str">
        <f>"ACCT#5000057374 / 06032021"</f>
        <v>ACCT#5000057374 / 06032021</v>
      </c>
    </row>
    <row r="318" spans="1:8" x14ac:dyDescent="0.25">
      <c r="A318" t="s">
        <v>62</v>
      </c>
      <c r="B318">
        <v>4619</v>
      </c>
      <c r="C318" s="4">
        <v>1150</v>
      </c>
      <c r="D318" s="1">
        <v>44362</v>
      </c>
      <c r="E318" t="str">
        <f>"20552021"</f>
        <v>20552021</v>
      </c>
      <c r="F318" t="str">
        <f>"INV 25052021"</f>
        <v>INV 25052021</v>
      </c>
      <c r="G318" s="4">
        <v>1150</v>
      </c>
      <c r="H318" t="str">
        <f>"INV 25052021"</f>
        <v>INV 25052021</v>
      </c>
    </row>
    <row r="319" spans="1:8" x14ac:dyDescent="0.25">
      <c r="A319" t="s">
        <v>62</v>
      </c>
      <c r="B319">
        <v>4690</v>
      </c>
      <c r="C319" s="4">
        <v>30693.45</v>
      </c>
      <c r="D319" s="1">
        <v>44376</v>
      </c>
      <c r="E319" t="str">
        <f>"202106163999"</f>
        <v>202106163999</v>
      </c>
      <c r="F319" t="str">
        <f>"APRIL/ HOME VISIT GRANT"</f>
        <v>APRIL/ HOME VISIT GRANT</v>
      </c>
      <c r="G319" s="4">
        <v>30693.45</v>
      </c>
      <c r="H319" t="str">
        <f>"APRIL/ HOME VISIT GRANT"</f>
        <v>APRIL/ HOME VISIT GRANT</v>
      </c>
    </row>
    <row r="320" spans="1:8" x14ac:dyDescent="0.25">
      <c r="A320" t="s">
        <v>63</v>
      </c>
      <c r="B320">
        <v>135828</v>
      </c>
      <c r="C320" s="4">
        <v>1741.62</v>
      </c>
      <c r="D320" s="1">
        <v>44361</v>
      </c>
      <c r="E320" t="str">
        <f>"INV1602008"</f>
        <v>INV1602008</v>
      </c>
      <c r="F320" t="str">
        <f>"INV1602008  INV1620905"</f>
        <v>INV1602008  INV1620905</v>
      </c>
      <c r="G320" s="4">
        <v>1741.62</v>
      </c>
      <c r="H320" t="str">
        <f>"INV1602008"</f>
        <v>INV1602008</v>
      </c>
    </row>
    <row r="321" spans="1:8" x14ac:dyDescent="0.25">
      <c r="E321" t="str">
        <f>""</f>
        <v/>
      </c>
      <c r="F321" t="str">
        <f>""</f>
        <v/>
      </c>
      <c r="H321" t="str">
        <f>"INV1620905"</f>
        <v>INV1620905</v>
      </c>
    </row>
    <row r="322" spans="1:8" x14ac:dyDescent="0.25">
      <c r="A322" t="s">
        <v>64</v>
      </c>
      <c r="B322">
        <v>135829</v>
      </c>
      <c r="C322" s="4">
        <v>159.6</v>
      </c>
      <c r="D322" s="1">
        <v>44361</v>
      </c>
      <c r="E322" t="str">
        <f>"WO115811"</f>
        <v>WO115811</v>
      </c>
      <c r="F322" t="str">
        <f>"ACCT#B02137/PCT#3"</f>
        <v>ACCT#B02137/PCT#3</v>
      </c>
      <c r="G322" s="4">
        <v>159.6</v>
      </c>
      <c r="H322" t="str">
        <f>"ACCT#B02137/PCT#3"</f>
        <v>ACCT#B02137/PCT#3</v>
      </c>
    </row>
    <row r="323" spans="1:8" x14ac:dyDescent="0.25">
      <c r="A323" t="s">
        <v>64</v>
      </c>
      <c r="B323">
        <v>136004</v>
      </c>
      <c r="C323" s="4">
        <v>159.6</v>
      </c>
      <c r="D323" s="1">
        <v>44375</v>
      </c>
      <c r="E323" t="str">
        <f>"202106224125"</f>
        <v>202106224125</v>
      </c>
      <c r="F323" t="str">
        <f>"CUST#B02137/PCT#3"</f>
        <v>CUST#B02137/PCT#3</v>
      </c>
      <c r="G323" s="4">
        <v>159.6</v>
      </c>
      <c r="H323" t="str">
        <f>"CUST#B02137/PCT#3"</f>
        <v>CUST#B02137/PCT#3</v>
      </c>
    </row>
    <row r="324" spans="1:8" x14ac:dyDescent="0.25">
      <c r="A324" t="s">
        <v>65</v>
      </c>
      <c r="B324">
        <v>135830</v>
      </c>
      <c r="C324" s="4">
        <v>590.6</v>
      </c>
      <c r="D324" s="1">
        <v>44361</v>
      </c>
      <c r="E324" t="str">
        <f>"12703343"</f>
        <v>12703343</v>
      </c>
      <c r="F324" t="str">
        <f>"CUST#300362/ORD#53286834"</f>
        <v>CUST#300362/ORD#53286834</v>
      </c>
      <c r="G324" s="4">
        <v>590.6</v>
      </c>
      <c r="H324" t="str">
        <f>"CUST#300362/ORD#53286834"</f>
        <v>CUST#300362/ORD#53286834</v>
      </c>
    </row>
    <row r="325" spans="1:8" x14ac:dyDescent="0.25">
      <c r="A325" t="s">
        <v>65</v>
      </c>
      <c r="B325">
        <v>136005</v>
      </c>
      <c r="C325" s="4">
        <v>1358.38</v>
      </c>
      <c r="D325" s="1">
        <v>44375</v>
      </c>
      <c r="E325" t="str">
        <f>"12781114"</f>
        <v>12781114</v>
      </c>
      <c r="F325" t="str">
        <f>"CUST#300362/ANIMAL SHELTER"</f>
        <v>CUST#300362/ANIMAL SHELTER</v>
      </c>
      <c r="G325" s="4">
        <v>472.48</v>
      </c>
      <c r="H325" t="str">
        <f>"CUST#300362/ANIMAL SHELTER"</f>
        <v>CUST#300362/ANIMAL SHELTER</v>
      </c>
    </row>
    <row r="326" spans="1:8" x14ac:dyDescent="0.25">
      <c r="E326" t="str">
        <f>"12826088"</f>
        <v>12826088</v>
      </c>
      <c r="F326" t="str">
        <f>"CUST#300362/ANIMAL SHELTER"</f>
        <v>CUST#300362/ANIMAL SHELTER</v>
      </c>
      <c r="G326" s="4">
        <v>885.9</v>
      </c>
      <c r="H326" t="str">
        <f>"CUST#300362/ANIMAL SHELTER"</f>
        <v>CUST#300362/ANIMAL SHELTER</v>
      </c>
    </row>
    <row r="327" spans="1:8" x14ac:dyDescent="0.25">
      <c r="A327" t="s">
        <v>66</v>
      </c>
      <c r="B327">
        <v>135831</v>
      </c>
      <c r="C327" s="4">
        <v>3271.16</v>
      </c>
      <c r="D327" s="1">
        <v>44361</v>
      </c>
      <c r="E327" t="str">
        <f>"121812"</f>
        <v>121812</v>
      </c>
      <c r="F327" t="str">
        <f>"ACCT#1268/PCT#3"</f>
        <v>ACCT#1268/PCT#3</v>
      </c>
      <c r="G327" s="4">
        <v>1842.72</v>
      </c>
      <c r="H327" t="str">
        <f>"ACCT#1268/PCT#3"</f>
        <v>ACCT#1268/PCT#3</v>
      </c>
    </row>
    <row r="328" spans="1:8" x14ac:dyDescent="0.25">
      <c r="E328" t="str">
        <f>"122685"</f>
        <v>122685</v>
      </c>
      <c r="F328" t="str">
        <f>"ACCT#1268/PCT#3"</f>
        <v>ACCT#1268/PCT#3</v>
      </c>
      <c r="G328" s="4">
        <v>1428.44</v>
      </c>
      <c r="H328" t="str">
        <f>"ACCT#1268/PCT#3"</f>
        <v>ACCT#1268/PCT#3</v>
      </c>
    </row>
    <row r="329" spans="1:8" x14ac:dyDescent="0.25">
      <c r="A329" t="s">
        <v>66</v>
      </c>
      <c r="B329">
        <v>136006</v>
      </c>
      <c r="C329" s="4">
        <v>9232.9599999999991</v>
      </c>
      <c r="D329" s="1">
        <v>44375</v>
      </c>
      <c r="E329" t="str">
        <f>"122050"</f>
        <v>122050</v>
      </c>
      <c r="F329" t="str">
        <f>"ACCT#1268 / PCT#3"</f>
        <v>ACCT#1268 / PCT#3</v>
      </c>
      <c r="G329" s="4">
        <v>656.68</v>
      </c>
      <c r="H329" t="str">
        <f>"ACCT#1268 / PCT#3"</f>
        <v>ACCT#1268 / PCT#3</v>
      </c>
    </row>
    <row r="330" spans="1:8" x14ac:dyDescent="0.25">
      <c r="E330" t="str">
        <f>"122421"</f>
        <v>122421</v>
      </c>
      <c r="F330" t="str">
        <f>"ACCT#1268 / PCT#3"</f>
        <v>ACCT#1268 / PCT#3</v>
      </c>
      <c r="G330" s="4">
        <v>831.24</v>
      </c>
      <c r="H330" t="str">
        <f>"ACCT#1268 / PCT#3"</f>
        <v>ACCT#1268 / PCT#3</v>
      </c>
    </row>
    <row r="331" spans="1:8" x14ac:dyDescent="0.25">
      <c r="E331" t="str">
        <f>"122686"</f>
        <v>122686</v>
      </c>
      <c r="F331" t="str">
        <f>"ACCT#1268 / PCT#3"</f>
        <v>ACCT#1268 / PCT#3</v>
      </c>
      <c r="G331" s="4">
        <v>1861.36</v>
      </c>
      <c r="H331" t="str">
        <f>"ACCT#1268 / PCT#3"</f>
        <v>ACCT#1268 / PCT#3</v>
      </c>
    </row>
    <row r="332" spans="1:8" x14ac:dyDescent="0.25">
      <c r="E332" t="str">
        <f>"122896"</f>
        <v>122896</v>
      </c>
      <c r="F332" t="str">
        <f>"ACCT#1267/PCT#2"</f>
        <v>ACCT#1267/PCT#2</v>
      </c>
      <c r="G332" s="4">
        <v>5616.2</v>
      </c>
      <c r="H332" t="str">
        <f>"ACCT#1267/PCT#2"</f>
        <v>ACCT#1267/PCT#2</v>
      </c>
    </row>
    <row r="333" spans="1:8" x14ac:dyDescent="0.25">
      <c r="E333" t="str">
        <f>"123157"</f>
        <v>123157</v>
      </c>
      <c r="F333" t="str">
        <f>"ACCT#1268/PCT#3"</f>
        <v>ACCT#1268/PCT#3</v>
      </c>
      <c r="G333" s="4">
        <v>267.48</v>
      </c>
      <c r="H333" t="str">
        <f>"ACCT#1268/PCT#3"</f>
        <v>ACCT#1268/PCT#3</v>
      </c>
    </row>
    <row r="334" spans="1:8" x14ac:dyDescent="0.25">
      <c r="A334" t="s">
        <v>67</v>
      </c>
      <c r="B334">
        <v>4624</v>
      </c>
      <c r="C334" s="4">
        <v>125</v>
      </c>
      <c r="D334" s="1">
        <v>44362</v>
      </c>
      <c r="E334" t="str">
        <f>"202106093822"</f>
        <v>202106093822</v>
      </c>
      <c r="F334" t="str">
        <f>"BC20201217A/OVERPAYMENT"</f>
        <v>BC20201217A/OVERPAYMENT</v>
      </c>
      <c r="G334" s="4">
        <v>-250</v>
      </c>
      <c r="H334" t="str">
        <f>"BC20201217A/OVERPAYMENT"</f>
        <v>BC20201217A/OVERPAYMENT</v>
      </c>
    </row>
    <row r="335" spans="1:8" x14ac:dyDescent="0.25">
      <c r="E335" t="str">
        <f>"202106093826"</f>
        <v>202106093826</v>
      </c>
      <c r="F335" t="str">
        <f>"57 430"</f>
        <v>57 430</v>
      </c>
      <c r="G335" s="4">
        <v>-250</v>
      </c>
      <c r="H335" t="str">
        <f>"57 430"</f>
        <v>57 430</v>
      </c>
    </row>
    <row r="336" spans="1:8" x14ac:dyDescent="0.25">
      <c r="E336" t="str">
        <f>"202106093827"</f>
        <v>202106093827</v>
      </c>
      <c r="F336" t="str">
        <f>"JP110132020D"</f>
        <v>JP110132020D</v>
      </c>
      <c r="G336" s="4">
        <v>-250</v>
      </c>
      <c r="H336" t="str">
        <f>"JP110132020D"</f>
        <v>JP110132020D</v>
      </c>
    </row>
    <row r="337" spans="1:8" x14ac:dyDescent="0.25">
      <c r="E337" t="str">
        <f>"202106093828"</f>
        <v>202106093828</v>
      </c>
      <c r="F337" t="str">
        <f>"101202019B"</f>
        <v>101202019B</v>
      </c>
      <c r="G337" s="4">
        <v>-250</v>
      </c>
      <c r="H337" t="str">
        <f>"101202019B"</f>
        <v>101202019B</v>
      </c>
    </row>
    <row r="338" spans="1:8" x14ac:dyDescent="0.25">
      <c r="E338" t="str">
        <f>"202106093829"</f>
        <v>202106093829</v>
      </c>
      <c r="F338" t="str">
        <f>"JP105012020C"</f>
        <v>JP105012020C</v>
      </c>
      <c r="G338" s="4">
        <v>125</v>
      </c>
      <c r="H338" t="str">
        <f>"JP105012020C"</f>
        <v>JP105012020C</v>
      </c>
    </row>
    <row r="339" spans="1:8" x14ac:dyDescent="0.25">
      <c r="E339" t="str">
        <f>"202106093831"</f>
        <v>202106093831</v>
      </c>
      <c r="F339" t="str">
        <f>"56 986"</f>
        <v>56 986</v>
      </c>
      <c r="G339" s="4">
        <v>250</v>
      </c>
      <c r="H339" t="str">
        <f>"56 986"</f>
        <v>56 986</v>
      </c>
    </row>
    <row r="340" spans="1:8" x14ac:dyDescent="0.25">
      <c r="E340" t="str">
        <f>"202106093833"</f>
        <v>202106093833</v>
      </c>
      <c r="F340" t="str">
        <f>"BC20210114"</f>
        <v>BC20210114</v>
      </c>
      <c r="G340" s="4">
        <v>250</v>
      </c>
      <c r="H340" t="str">
        <f>"BC20210114"</f>
        <v>BC20210114</v>
      </c>
    </row>
    <row r="341" spans="1:8" x14ac:dyDescent="0.25">
      <c r="E341" t="str">
        <f>"202106093835"</f>
        <v>202106093835</v>
      </c>
      <c r="F341" t="str">
        <f>"JP105012020B"</f>
        <v>JP105012020B</v>
      </c>
      <c r="G341" s="4">
        <v>250</v>
      </c>
      <c r="H341" t="str">
        <f>"JP105012020B"</f>
        <v>JP105012020B</v>
      </c>
    </row>
    <row r="342" spans="1:8" x14ac:dyDescent="0.25">
      <c r="E342" t="str">
        <f>"202106093837"</f>
        <v>202106093837</v>
      </c>
      <c r="F342" t="str">
        <f>"02.0408.3"</f>
        <v>02.0408.3</v>
      </c>
      <c r="G342" s="4">
        <v>250</v>
      </c>
      <c r="H342" t="str">
        <f>"02.0408.3"</f>
        <v>02.0408.3</v>
      </c>
    </row>
    <row r="343" spans="1:8" x14ac:dyDescent="0.25">
      <c r="A343" t="s">
        <v>68</v>
      </c>
      <c r="B343">
        <v>135832</v>
      </c>
      <c r="C343" s="4">
        <v>45</v>
      </c>
      <c r="D343" s="1">
        <v>44361</v>
      </c>
      <c r="E343" t="str">
        <f>"21-20730"</f>
        <v>21-20730</v>
      </c>
      <c r="F343" t="str">
        <f>"CAR FUND"</f>
        <v>CAR FUND</v>
      </c>
      <c r="G343" s="4">
        <v>15</v>
      </c>
      <c r="H343" t="str">
        <f>"CAR FUND"</f>
        <v>CAR FUND</v>
      </c>
    </row>
    <row r="344" spans="1:8" x14ac:dyDescent="0.25">
      <c r="E344" t="str">
        <f>"423-7849"</f>
        <v>423-7849</v>
      </c>
      <c r="F344" t="str">
        <f>"CAR FUND"</f>
        <v>CAR FUND</v>
      </c>
      <c r="G344" s="4">
        <v>15</v>
      </c>
      <c r="H344" t="str">
        <f>"CAR FUND"</f>
        <v>CAR FUND</v>
      </c>
    </row>
    <row r="345" spans="1:8" x14ac:dyDescent="0.25">
      <c r="E345" t="str">
        <f>"423-7881"</f>
        <v>423-7881</v>
      </c>
      <c r="F345" t="str">
        <f>"CAR FUND"</f>
        <v>CAR FUND</v>
      </c>
      <c r="G345" s="4">
        <v>15</v>
      </c>
      <c r="H345" t="str">
        <f>"CAR FUND"</f>
        <v>CAR FUND</v>
      </c>
    </row>
    <row r="346" spans="1:8" x14ac:dyDescent="0.25">
      <c r="A346" t="s">
        <v>69</v>
      </c>
      <c r="B346">
        <v>135833</v>
      </c>
      <c r="C346" s="4">
        <v>1485.31</v>
      </c>
      <c r="D346" s="1">
        <v>44361</v>
      </c>
      <c r="E346" t="str">
        <f>"10830546-2"</f>
        <v>10830546-2</v>
      </c>
      <c r="F346" t="str">
        <f>"INV 10830546-02"</f>
        <v>INV 10830546-02</v>
      </c>
      <c r="G346" s="4">
        <v>1485.31</v>
      </c>
      <c r="H346" t="str">
        <f>"INV 10830546-02"</f>
        <v>INV 10830546-02</v>
      </c>
    </row>
    <row r="347" spans="1:8" x14ac:dyDescent="0.25">
      <c r="A347" t="s">
        <v>70</v>
      </c>
      <c r="B347">
        <v>135834</v>
      </c>
      <c r="C347" s="4">
        <v>80</v>
      </c>
      <c r="D347" s="1">
        <v>44361</v>
      </c>
      <c r="E347" t="str">
        <f>"13645"</f>
        <v>13645</v>
      </c>
      <c r="F347" t="str">
        <f>"SERVICE"</f>
        <v>SERVICE</v>
      </c>
      <c r="G347" s="4">
        <v>80</v>
      </c>
      <c r="H347" t="str">
        <f>"SERVICE"</f>
        <v>SERVICE</v>
      </c>
    </row>
    <row r="348" spans="1:8" x14ac:dyDescent="0.25">
      <c r="A348" t="s">
        <v>71</v>
      </c>
      <c r="B348">
        <v>135835</v>
      </c>
      <c r="C348" s="4">
        <v>250</v>
      </c>
      <c r="D348" s="1">
        <v>44361</v>
      </c>
      <c r="E348" t="str">
        <f>"202106093823"</f>
        <v>202106093823</v>
      </c>
      <c r="F348" t="str">
        <f>"TRAINING - LUKE WERNER"</f>
        <v>TRAINING - LUKE WERNER</v>
      </c>
      <c r="G348" s="4">
        <v>250</v>
      </c>
      <c r="H348" t="str">
        <f>"TRAINING - LUKE WERNER"</f>
        <v>TRAINING - LUKE WERNER</v>
      </c>
    </row>
    <row r="349" spans="1:8" x14ac:dyDescent="0.25">
      <c r="A349" t="s">
        <v>72</v>
      </c>
      <c r="B349">
        <v>1096</v>
      </c>
      <c r="C349" s="4">
        <v>1304.1400000000001</v>
      </c>
      <c r="D349" s="1">
        <v>44361</v>
      </c>
      <c r="E349" t="str">
        <f>"202106093852"</f>
        <v>202106093852</v>
      </c>
      <c r="F349" t="str">
        <f>"Master Card PO"</f>
        <v>Master Card PO</v>
      </c>
      <c r="G349" s="4">
        <v>1304.1400000000001</v>
      </c>
      <c r="H349" t="str">
        <f>"dnh godaddy.com"</f>
        <v>dnh godaddy.com</v>
      </c>
    </row>
    <row r="350" spans="1:8" x14ac:dyDescent="0.25">
      <c r="E350" t="str">
        <f>""</f>
        <v/>
      </c>
      <c r="F350" t="str">
        <f>""</f>
        <v/>
      </c>
      <c r="H350" t="str">
        <f>"dri cisco webex cs"</f>
        <v>dri cisco webex cs</v>
      </c>
    </row>
    <row r="351" spans="1:8" x14ac:dyDescent="0.25">
      <c r="E351" t="str">
        <f>""</f>
        <v/>
      </c>
      <c r="F351" t="str">
        <f>""</f>
        <v/>
      </c>
      <c r="H351" t="str">
        <f>"goolge gsuite co."</f>
        <v>goolge gsuite co.</v>
      </c>
    </row>
    <row r="352" spans="1:8" x14ac:dyDescent="0.25">
      <c r="E352" t="str">
        <f>""</f>
        <v/>
      </c>
      <c r="F352" t="str">
        <f>""</f>
        <v/>
      </c>
      <c r="H352" t="str">
        <f>"dnh godaddy.com"</f>
        <v>dnh godaddy.com</v>
      </c>
    </row>
    <row r="353" spans="5:8" x14ac:dyDescent="0.25">
      <c r="E353" t="str">
        <f>""</f>
        <v/>
      </c>
      <c r="F353" t="str">
        <f>""</f>
        <v/>
      </c>
      <c r="H353" t="str">
        <f>"chillis"</f>
        <v>chillis</v>
      </c>
    </row>
    <row r="354" spans="5:8" x14ac:dyDescent="0.25">
      <c r="E354" t="str">
        <f>""</f>
        <v/>
      </c>
      <c r="F354" t="str">
        <f>""</f>
        <v/>
      </c>
      <c r="H354" t="str">
        <f>"thundercloud"</f>
        <v>thundercloud</v>
      </c>
    </row>
    <row r="355" spans="5:8" x14ac:dyDescent="0.25">
      <c r="E355" t="str">
        <f>""</f>
        <v/>
      </c>
      <c r="F355" t="str">
        <f>""</f>
        <v/>
      </c>
      <c r="H355" t="str">
        <f>"abby's"</f>
        <v>abby's</v>
      </c>
    </row>
    <row r="356" spans="5:8" x14ac:dyDescent="0.25">
      <c r="E356" t="str">
        <f>""</f>
        <v/>
      </c>
      <c r="F356" t="str">
        <f>""</f>
        <v/>
      </c>
      <c r="H356" t="str">
        <f>"thundercloud"</f>
        <v>thundercloud</v>
      </c>
    </row>
    <row r="357" spans="5:8" x14ac:dyDescent="0.25">
      <c r="E357" t="str">
        <f>""</f>
        <v/>
      </c>
      <c r="F357" t="str">
        <f>""</f>
        <v/>
      </c>
      <c r="H357" t="str">
        <f>"pilot"</f>
        <v>pilot</v>
      </c>
    </row>
    <row r="358" spans="5:8" x14ac:dyDescent="0.25">
      <c r="E358" t="str">
        <f>""</f>
        <v/>
      </c>
      <c r="F358" t="str">
        <f>""</f>
        <v/>
      </c>
      <c r="H358" t="str">
        <f>"whataburger"</f>
        <v>whataburger</v>
      </c>
    </row>
    <row r="359" spans="5:8" x14ac:dyDescent="0.25">
      <c r="E359" t="str">
        <f>""</f>
        <v/>
      </c>
      <c r="F359" t="str">
        <f>""</f>
        <v/>
      </c>
      <c r="H359" t="str">
        <f>"bourbon street bar"</f>
        <v>bourbon street bar</v>
      </c>
    </row>
    <row r="360" spans="5:8" x14ac:dyDescent="0.25">
      <c r="E360" t="str">
        <f>""</f>
        <v/>
      </c>
      <c r="F360" t="str">
        <f>""</f>
        <v/>
      </c>
      <c r="H360" t="str">
        <f>"subway"</f>
        <v>subway</v>
      </c>
    </row>
    <row r="361" spans="5:8" x14ac:dyDescent="0.25">
      <c r="E361" t="str">
        <f>""</f>
        <v/>
      </c>
      <c r="F361" t="str">
        <f>""</f>
        <v/>
      </c>
      <c r="H361" t="str">
        <f>"fwb brodie oaks"</f>
        <v>fwb brodie oaks</v>
      </c>
    </row>
    <row r="362" spans="5:8" x14ac:dyDescent="0.25">
      <c r="E362" t="str">
        <f>""</f>
        <v/>
      </c>
      <c r="F362" t="str">
        <f>""</f>
        <v/>
      </c>
      <c r="H362" t="str">
        <f>"jiffy lube #3176"</f>
        <v>jiffy lube #3176</v>
      </c>
    </row>
    <row r="363" spans="5:8" x14ac:dyDescent="0.25">
      <c r="E363" t="str">
        <f>""</f>
        <v/>
      </c>
      <c r="F363" t="str">
        <f>""</f>
        <v/>
      </c>
      <c r="H363" t="str">
        <f>"wm supercenter #102"</f>
        <v>wm supercenter #102</v>
      </c>
    </row>
    <row r="364" spans="5:8" x14ac:dyDescent="0.25">
      <c r="E364" t="str">
        <f>""</f>
        <v/>
      </c>
      <c r="F364" t="str">
        <f>""</f>
        <v/>
      </c>
      <c r="H364" t="str">
        <f>"sames bastrop ford"</f>
        <v>sames bastrop ford</v>
      </c>
    </row>
    <row r="365" spans="5:8" x14ac:dyDescent="0.25">
      <c r="E365" t="str">
        <f>""</f>
        <v/>
      </c>
      <c r="F365" t="str">
        <f>""</f>
        <v/>
      </c>
      <c r="H365" t="str">
        <f>"sling.com"</f>
        <v>sling.com</v>
      </c>
    </row>
    <row r="366" spans="5:8" x14ac:dyDescent="0.25">
      <c r="E366" t="str">
        <f>""</f>
        <v/>
      </c>
      <c r="F366" t="str">
        <f>""</f>
        <v/>
      </c>
      <c r="H366" t="str">
        <f>"clinic hd subcriptio"</f>
        <v>clinic hd subcriptio</v>
      </c>
    </row>
    <row r="367" spans="5:8" x14ac:dyDescent="0.25">
      <c r="E367" t="str">
        <f>""</f>
        <v/>
      </c>
      <c r="F367" t="str">
        <f>""</f>
        <v/>
      </c>
      <c r="H367" t="str">
        <f>"buc-ees #28 bastrop"</f>
        <v>buc-ees #28 bastrop</v>
      </c>
    </row>
    <row r="368" spans="5:8" x14ac:dyDescent="0.25">
      <c r="E368" t="str">
        <f>""</f>
        <v/>
      </c>
      <c r="F368" t="str">
        <f>""</f>
        <v/>
      </c>
      <c r="H368" t="str">
        <f>"rapid express car wa"</f>
        <v>rapid express car wa</v>
      </c>
    </row>
    <row r="369" spans="1:8" x14ac:dyDescent="0.25">
      <c r="E369" t="str">
        <f>""</f>
        <v/>
      </c>
      <c r="F369" t="str">
        <f>""</f>
        <v/>
      </c>
      <c r="H369" t="str">
        <f>"harbor feight tools"</f>
        <v>harbor feight tools</v>
      </c>
    </row>
    <row r="370" spans="1:8" x14ac:dyDescent="0.25">
      <c r="E370" t="str">
        <f>""</f>
        <v/>
      </c>
      <c r="F370" t="str">
        <f>""</f>
        <v/>
      </c>
      <c r="H370" t="str">
        <f>"AAA filter service"</f>
        <v>AAA filter service</v>
      </c>
    </row>
    <row r="371" spans="1:8" x14ac:dyDescent="0.25">
      <c r="E371" t="str">
        <f>""</f>
        <v/>
      </c>
      <c r="F371" t="str">
        <f>""</f>
        <v/>
      </c>
      <c r="H371" t="str">
        <f>"bobby's automotive"</f>
        <v>bobby's automotive</v>
      </c>
    </row>
    <row r="372" spans="1:8" x14ac:dyDescent="0.25">
      <c r="A372" t="s">
        <v>72</v>
      </c>
      <c r="B372">
        <v>1168</v>
      </c>
      <c r="C372" s="4">
        <v>1953.85</v>
      </c>
      <c r="D372" s="1">
        <v>44361</v>
      </c>
      <c r="E372" t="str">
        <f>"202107084448"</f>
        <v>202107084448</v>
      </c>
      <c r="F372" t="str">
        <f>"STATEMENT FOR CARD 0574"</f>
        <v>STATEMENT FOR CARD 0574</v>
      </c>
      <c r="G372" s="4">
        <v>1953.85</v>
      </c>
      <c r="H372" t="str">
        <f>"PSI SERVICES"</f>
        <v>PSI SERVICES</v>
      </c>
    </row>
    <row r="373" spans="1:8" x14ac:dyDescent="0.25">
      <c r="E373" t="str">
        <f>""</f>
        <v/>
      </c>
      <c r="F373" t="str">
        <f>""</f>
        <v/>
      </c>
      <c r="H373" t="str">
        <f>"4IMPRINT"</f>
        <v>4IMPRINT</v>
      </c>
    </row>
    <row r="374" spans="1:8" x14ac:dyDescent="0.25">
      <c r="E374" t="str">
        <f>""</f>
        <v/>
      </c>
      <c r="F374" t="str">
        <f>""</f>
        <v/>
      </c>
      <c r="H374" t="str">
        <f>"BUSHNELL'S"</f>
        <v>BUSHNELL'S</v>
      </c>
    </row>
    <row r="375" spans="1:8" x14ac:dyDescent="0.25">
      <c r="E375" t="str">
        <f>""</f>
        <v/>
      </c>
      <c r="F375" t="str">
        <f>""</f>
        <v/>
      </c>
      <c r="H375" t="str">
        <f>"HOLIDAY INN - LA"</f>
        <v>HOLIDAY INN - LA</v>
      </c>
    </row>
    <row r="376" spans="1:8" x14ac:dyDescent="0.25">
      <c r="E376" t="str">
        <f>""</f>
        <v/>
      </c>
      <c r="F376" t="str">
        <f>""</f>
        <v/>
      </c>
      <c r="H376" t="str">
        <f>"COMFORT SUITES"</f>
        <v>COMFORT SUITES</v>
      </c>
    </row>
    <row r="377" spans="1:8" x14ac:dyDescent="0.25">
      <c r="E377" t="str">
        <f>""</f>
        <v/>
      </c>
      <c r="F377" t="str">
        <f>""</f>
        <v/>
      </c>
      <c r="H377" t="str">
        <f>"CAR &amp; TRUCK REMOTES"</f>
        <v>CAR &amp; TRUCK REMOTES</v>
      </c>
    </row>
    <row r="378" spans="1:8" x14ac:dyDescent="0.25">
      <c r="E378" t="str">
        <f>""</f>
        <v/>
      </c>
      <c r="F378" t="str">
        <f>""</f>
        <v/>
      </c>
      <c r="H378" t="str">
        <f>"UPS STORE"</f>
        <v>UPS STORE</v>
      </c>
    </row>
    <row r="379" spans="1:8" x14ac:dyDescent="0.25">
      <c r="A379" t="s">
        <v>73</v>
      </c>
      <c r="B379">
        <v>4618</v>
      </c>
      <c r="C379" s="4">
        <v>209.67</v>
      </c>
      <c r="D379" s="1">
        <v>44362</v>
      </c>
      <c r="E379" t="str">
        <f>"202106073767"</f>
        <v>202106073767</v>
      </c>
      <c r="F379" t="str">
        <f>"Printer for IT"</f>
        <v>Printer for IT</v>
      </c>
      <c r="G379" s="4">
        <v>209.67</v>
      </c>
      <c r="H379" t="str">
        <f>"Printer for IT"</f>
        <v>Printer for IT</v>
      </c>
    </row>
    <row r="380" spans="1:8" x14ac:dyDescent="0.25">
      <c r="A380" t="s">
        <v>74</v>
      </c>
      <c r="B380">
        <v>136007</v>
      </c>
      <c r="C380" s="4">
        <v>2179.81</v>
      </c>
      <c r="D380" s="1">
        <v>44375</v>
      </c>
      <c r="E380" t="str">
        <f>"30144686"</f>
        <v>30144686</v>
      </c>
      <c r="F380" t="str">
        <f>"CUST#BASPCT1/PCT#1"</f>
        <v>CUST#BASPCT1/PCT#1</v>
      </c>
      <c r="G380" s="4">
        <v>1071.95</v>
      </c>
      <c r="H380" t="str">
        <f>"CUST#BASPCT1/PCT#1"</f>
        <v>CUST#BASPCT1/PCT#1</v>
      </c>
    </row>
    <row r="381" spans="1:8" x14ac:dyDescent="0.25">
      <c r="E381" t="str">
        <f>"30144698"</f>
        <v>30144698</v>
      </c>
      <c r="F381" t="str">
        <f>"CUST#BASPCT1/PCT#1"</f>
        <v>CUST#BASPCT1/PCT#1</v>
      </c>
      <c r="G381" s="4">
        <v>1107.8599999999999</v>
      </c>
      <c r="H381" t="str">
        <f>"CUST#BASPCT1/PCT#1"</f>
        <v>CUST#BASPCT1/PCT#1</v>
      </c>
    </row>
    <row r="382" spans="1:8" x14ac:dyDescent="0.25">
      <c r="A382" t="s">
        <v>75</v>
      </c>
      <c r="B382">
        <v>4573</v>
      </c>
      <c r="C382" s="4">
        <v>584</v>
      </c>
      <c r="D382" s="1">
        <v>44362</v>
      </c>
      <c r="E382" t="str">
        <f>"39784158"</f>
        <v>39784158</v>
      </c>
      <c r="F382" t="str">
        <f>"INV 39784158"</f>
        <v>INV 39784158</v>
      </c>
      <c r="G382" s="4">
        <v>584</v>
      </c>
      <c r="H382" t="str">
        <f>"INV 39784158"</f>
        <v>INV 39784158</v>
      </c>
    </row>
    <row r="383" spans="1:8" x14ac:dyDescent="0.25">
      <c r="A383" t="s">
        <v>76</v>
      </c>
      <c r="B383">
        <v>135836</v>
      </c>
      <c r="C383" s="4">
        <v>135</v>
      </c>
      <c r="D383" s="1">
        <v>44361</v>
      </c>
      <c r="E383" t="str">
        <f>"202106093819"</f>
        <v>202106093819</v>
      </c>
      <c r="F383" t="str">
        <f>"PER DIEM FOR TRAINING"</f>
        <v>PER DIEM FOR TRAINING</v>
      </c>
      <c r="G383" s="4">
        <v>135</v>
      </c>
      <c r="H383" t="str">
        <f>"PER DIEM FOR TRAINING"</f>
        <v>PER DIEM FOR TRAINING</v>
      </c>
    </row>
    <row r="384" spans="1:8" x14ac:dyDescent="0.25">
      <c r="A384" t="s">
        <v>77</v>
      </c>
      <c r="B384">
        <v>136008</v>
      </c>
      <c r="C384" s="4">
        <v>250</v>
      </c>
      <c r="D384" s="1">
        <v>44375</v>
      </c>
      <c r="E384" t="str">
        <f>"202106164034"</f>
        <v>202106164034</v>
      </c>
      <c r="F384" t="str">
        <f>"J-3233"</f>
        <v>J-3233</v>
      </c>
      <c r="G384" s="4">
        <v>250</v>
      </c>
      <c r="H384" t="str">
        <f>"J-3233"</f>
        <v>J-3233</v>
      </c>
    </row>
    <row r="385" spans="1:8" x14ac:dyDescent="0.25">
      <c r="A385" t="s">
        <v>78</v>
      </c>
      <c r="B385">
        <v>4610</v>
      </c>
      <c r="C385" s="4">
        <v>354.7</v>
      </c>
      <c r="D385" s="1">
        <v>44362</v>
      </c>
      <c r="E385" t="str">
        <f>"0250914"</f>
        <v>0250914</v>
      </c>
      <c r="F385" t="str">
        <f>"INV 0250914-IN"</f>
        <v>INV 0250914-IN</v>
      </c>
      <c r="G385" s="4">
        <v>354.7</v>
      </c>
      <c r="H385" t="str">
        <f>"INV 0250914-IN"</f>
        <v>INV 0250914-IN</v>
      </c>
    </row>
    <row r="386" spans="1:8" x14ac:dyDescent="0.25">
      <c r="A386" t="s">
        <v>79</v>
      </c>
      <c r="B386">
        <v>4623</v>
      </c>
      <c r="C386" s="4">
        <v>2825</v>
      </c>
      <c r="D386" s="1">
        <v>44362</v>
      </c>
      <c r="E386" t="str">
        <f>"202106073720"</f>
        <v>202106073720</v>
      </c>
      <c r="F386" t="str">
        <f>"57-504"</f>
        <v>57-504</v>
      </c>
      <c r="G386" s="4">
        <v>250</v>
      </c>
      <c r="H386" t="str">
        <f>"57-504"</f>
        <v>57-504</v>
      </c>
    </row>
    <row r="387" spans="1:8" x14ac:dyDescent="0.25">
      <c r="E387" t="str">
        <f>"202106073721"</f>
        <v>202106073721</v>
      </c>
      <c r="F387" t="str">
        <f>"02-1223-2"</f>
        <v>02-1223-2</v>
      </c>
      <c r="G387" s="4">
        <v>250</v>
      </c>
      <c r="H387" t="str">
        <f>"02-1223-2"</f>
        <v>02-1223-2</v>
      </c>
    </row>
    <row r="388" spans="1:8" x14ac:dyDescent="0.25">
      <c r="E388" t="str">
        <f>"202106073722"</f>
        <v>202106073722</v>
      </c>
      <c r="F388" t="str">
        <f>"57-919"</f>
        <v>57-919</v>
      </c>
      <c r="G388" s="4">
        <v>325</v>
      </c>
      <c r="H388" t="str">
        <f>"57-919"</f>
        <v>57-919</v>
      </c>
    </row>
    <row r="389" spans="1:8" x14ac:dyDescent="0.25">
      <c r="E389" t="str">
        <f>"202106073723"</f>
        <v>202106073723</v>
      </c>
      <c r="F389" t="str">
        <f>"DCPC-19-042"</f>
        <v>DCPC-19-042</v>
      </c>
      <c r="G389" s="4">
        <v>250</v>
      </c>
      <c r="H389" t="str">
        <f>"DCPC-19-042"</f>
        <v>DCPC-19-042</v>
      </c>
    </row>
    <row r="390" spans="1:8" x14ac:dyDescent="0.25">
      <c r="E390" t="str">
        <f>"202106093841"</f>
        <v>202106093841</v>
      </c>
      <c r="F390" t="str">
        <f>"16 813"</f>
        <v>16 813</v>
      </c>
      <c r="G390" s="4">
        <v>400</v>
      </c>
      <c r="H390" t="str">
        <f>"16 813"</f>
        <v>16 813</v>
      </c>
    </row>
    <row r="391" spans="1:8" x14ac:dyDescent="0.25">
      <c r="E391" t="str">
        <f>"202106093844"</f>
        <v>202106093844</v>
      </c>
      <c r="F391" t="str">
        <f>"17 077"</f>
        <v>17 077</v>
      </c>
      <c r="G391" s="4">
        <v>400</v>
      </c>
      <c r="H391" t="str">
        <f>"17 077"</f>
        <v>17 077</v>
      </c>
    </row>
    <row r="392" spans="1:8" x14ac:dyDescent="0.25">
      <c r="E392" t="str">
        <f>"202106093847"</f>
        <v>202106093847</v>
      </c>
      <c r="F392" t="str">
        <f>"AC-2021-0222"</f>
        <v>AC-2021-0222</v>
      </c>
      <c r="G392" s="4">
        <v>150</v>
      </c>
      <c r="H392" t="str">
        <f>"AC-2021-0222"</f>
        <v>AC-2021-0222</v>
      </c>
    </row>
    <row r="393" spans="1:8" x14ac:dyDescent="0.25">
      <c r="E393" t="str">
        <f>"202106093848"</f>
        <v>202106093848</v>
      </c>
      <c r="F393" t="str">
        <f>"02-1223-1"</f>
        <v>02-1223-1</v>
      </c>
      <c r="G393" s="4">
        <v>400</v>
      </c>
      <c r="H393" t="str">
        <f>"02-1223-1"</f>
        <v>02-1223-1</v>
      </c>
    </row>
    <row r="394" spans="1:8" x14ac:dyDescent="0.25">
      <c r="E394" t="str">
        <f>"202106093850"</f>
        <v>202106093850</v>
      </c>
      <c r="F394" t="str">
        <f>"JP108212020A"</f>
        <v>JP108212020A</v>
      </c>
      <c r="G394" s="4">
        <v>400</v>
      </c>
      <c r="H394" t="str">
        <f>"JP108212020A"</f>
        <v>JP108212020A</v>
      </c>
    </row>
    <row r="395" spans="1:8" x14ac:dyDescent="0.25">
      <c r="A395" t="s">
        <v>79</v>
      </c>
      <c r="B395">
        <v>4695</v>
      </c>
      <c r="C395" s="4">
        <v>3100</v>
      </c>
      <c r="D395" s="1">
        <v>44376</v>
      </c>
      <c r="E395" t="str">
        <f>"202106214106"</f>
        <v>202106214106</v>
      </c>
      <c r="F395" t="str">
        <f>"02-0802-2"</f>
        <v>02-0802-2</v>
      </c>
      <c r="G395" s="4">
        <v>250</v>
      </c>
      <c r="H395" t="str">
        <f>"02-0802-2"</f>
        <v>02-0802-2</v>
      </c>
    </row>
    <row r="396" spans="1:8" x14ac:dyDescent="0.25">
      <c r="E396" t="str">
        <f>"202106214107"</f>
        <v>202106214107</v>
      </c>
      <c r="F396" t="str">
        <f>"02-0802-2"</f>
        <v>02-0802-2</v>
      </c>
      <c r="G396" s="4">
        <v>250</v>
      </c>
      <c r="H396" t="str">
        <f>"02-0802-2"</f>
        <v>02-0802-2</v>
      </c>
    </row>
    <row r="397" spans="1:8" x14ac:dyDescent="0.25">
      <c r="E397" t="str">
        <f>"202106214108"</f>
        <v>202106214108</v>
      </c>
      <c r="F397" t="str">
        <f>"57-575/57-794"</f>
        <v>57-575/57-794</v>
      </c>
      <c r="G397" s="4">
        <v>375</v>
      </c>
      <c r="H397" t="str">
        <f>"57-575/57-794"</f>
        <v>57-575/57-794</v>
      </c>
    </row>
    <row r="398" spans="1:8" x14ac:dyDescent="0.25">
      <c r="E398" t="str">
        <f>"202106214109"</f>
        <v>202106214109</v>
      </c>
      <c r="F398" t="str">
        <f>"02-1208-4"</f>
        <v>02-1208-4</v>
      </c>
      <c r="G398" s="4">
        <v>400</v>
      </c>
      <c r="H398" t="str">
        <f>"02-1208-4"</f>
        <v>02-1208-4</v>
      </c>
    </row>
    <row r="399" spans="1:8" x14ac:dyDescent="0.25">
      <c r="E399" t="str">
        <f>"202106214110"</f>
        <v>202106214110</v>
      </c>
      <c r="F399" t="str">
        <f>"16-416"</f>
        <v>16-416</v>
      </c>
      <c r="G399" s="4">
        <v>700</v>
      </c>
      <c r="H399" t="str">
        <f>"16-416"</f>
        <v>16-416</v>
      </c>
    </row>
    <row r="400" spans="1:8" x14ac:dyDescent="0.25">
      <c r="E400" t="str">
        <f>"202106234154"</f>
        <v>202106234154</v>
      </c>
      <c r="F400" t="str">
        <f>"C-274"</f>
        <v>C-274</v>
      </c>
      <c r="G400" s="4">
        <v>1125</v>
      </c>
      <c r="H400" t="str">
        <f>"C-274"</f>
        <v>C-274</v>
      </c>
    </row>
    <row r="401" spans="1:8" x14ac:dyDescent="0.25">
      <c r="A401" t="s">
        <v>80</v>
      </c>
      <c r="B401">
        <v>4590</v>
      </c>
      <c r="C401" s="4">
        <v>260.99</v>
      </c>
      <c r="D401" s="1">
        <v>44362</v>
      </c>
      <c r="E401" t="str">
        <f>"202106043691"</f>
        <v>202106043691</v>
      </c>
      <c r="F401" t="str">
        <f>"REIMBURSEMENT/CHRISTINE FILES"</f>
        <v>REIMBURSEMENT/CHRISTINE FILES</v>
      </c>
      <c r="G401" s="4">
        <v>260.99</v>
      </c>
      <c r="H401" t="str">
        <f>"REIMBURSEMENT/CHRISTINE FILES"</f>
        <v>REIMBURSEMENT/CHRISTINE FILES</v>
      </c>
    </row>
    <row r="402" spans="1:8" x14ac:dyDescent="0.25">
      <c r="A402" t="s">
        <v>80</v>
      </c>
      <c r="B402">
        <v>4670</v>
      </c>
      <c r="C402" s="4">
        <v>159.13</v>
      </c>
      <c r="D402" s="1">
        <v>44376</v>
      </c>
      <c r="E402" t="str">
        <f>"202106224114"</f>
        <v>202106224114</v>
      </c>
      <c r="F402" t="str">
        <f>"REIMBURSE/CHRISTINE FILES"</f>
        <v>REIMBURSE/CHRISTINE FILES</v>
      </c>
      <c r="G402" s="4">
        <v>159.13</v>
      </c>
      <c r="H402" t="str">
        <f>"REIMBURSE/CHRISTINE FILES"</f>
        <v>REIMBURSE/CHRISTINE FILES</v>
      </c>
    </row>
    <row r="403" spans="1:8" x14ac:dyDescent="0.25">
      <c r="A403" t="s">
        <v>81</v>
      </c>
      <c r="B403">
        <v>135837</v>
      </c>
      <c r="C403" s="4">
        <v>150</v>
      </c>
      <c r="D403" s="1">
        <v>44361</v>
      </c>
      <c r="E403" t="str">
        <f>"9133570916"</f>
        <v>9133570916</v>
      </c>
      <c r="F403" t="str">
        <f>"INV 9133570916"</f>
        <v>INV 9133570916</v>
      </c>
      <c r="G403" s="4">
        <v>100</v>
      </c>
      <c r="H403" t="str">
        <f>"INV 9133570916"</f>
        <v>INV 9133570916</v>
      </c>
    </row>
    <row r="404" spans="1:8" x14ac:dyDescent="0.25">
      <c r="E404" t="str">
        <f>"9133570917"</f>
        <v>9133570917</v>
      </c>
      <c r="F404" t="str">
        <f>"INV 9133570917"</f>
        <v>INV 9133570917</v>
      </c>
      <c r="G404" s="4">
        <v>50</v>
      </c>
      <c r="H404" t="str">
        <f>"INV 9133570917"</f>
        <v>INV 9133570917</v>
      </c>
    </row>
    <row r="405" spans="1:8" x14ac:dyDescent="0.25">
      <c r="A405" t="s">
        <v>82</v>
      </c>
      <c r="B405">
        <v>135838</v>
      </c>
      <c r="C405" s="4">
        <v>6582.46</v>
      </c>
      <c r="D405" s="1">
        <v>44361</v>
      </c>
      <c r="E405" t="str">
        <f>"202106083776"</f>
        <v>202106083776</v>
      </c>
      <c r="F405" t="str">
        <f>"PAYER#14108463/ANIMAL SHELTER"</f>
        <v>PAYER#14108463/ANIMAL SHELTER</v>
      </c>
      <c r="G405" s="4">
        <v>294.13</v>
      </c>
      <c r="H405" t="str">
        <f>"PAYER#14108463/ANIMAL SHELTER"</f>
        <v>PAYER#14108463/ANIMAL SHELTER</v>
      </c>
    </row>
    <row r="406" spans="1:8" x14ac:dyDescent="0.25">
      <c r="E406" t="str">
        <f>"202106083785"</f>
        <v>202106083785</v>
      </c>
      <c r="F406" t="str">
        <f>"PAYER#14108375/GEN SVCS"</f>
        <v>PAYER#14108375/GEN SVCS</v>
      </c>
      <c r="G406" s="4">
        <v>1840.4</v>
      </c>
      <c r="H406" t="str">
        <f>"PAYER#14108375/GEN SVCS"</f>
        <v>PAYER#14108375/GEN SVCS</v>
      </c>
    </row>
    <row r="407" spans="1:8" x14ac:dyDescent="0.25">
      <c r="E407" t="str">
        <f>"202106083796"</f>
        <v>202106083796</v>
      </c>
      <c r="F407" t="str">
        <f>"PAYER#14108431/SIGN SHOP"</f>
        <v>PAYER#14108431/SIGN SHOP</v>
      </c>
      <c r="G407" s="4">
        <v>59.52</v>
      </c>
      <c r="H407" t="str">
        <f>"PAYER#14108431/SIGN SHOP"</f>
        <v>PAYER#14108431/SIGN SHOP</v>
      </c>
    </row>
    <row r="408" spans="1:8" x14ac:dyDescent="0.25">
      <c r="E408" t="str">
        <f>"202106083808"</f>
        <v>202106083808</v>
      </c>
      <c r="F408" t="str">
        <f>"PAYER#14108431/PCT#1"</f>
        <v>PAYER#14108431/PCT#1</v>
      </c>
      <c r="G408" s="4">
        <v>841.93</v>
      </c>
      <c r="H408" t="str">
        <f>"PAYER#14108431/PCT#1"</f>
        <v>PAYER#14108431/PCT#1</v>
      </c>
    </row>
    <row r="409" spans="1:8" x14ac:dyDescent="0.25">
      <c r="E409" t="str">
        <f>"202106083809"</f>
        <v>202106083809</v>
      </c>
      <c r="F409" t="str">
        <f>"PAYER#14108367/PCT#2"</f>
        <v>PAYER#14108367/PCT#2</v>
      </c>
      <c r="G409" s="4">
        <v>1346.72</v>
      </c>
      <c r="H409" t="str">
        <f>"PAYER#14108367/PCT#2"</f>
        <v>PAYER#14108367/PCT#2</v>
      </c>
    </row>
    <row r="410" spans="1:8" x14ac:dyDescent="0.25">
      <c r="E410" t="str">
        <f>"202106083811"</f>
        <v>202106083811</v>
      </c>
      <c r="F410" t="str">
        <f>"PAYER#14108430/PCT#4"</f>
        <v>PAYER#14108430/PCT#4</v>
      </c>
      <c r="G410" s="4">
        <v>2199.7600000000002</v>
      </c>
      <c r="H410" t="str">
        <f>"PAYER#14108430/PCT#4"</f>
        <v>PAYER#14108430/PCT#4</v>
      </c>
    </row>
    <row r="411" spans="1:8" x14ac:dyDescent="0.25">
      <c r="A411" t="s">
        <v>82</v>
      </c>
      <c r="B411">
        <v>135839</v>
      </c>
      <c r="C411" s="4">
        <v>571.37</v>
      </c>
      <c r="D411" s="1">
        <v>44361</v>
      </c>
      <c r="E411" t="str">
        <f>"8405147993"</f>
        <v>8405147993</v>
      </c>
      <c r="F411" t="str">
        <f>"PAYER#10377368/PCT#3"</f>
        <v>PAYER#10377368/PCT#3</v>
      </c>
      <c r="G411" s="4">
        <v>571.37</v>
      </c>
      <c r="H411" t="str">
        <f>"PAYER#10377368/PCT#3"</f>
        <v>PAYER#10377368/PCT#3</v>
      </c>
    </row>
    <row r="412" spans="1:8" x14ac:dyDescent="0.25">
      <c r="A412" t="s">
        <v>83</v>
      </c>
      <c r="B412">
        <v>1147</v>
      </c>
      <c r="C412" s="4">
        <v>11691.6</v>
      </c>
      <c r="D412" s="1">
        <v>44362</v>
      </c>
      <c r="E412" t="str">
        <f>"202106153992"</f>
        <v>202106153992</v>
      </c>
      <c r="F412" t="str">
        <f>"ACCT# 72-56313 / 06032021"</f>
        <v>ACCT# 72-56313 / 06032021</v>
      </c>
      <c r="G412" s="4">
        <v>-201.04</v>
      </c>
      <c r="H412" t="str">
        <f>"ACCT# 72-56313 / 06032021"</f>
        <v>ACCT# 72-56313 / 06032021</v>
      </c>
    </row>
    <row r="413" spans="1:8" x14ac:dyDescent="0.25">
      <c r="E413" t="str">
        <f>"202106153993"</f>
        <v>202106153993</v>
      </c>
      <c r="F413" t="str">
        <f>"ACCT# 72-56313 / 06032021"</f>
        <v>ACCT# 72-56313 / 06032021</v>
      </c>
      <c r="G413" s="4">
        <v>-91.33</v>
      </c>
      <c r="H413" t="str">
        <f>"ACCT# 72-56313 / 06032021"</f>
        <v>ACCT# 72-56313 / 06032021</v>
      </c>
    </row>
    <row r="414" spans="1:8" x14ac:dyDescent="0.25">
      <c r="E414" t="str">
        <f>"202106153991"</f>
        <v>202106153991</v>
      </c>
      <c r="F414" t="str">
        <f>"ACCT# 72-56313 / 06032021"</f>
        <v>ACCT# 72-56313 / 06032021</v>
      </c>
      <c r="G414" s="4">
        <v>11983.97</v>
      </c>
      <c r="H414" t="str">
        <f>"ACCT# 72-56313 / 06032021"</f>
        <v>ACCT# 72-56313 / 06032021</v>
      </c>
    </row>
    <row r="415" spans="1:8" x14ac:dyDescent="0.25">
      <c r="A415" t="s">
        <v>84</v>
      </c>
      <c r="B415">
        <v>135746</v>
      </c>
      <c r="C415" s="4">
        <v>49973.98</v>
      </c>
      <c r="D415" s="1">
        <v>44356</v>
      </c>
      <c r="E415" t="str">
        <f>"202106083801"</f>
        <v>202106083801</v>
      </c>
      <c r="F415" t="str">
        <f>"ACCT#02-2083-04 / 05292021"</f>
        <v>ACCT#02-2083-04 / 05292021</v>
      </c>
      <c r="G415" s="4">
        <v>7423</v>
      </c>
      <c r="H415" t="str">
        <f>"ACCT#02-2083-04 / 05292021"</f>
        <v>ACCT#02-2083-04 / 05292021</v>
      </c>
    </row>
    <row r="416" spans="1:8" x14ac:dyDescent="0.25">
      <c r="E416" t="str">
        <f>"202106083802"</f>
        <v>202106083802</v>
      </c>
      <c r="F416" t="str">
        <f>"COUNTY DEV CENTER / 05292021"</f>
        <v>COUNTY DEV CENTER / 05292021</v>
      </c>
      <c r="G416" s="4">
        <v>1908.91</v>
      </c>
      <c r="H416" t="str">
        <f>"COUNTY DEV CENTER / 05292021"</f>
        <v>COUNTY DEV CENTER / 05292021</v>
      </c>
    </row>
    <row r="417" spans="1:8" x14ac:dyDescent="0.25">
      <c r="E417" t="str">
        <f>"202106083803"</f>
        <v>202106083803</v>
      </c>
      <c r="F417" t="str">
        <f>"COUNTY LAW CENTER / 05292021"</f>
        <v>COUNTY LAW CENTER / 05292021</v>
      </c>
      <c r="G417" s="4">
        <v>25736.44</v>
      </c>
      <c r="H417" t="str">
        <f>"COUNTY LAW CENTER / 05292021"</f>
        <v>COUNTY LAW CENTER / 05292021</v>
      </c>
    </row>
    <row r="418" spans="1:8" x14ac:dyDescent="0.25">
      <c r="E418" t="str">
        <f>"202106083804"</f>
        <v>202106083804</v>
      </c>
      <c r="F418" t="str">
        <f>"BASTROP COURT HOUSE / 05292021"</f>
        <v>BASTROP COURT HOUSE / 05292021</v>
      </c>
      <c r="G418" s="4">
        <v>14905.63</v>
      </c>
      <c r="H418" t="str">
        <f>"BASTROP COURT HOUSE / 05292021"</f>
        <v>BASTROP COURT HOUSE / 05292021</v>
      </c>
    </row>
    <row r="419" spans="1:8" x14ac:dyDescent="0.25">
      <c r="A419" t="s">
        <v>84</v>
      </c>
      <c r="B419">
        <v>136009</v>
      </c>
      <c r="C419" s="4">
        <v>750</v>
      </c>
      <c r="D419" s="1">
        <v>44375</v>
      </c>
      <c r="E419" t="str">
        <f>"202106164001"</f>
        <v>202106164001</v>
      </c>
      <c r="F419" t="str">
        <f>"RENTAL-PARKING LOT"</f>
        <v>RENTAL-PARKING LOT</v>
      </c>
      <c r="G419" s="4">
        <v>750</v>
      </c>
      <c r="H419" t="str">
        <f>"RENTAL-PARKING LOT"</f>
        <v>RENTAL-PARKING LOT</v>
      </c>
    </row>
    <row r="420" spans="1:8" x14ac:dyDescent="0.25">
      <c r="A420" t="s">
        <v>85</v>
      </c>
      <c r="B420">
        <v>4561</v>
      </c>
      <c r="C420" s="4">
        <v>1144</v>
      </c>
      <c r="D420" s="1">
        <v>44362</v>
      </c>
      <c r="E420" t="str">
        <f>"PMA-0074715"</f>
        <v>PMA-0074715</v>
      </c>
      <c r="F420" t="str">
        <f>"CUST#0020272/BASTROP TOWER"</f>
        <v>CUST#0020272/BASTROP TOWER</v>
      </c>
      <c r="G420" s="4">
        <v>184.5</v>
      </c>
      <c r="H420" t="str">
        <f>"CUST#0020272/BASTROP TOWER"</f>
        <v>CUST#0020272/BASTROP TOWER</v>
      </c>
    </row>
    <row r="421" spans="1:8" x14ac:dyDescent="0.25">
      <c r="E421" t="str">
        <f>"PMA-0074716"</f>
        <v>PMA-0074716</v>
      </c>
      <c r="F421" t="str">
        <f>"CUST#0020272/SMITHVILLE TOWER"</f>
        <v>CUST#0020272/SMITHVILLE TOWER</v>
      </c>
      <c r="G421" s="4">
        <v>210.5</v>
      </c>
      <c r="H421" t="str">
        <f>"CUST#0020272/SMITHVILLE TOWER"</f>
        <v>CUST#0020272/SMITHVILLE TOWER</v>
      </c>
    </row>
    <row r="422" spans="1:8" x14ac:dyDescent="0.25">
      <c r="E422" t="str">
        <f>"PMA-0075987"</f>
        <v>PMA-0075987</v>
      </c>
      <c r="F422" t="str">
        <f>"INV PMA-0075987"</f>
        <v>INV PMA-0075987</v>
      </c>
      <c r="G422" s="4">
        <v>749</v>
      </c>
      <c r="H422" t="str">
        <f>"INV PMA-0075987"</f>
        <v>INV PMA-0075987</v>
      </c>
    </row>
    <row r="423" spans="1:8" x14ac:dyDescent="0.25">
      <c r="A423" t="s">
        <v>85</v>
      </c>
      <c r="B423">
        <v>4645</v>
      </c>
      <c r="C423" s="4">
        <v>258.12</v>
      </c>
      <c r="D423" s="1">
        <v>44376</v>
      </c>
      <c r="E423" t="str">
        <f>"SVC-0117781"</f>
        <v>SVC-0117781</v>
      </c>
      <c r="F423" t="str">
        <f>"CUST#0020272"</f>
        <v>CUST#0020272</v>
      </c>
      <c r="G423" s="4">
        <v>258.12</v>
      </c>
      <c r="H423" t="str">
        <f>"CUST#0020272"</f>
        <v>CUST#0020272</v>
      </c>
    </row>
    <row r="424" spans="1:8" x14ac:dyDescent="0.25">
      <c r="A424" t="s">
        <v>86</v>
      </c>
      <c r="B424">
        <v>4673</v>
      </c>
      <c r="C424" s="4">
        <v>165.61</v>
      </c>
      <c r="D424" s="1">
        <v>44376</v>
      </c>
      <c r="E424" t="str">
        <f>"1278-202105-0"</f>
        <v>1278-202105-0</v>
      </c>
      <c r="F424" t="str">
        <f>"INV 1278-202105-0"</f>
        <v>INV 1278-202105-0</v>
      </c>
      <c r="G424" s="4">
        <v>165.61</v>
      </c>
      <c r="H424" t="str">
        <f>"INV 1278-202105-0"</f>
        <v>INV 1278-202105-0</v>
      </c>
    </row>
    <row r="425" spans="1:8" x14ac:dyDescent="0.25">
      <c r="A425" t="s">
        <v>87</v>
      </c>
      <c r="B425">
        <v>136010</v>
      </c>
      <c r="C425" s="4">
        <v>350</v>
      </c>
      <c r="D425" s="1">
        <v>44375</v>
      </c>
      <c r="E425" t="str">
        <f>"202106164002"</f>
        <v>202106164002</v>
      </c>
      <c r="F425" t="str">
        <f>"BOND#13748237/BENTON ESKEW"</f>
        <v>BOND#13748237/BENTON ESKEW</v>
      </c>
      <c r="G425" s="4">
        <v>350</v>
      </c>
      <c r="H425" t="str">
        <f>"BOND#13748237/BENTON ESKEW"</f>
        <v>BOND#13748237/BENTON ESKEW</v>
      </c>
    </row>
    <row r="426" spans="1:8" x14ac:dyDescent="0.25">
      <c r="A426" t="s">
        <v>88</v>
      </c>
      <c r="B426">
        <v>136011</v>
      </c>
      <c r="C426" s="4">
        <v>253.6</v>
      </c>
      <c r="D426" s="1">
        <v>44375</v>
      </c>
      <c r="E426" t="str">
        <f>"314381"</f>
        <v>314381</v>
      </c>
      <c r="F426" t="str">
        <f>"CUST#1320/PCT#3"</f>
        <v>CUST#1320/PCT#3</v>
      </c>
      <c r="G426" s="4">
        <v>253.6</v>
      </c>
      <c r="H426" t="str">
        <f>"CUST#1320/PCT#3"</f>
        <v>CUST#1320/PCT#3</v>
      </c>
    </row>
    <row r="427" spans="1:8" x14ac:dyDescent="0.25">
      <c r="A427" t="s">
        <v>89</v>
      </c>
      <c r="B427">
        <v>4567</v>
      </c>
      <c r="C427" s="4">
        <v>322.2</v>
      </c>
      <c r="D427" s="1">
        <v>44362</v>
      </c>
      <c r="E427" t="str">
        <f>"12457114610"</f>
        <v>12457114610</v>
      </c>
      <c r="F427" t="str">
        <f>"INV 12457114610"</f>
        <v>INV 12457114610</v>
      </c>
      <c r="G427" s="4">
        <v>322.2</v>
      </c>
      <c r="H427" t="str">
        <f>"INV 12457114610"</f>
        <v>INV 12457114610</v>
      </c>
    </row>
    <row r="428" spans="1:8" x14ac:dyDescent="0.25">
      <c r="A428" t="s">
        <v>90</v>
      </c>
      <c r="B428">
        <v>135840</v>
      </c>
      <c r="C428" s="4">
        <v>1296</v>
      </c>
      <c r="D428" s="1">
        <v>44361</v>
      </c>
      <c r="E428" t="str">
        <f>"22866431"</f>
        <v>22866431</v>
      </c>
      <c r="F428" t="str">
        <f>"ACCT#434304/PCT#4"</f>
        <v>ACCT#434304/PCT#4</v>
      </c>
      <c r="G428" s="4">
        <v>1296</v>
      </c>
      <c r="H428" t="str">
        <f>"ACCT#434304/PCT#4"</f>
        <v>ACCT#434304/PCT#4</v>
      </c>
    </row>
    <row r="429" spans="1:8" x14ac:dyDescent="0.25">
      <c r="A429" t="s">
        <v>91</v>
      </c>
      <c r="B429">
        <v>4672</v>
      </c>
      <c r="C429" s="4">
        <v>860.69</v>
      </c>
      <c r="D429" s="1">
        <v>44376</v>
      </c>
      <c r="E429" t="str">
        <f>"TG00701"</f>
        <v>TG00701</v>
      </c>
      <c r="F429" t="str">
        <f>"ACCT#063/PCT#4"</f>
        <v>ACCT#063/PCT#4</v>
      </c>
      <c r="G429" s="4">
        <v>860.69</v>
      </c>
      <c r="H429" t="str">
        <f>"ACCT#063/PCT#4"</f>
        <v>ACCT#063/PCT#4</v>
      </c>
    </row>
    <row r="430" spans="1:8" x14ac:dyDescent="0.25">
      <c r="A430" t="s">
        <v>92</v>
      </c>
      <c r="B430">
        <v>135841</v>
      </c>
      <c r="C430" s="4">
        <v>385</v>
      </c>
      <c r="D430" s="1">
        <v>44361</v>
      </c>
      <c r="E430" t="str">
        <f>"13220"</f>
        <v>13220</v>
      </c>
      <c r="F430" t="str">
        <f>"SERVICE"</f>
        <v>SERVICE</v>
      </c>
      <c r="G430" s="4">
        <v>75</v>
      </c>
      <c r="H430" t="str">
        <f>"SERVICE"</f>
        <v>SERVICE</v>
      </c>
    </row>
    <row r="431" spans="1:8" x14ac:dyDescent="0.25">
      <c r="E431" t="str">
        <f>"13310"</f>
        <v>13310</v>
      </c>
      <c r="F431" t="str">
        <f>"SERVICE"</f>
        <v>SERVICE</v>
      </c>
      <c r="G431" s="4">
        <v>225</v>
      </c>
      <c r="H431" t="str">
        <f>"SERVICE"</f>
        <v>SERVICE</v>
      </c>
    </row>
    <row r="432" spans="1:8" x14ac:dyDescent="0.25">
      <c r="E432" t="str">
        <f>"13697"</f>
        <v>13697</v>
      </c>
      <c r="F432" t="str">
        <f>"SERVICE"</f>
        <v>SERVICE</v>
      </c>
      <c r="G432" s="4">
        <v>85</v>
      </c>
      <c r="H432" t="str">
        <f>"SERVICE"</f>
        <v>SERVICE</v>
      </c>
    </row>
    <row r="433" spans="1:8" x14ac:dyDescent="0.25">
      <c r="A433" t="s">
        <v>92</v>
      </c>
      <c r="B433">
        <v>136012</v>
      </c>
      <c r="C433" s="4">
        <v>300</v>
      </c>
      <c r="D433" s="1">
        <v>44375</v>
      </c>
      <c r="E433" t="str">
        <f>"13022"</f>
        <v>13022</v>
      </c>
      <c r="F433" t="str">
        <f>"SERVICE"</f>
        <v>SERVICE</v>
      </c>
      <c r="G433" s="4">
        <v>75</v>
      </c>
      <c r="H433" t="str">
        <f>"SERVICE"</f>
        <v>SERVICE</v>
      </c>
    </row>
    <row r="434" spans="1:8" x14ac:dyDescent="0.25">
      <c r="E434" t="str">
        <f>"13221"</f>
        <v>13221</v>
      </c>
      <c r="F434" t="str">
        <f>"SERVICE"</f>
        <v>SERVICE</v>
      </c>
      <c r="G434" s="4">
        <v>225</v>
      </c>
      <c r="H434" t="str">
        <f>"SERVICE"</f>
        <v>SERVICE</v>
      </c>
    </row>
    <row r="435" spans="1:8" x14ac:dyDescent="0.25">
      <c r="A435" t="s">
        <v>93</v>
      </c>
      <c r="B435">
        <v>135842</v>
      </c>
      <c r="C435" s="4">
        <v>4790.43</v>
      </c>
      <c r="D435" s="1">
        <v>44361</v>
      </c>
      <c r="E435" t="str">
        <f>"24015"</f>
        <v>24015</v>
      </c>
      <c r="F435" t="str">
        <f>"2 (55 gallon drums)"</f>
        <v>2 (55 gallon drums)</v>
      </c>
      <c r="G435" s="4">
        <v>3200.98</v>
      </c>
      <c r="H435" t="str">
        <f>"2 (55 gallon drums)"</f>
        <v>2 (55 gallon drums)</v>
      </c>
    </row>
    <row r="436" spans="1:8" x14ac:dyDescent="0.25">
      <c r="E436" t="str">
        <f>""</f>
        <v/>
      </c>
      <c r="F436" t="str">
        <f>""</f>
        <v/>
      </c>
      <c r="H436" t="str">
        <f>"Shipping Cost"</f>
        <v>Shipping Cost</v>
      </c>
    </row>
    <row r="437" spans="1:8" x14ac:dyDescent="0.25">
      <c r="E437" t="str">
        <f>"UP74130"</f>
        <v>UP74130</v>
      </c>
      <c r="F437" t="str">
        <f t="shared" ref="F437:F444" si="13">"ACCT#68930-000/ANIMAL SVCS"</f>
        <v>ACCT#68930-000/ANIMAL SVCS</v>
      </c>
      <c r="G437" s="4">
        <v>11.38</v>
      </c>
      <c r="H437" t="str">
        <f t="shared" ref="H437:H444" si="14">"ACCT#68930-000/ANIMAL SVCS"</f>
        <v>ACCT#68930-000/ANIMAL SVCS</v>
      </c>
    </row>
    <row r="438" spans="1:8" x14ac:dyDescent="0.25">
      <c r="E438" t="str">
        <f>"UP76854"</f>
        <v>UP76854</v>
      </c>
      <c r="F438" t="str">
        <f t="shared" si="13"/>
        <v>ACCT#68930-000/ANIMAL SVCS</v>
      </c>
      <c r="G438" s="4">
        <v>249.97</v>
      </c>
      <c r="H438" t="str">
        <f t="shared" si="14"/>
        <v>ACCT#68930-000/ANIMAL SVCS</v>
      </c>
    </row>
    <row r="439" spans="1:8" x14ac:dyDescent="0.25">
      <c r="E439" t="str">
        <f>"UR23221"</f>
        <v>UR23221</v>
      </c>
      <c r="F439" t="str">
        <f t="shared" si="13"/>
        <v>ACCT#68930-000/ANIMAL SVCS</v>
      </c>
      <c r="G439" s="4">
        <v>254.84</v>
      </c>
      <c r="H439" t="str">
        <f t="shared" si="14"/>
        <v>ACCT#68930-000/ANIMAL SVCS</v>
      </c>
    </row>
    <row r="440" spans="1:8" x14ac:dyDescent="0.25">
      <c r="E440" t="str">
        <f>"UR74365"</f>
        <v>UR74365</v>
      </c>
      <c r="F440" t="str">
        <f t="shared" si="13"/>
        <v>ACCT#68930-000/ANIMAL SVCS</v>
      </c>
      <c r="G440" s="4">
        <v>38.06</v>
      </c>
      <c r="H440" t="str">
        <f t="shared" si="14"/>
        <v>ACCT#68930-000/ANIMAL SVCS</v>
      </c>
    </row>
    <row r="441" spans="1:8" x14ac:dyDescent="0.25">
      <c r="E441" t="str">
        <f>"UR74389"</f>
        <v>UR74389</v>
      </c>
      <c r="F441" t="str">
        <f t="shared" si="13"/>
        <v>ACCT#68930-000/ANIMAL SVCS</v>
      </c>
      <c r="G441" s="4">
        <v>324.72000000000003</v>
      </c>
      <c r="H441" t="str">
        <f t="shared" si="14"/>
        <v>ACCT#68930-000/ANIMAL SVCS</v>
      </c>
    </row>
    <row r="442" spans="1:8" x14ac:dyDescent="0.25">
      <c r="E442" t="str">
        <f>"UR87331"</f>
        <v>UR87331</v>
      </c>
      <c r="F442" t="str">
        <f t="shared" si="13"/>
        <v>ACCT#68930-000/ANIMAL SVCS</v>
      </c>
      <c r="G442" s="4">
        <v>351.17</v>
      </c>
      <c r="H442" t="str">
        <f t="shared" si="14"/>
        <v>ACCT#68930-000/ANIMAL SVCS</v>
      </c>
    </row>
    <row r="443" spans="1:8" x14ac:dyDescent="0.25">
      <c r="E443" t="str">
        <f>"US30067"</f>
        <v>US30067</v>
      </c>
      <c r="F443" t="str">
        <f t="shared" si="13"/>
        <v>ACCT#68930-000/ANIMAL SVCS</v>
      </c>
      <c r="G443" s="4">
        <v>169.41</v>
      </c>
      <c r="H443" t="str">
        <f t="shared" si="14"/>
        <v>ACCT#68930-000/ANIMAL SVCS</v>
      </c>
    </row>
    <row r="444" spans="1:8" x14ac:dyDescent="0.25">
      <c r="E444" t="str">
        <f>"US5915"</f>
        <v>US5915</v>
      </c>
      <c r="F444" t="str">
        <f t="shared" si="13"/>
        <v>ACCT#68930-000/ANIMAL SVCS</v>
      </c>
      <c r="G444" s="4">
        <v>189.9</v>
      </c>
      <c r="H444" t="str">
        <f t="shared" si="14"/>
        <v>ACCT#68930-000/ANIMAL SVCS</v>
      </c>
    </row>
    <row r="445" spans="1:8" x14ac:dyDescent="0.25">
      <c r="A445" t="s">
        <v>93</v>
      </c>
      <c r="B445">
        <v>136013</v>
      </c>
      <c r="C445" s="4">
        <v>1564.74</v>
      </c>
      <c r="D445" s="1">
        <v>44375</v>
      </c>
      <c r="E445" t="str">
        <f>"us87163"</f>
        <v>us87163</v>
      </c>
      <c r="F445" t="str">
        <f t="shared" ref="F445:F453" si="15">"ACCT#68930-000/ANIMAL SHELTER"</f>
        <v>ACCT#68930-000/ANIMAL SHELTER</v>
      </c>
      <c r="G445" s="4">
        <v>179.53</v>
      </c>
      <c r="H445" t="str">
        <f t="shared" ref="H445:H453" si="16">"ACCT#68930-000/ANIMAL SHELTER"</f>
        <v>ACCT#68930-000/ANIMAL SHELTER</v>
      </c>
    </row>
    <row r="446" spans="1:8" x14ac:dyDescent="0.25">
      <c r="E446" t="str">
        <f>"US95972"</f>
        <v>US95972</v>
      </c>
      <c r="F446" t="str">
        <f t="shared" si="15"/>
        <v>ACCT#68930-000/ANIMAL SHELTER</v>
      </c>
      <c r="G446" s="4">
        <v>453</v>
      </c>
      <c r="H446" t="str">
        <f t="shared" si="16"/>
        <v>ACCT#68930-000/ANIMAL SHELTER</v>
      </c>
    </row>
    <row r="447" spans="1:8" x14ac:dyDescent="0.25">
      <c r="E447" t="str">
        <f>"UT07251"</f>
        <v>UT07251</v>
      </c>
      <c r="F447" t="str">
        <f t="shared" si="15"/>
        <v>ACCT#68930-000/ANIMAL SHELTER</v>
      </c>
      <c r="G447" s="4">
        <v>215.25</v>
      </c>
      <c r="H447" t="str">
        <f t="shared" si="16"/>
        <v>ACCT#68930-000/ANIMAL SHELTER</v>
      </c>
    </row>
    <row r="448" spans="1:8" x14ac:dyDescent="0.25">
      <c r="E448" t="str">
        <f>"UT70924"</f>
        <v>UT70924</v>
      </c>
      <c r="F448" t="str">
        <f t="shared" si="15"/>
        <v>ACCT#68930-000/ANIMAL SHELTER</v>
      </c>
      <c r="G448" s="4">
        <v>213.38</v>
      </c>
      <c r="H448" t="str">
        <f t="shared" si="16"/>
        <v>ACCT#68930-000/ANIMAL SHELTER</v>
      </c>
    </row>
    <row r="449" spans="1:8" x14ac:dyDescent="0.25">
      <c r="E449" t="str">
        <f>"UT80057"</f>
        <v>UT80057</v>
      </c>
      <c r="F449" t="str">
        <f t="shared" si="15"/>
        <v>ACCT#68930-000/ANIMAL SHELTER</v>
      </c>
      <c r="G449" s="4">
        <v>141</v>
      </c>
      <c r="H449" t="str">
        <f t="shared" si="16"/>
        <v>ACCT#68930-000/ANIMAL SHELTER</v>
      </c>
    </row>
    <row r="450" spans="1:8" x14ac:dyDescent="0.25">
      <c r="E450" t="str">
        <f>"UU28330"</f>
        <v>UU28330</v>
      </c>
      <c r="F450" t="str">
        <f t="shared" si="15"/>
        <v>ACCT#68930-000/ANIMAL SHELTER</v>
      </c>
      <c r="G450" s="4">
        <v>131.6</v>
      </c>
      <c r="H450" t="str">
        <f t="shared" si="16"/>
        <v>ACCT#68930-000/ANIMAL SHELTER</v>
      </c>
    </row>
    <row r="451" spans="1:8" x14ac:dyDescent="0.25">
      <c r="E451" t="str">
        <f>"UU28807"</f>
        <v>UU28807</v>
      </c>
      <c r="F451" t="str">
        <f t="shared" si="15"/>
        <v>ACCT#68930-000/ANIMAL SHELTER</v>
      </c>
      <c r="G451" s="4">
        <v>103.48</v>
      </c>
      <c r="H451" t="str">
        <f t="shared" si="16"/>
        <v>ACCT#68930-000/ANIMAL SHELTER</v>
      </c>
    </row>
    <row r="452" spans="1:8" x14ac:dyDescent="0.25">
      <c r="E452" t="str">
        <f>"UU30199"</f>
        <v>UU30199</v>
      </c>
      <c r="F452" t="str">
        <f t="shared" si="15"/>
        <v>ACCT#68930-000/ANIMAL SHELTER</v>
      </c>
      <c r="G452" s="4">
        <v>20.88</v>
      </c>
      <c r="H452" t="str">
        <f t="shared" si="16"/>
        <v>ACCT#68930-000/ANIMAL SHELTER</v>
      </c>
    </row>
    <row r="453" spans="1:8" x14ac:dyDescent="0.25">
      <c r="E453" t="str">
        <f>"UU58077"</f>
        <v>UU58077</v>
      </c>
      <c r="F453" t="str">
        <f t="shared" si="15"/>
        <v>ACCT#68930-000/ANIMAL SHELTER</v>
      </c>
      <c r="G453" s="4">
        <v>106.62</v>
      </c>
      <c r="H453" t="str">
        <f t="shared" si="16"/>
        <v>ACCT#68930-000/ANIMAL SHELTER</v>
      </c>
    </row>
    <row r="454" spans="1:8" x14ac:dyDescent="0.25">
      <c r="A454" t="s">
        <v>94</v>
      </c>
      <c r="B454">
        <v>136014</v>
      </c>
      <c r="C454" s="4">
        <v>50</v>
      </c>
      <c r="D454" s="1">
        <v>44375</v>
      </c>
      <c r="E454" t="str">
        <f>"202106164011"</f>
        <v>202106164011</v>
      </c>
      <c r="F454" t="str">
        <f>"RESTITUTION/MARCUS MANZANARERS"</f>
        <v>RESTITUTION/MARCUS MANZANARERS</v>
      </c>
      <c r="G454" s="4">
        <v>50</v>
      </c>
      <c r="H454" t="str">
        <f>"RESTITUTION/MARCUS MANZANARERS"</f>
        <v>RESTITUTION/MARCUS MANZANARERS</v>
      </c>
    </row>
    <row r="455" spans="1:8" x14ac:dyDescent="0.25">
      <c r="A455" t="s">
        <v>95</v>
      </c>
      <c r="B455">
        <v>1102</v>
      </c>
      <c r="C455" s="4">
        <v>0</v>
      </c>
      <c r="D455" s="1">
        <v>44362</v>
      </c>
      <c r="E455" t="str">
        <f>"202106153949"</f>
        <v>202106153949</v>
      </c>
      <c r="F455" t="str">
        <f>"ACCT# 72-56313 / 06032021"</f>
        <v>ACCT# 72-56313 / 06032021</v>
      </c>
      <c r="G455" s="4">
        <v>-125.77</v>
      </c>
      <c r="H455" t="str">
        <f t="shared" ref="H455:H460" si="17">"ACCT# 72-56313 / 06032021"</f>
        <v>ACCT# 72-56313 / 06032021</v>
      </c>
    </row>
    <row r="456" spans="1:8" x14ac:dyDescent="0.25">
      <c r="E456" t="str">
        <f>""</f>
        <v/>
      </c>
      <c r="F456" t="str">
        <f>""</f>
        <v/>
      </c>
      <c r="H456" t="str">
        <f t="shared" si="17"/>
        <v>ACCT# 72-56313 / 06032021</v>
      </c>
    </row>
    <row r="457" spans="1:8" x14ac:dyDescent="0.25">
      <c r="E457" t="str">
        <f>""</f>
        <v/>
      </c>
      <c r="F457" t="str">
        <f>""</f>
        <v/>
      </c>
      <c r="H457" t="str">
        <f t="shared" si="17"/>
        <v>ACCT# 72-56313 / 06032021</v>
      </c>
    </row>
    <row r="458" spans="1:8" x14ac:dyDescent="0.25">
      <c r="E458" t="str">
        <f>""</f>
        <v/>
      </c>
      <c r="F458" t="str">
        <f>""</f>
        <v/>
      </c>
      <c r="H458" t="str">
        <f t="shared" si="17"/>
        <v>ACCT# 72-56313 / 06032021</v>
      </c>
    </row>
    <row r="459" spans="1:8" x14ac:dyDescent="0.25">
      <c r="E459" t="str">
        <f>""</f>
        <v/>
      </c>
      <c r="F459" t="str">
        <f>""</f>
        <v/>
      </c>
      <c r="H459" t="str">
        <f t="shared" si="17"/>
        <v>ACCT# 72-56313 / 06032021</v>
      </c>
    </row>
    <row r="460" spans="1:8" x14ac:dyDescent="0.25">
      <c r="E460" t="str">
        <f>""</f>
        <v/>
      </c>
      <c r="F460" t="str">
        <f>""</f>
        <v/>
      </c>
      <c r="H460" t="str">
        <f t="shared" si="17"/>
        <v>ACCT# 72-56313 / 06032021</v>
      </c>
    </row>
    <row r="461" spans="1:8" x14ac:dyDescent="0.25">
      <c r="E461" t="str">
        <f>"202106143919"</f>
        <v>202106143919</v>
      </c>
      <c r="F461" t="str">
        <f>"ACCT #72-56313 / 06/03/2021"</f>
        <v>ACCT #72-56313 / 06/03/2021</v>
      </c>
      <c r="G461" s="4">
        <v>125.77</v>
      </c>
      <c r="H461" t="str">
        <f t="shared" ref="H461:H466" si="18">"ACCT #72-56313 / 06/03/2021"</f>
        <v>ACCT #72-56313 / 06/03/2021</v>
      </c>
    </row>
    <row r="462" spans="1:8" x14ac:dyDescent="0.25">
      <c r="E462" t="str">
        <f>""</f>
        <v/>
      </c>
      <c r="F462" t="str">
        <f>""</f>
        <v/>
      </c>
      <c r="H462" t="str">
        <f t="shared" si="18"/>
        <v>ACCT #72-56313 / 06/03/2021</v>
      </c>
    </row>
    <row r="463" spans="1:8" x14ac:dyDescent="0.25">
      <c r="E463" t="str">
        <f>""</f>
        <v/>
      </c>
      <c r="F463" t="str">
        <f>""</f>
        <v/>
      </c>
      <c r="H463" t="str">
        <f t="shared" si="18"/>
        <v>ACCT #72-56313 / 06/03/2021</v>
      </c>
    </row>
    <row r="464" spans="1:8" x14ac:dyDescent="0.25">
      <c r="E464" t="str">
        <f>""</f>
        <v/>
      </c>
      <c r="F464" t="str">
        <f>""</f>
        <v/>
      </c>
      <c r="H464" t="str">
        <f t="shared" si="18"/>
        <v>ACCT #72-56313 / 06/03/2021</v>
      </c>
    </row>
    <row r="465" spans="1:8" x14ac:dyDescent="0.25">
      <c r="E465" t="str">
        <f>""</f>
        <v/>
      </c>
      <c r="F465" t="str">
        <f>""</f>
        <v/>
      </c>
      <c r="H465" t="str">
        <f t="shared" si="18"/>
        <v>ACCT #72-56313 / 06/03/2021</v>
      </c>
    </row>
    <row r="466" spans="1:8" x14ac:dyDescent="0.25">
      <c r="E466" t="str">
        <f>""</f>
        <v/>
      </c>
      <c r="F466" t="str">
        <f>""</f>
        <v/>
      </c>
      <c r="H466" t="str">
        <f t="shared" si="18"/>
        <v>ACCT #72-56313 / 06/03/2021</v>
      </c>
    </row>
    <row r="467" spans="1:8" x14ac:dyDescent="0.25">
      <c r="A467" t="s">
        <v>96</v>
      </c>
      <c r="B467">
        <v>4607</v>
      </c>
      <c r="C467" s="4">
        <v>535</v>
      </c>
      <c r="D467" s="1">
        <v>44362</v>
      </c>
      <c r="E467" t="str">
        <f>"088168"</f>
        <v>088168</v>
      </c>
      <c r="F467" t="str">
        <f>"CUST#BC001"</f>
        <v>CUST#BC001</v>
      </c>
      <c r="G467" s="4">
        <v>535</v>
      </c>
      <c r="H467" t="str">
        <f>"CUST#BC001"</f>
        <v>CUST#BC001</v>
      </c>
    </row>
    <row r="468" spans="1:8" x14ac:dyDescent="0.25">
      <c r="A468" t="s">
        <v>97</v>
      </c>
      <c r="B468">
        <v>135843</v>
      </c>
      <c r="C468" s="4">
        <v>80</v>
      </c>
      <c r="D468" s="1">
        <v>44361</v>
      </c>
      <c r="E468" t="str">
        <f>"13670"</f>
        <v>13670</v>
      </c>
      <c r="F468" t="str">
        <f>"SERVICE"</f>
        <v>SERVICE</v>
      </c>
      <c r="G468" s="4">
        <v>80</v>
      </c>
      <c r="H468" t="str">
        <f>"SERVICE"</f>
        <v>SERVICE</v>
      </c>
    </row>
    <row r="469" spans="1:8" x14ac:dyDescent="0.25">
      <c r="A469" t="s">
        <v>97</v>
      </c>
      <c r="B469">
        <v>136015</v>
      </c>
      <c r="C469" s="4">
        <v>160</v>
      </c>
      <c r="D469" s="1">
        <v>44375</v>
      </c>
      <c r="E469" t="str">
        <f>"13189"</f>
        <v>13189</v>
      </c>
      <c r="F469" t="str">
        <f>"SERVICE"</f>
        <v>SERVICE</v>
      </c>
      <c r="G469" s="4">
        <v>160</v>
      </c>
      <c r="H469" t="str">
        <f>"SERVICE"</f>
        <v>SERVICE</v>
      </c>
    </row>
    <row r="470" spans="1:8" x14ac:dyDescent="0.25">
      <c r="A470" t="s">
        <v>98</v>
      </c>
      <c r="B470">
        <v>135844</v>
      </c>
      <c r="C470" s="4">
        <v>97</v>
      </c>
      <c r="D470" s="1">
        <v>44361</v>
      </c>
      <c r="E470" t="str">
        <f>"202106033496"</f>
        <v>202106033496</v>
      </c>
      <c r="F470" t="str">
        <f>"REIMBURSE/DARRELL WILLIAMSON"</f>
        <v>REIMBURSE/DARRELL WILLIAMSON</v>
      </c>
      <c r="G470" s="4">
        <v>97</v>
      </c>
      <c r="H470" t="str">
        <f>"REIMBURSE/DARRELL WILLIAMSON"</f>
        <v>REIMBURSE/DARRELL WILLIAMSON</v>
      </c>
    </row>
    <row r="471" spans="1:8" x14ac:dyDescent="0.25">
      <c r="A471" t="s">
        <v>99</v>
      </c>
      <c r="B471">
        <v>4613</v>
      </c>
      <c r="C471" s="4">
        <v>2795</v>
      </c>
      <c r="D471" s="1">
        <v>44362</v>
      </c>
      <c r="E471" t="str">
        <f>"INV1235376"</f>
        <v>INV1235376</v>
      </c>
      <c r="F471" t="str">
        <f>"INV1235376"</f>
        <v>INV1235376</v>
      </c>
      <c r="G471" s="4">
        <v>2795</v>
      </c>
      <c r="H471" t="str">
        <f>"INV1235376"</f>
        <v>INV1235376</v>
      </c>
    </row>
    <row r="472" spans="1:8" x14ac:dyDescent="0.25">
      <c r="A472" t="s">
        <v>100</v>
      </c>
      <c r="B472">
        <v>4593</v>
      </c>
      <c r="C472" s="4">
        <v>200</v>
      </c>
      <c r="D472" s="1">
        <v>44362</v>
      </c>
      <c r="E472" t="str">
        <f>"202106083780"</f>
        <v>202106083780</v>
      </c>
      <c r="F472" t="str">
        <f>"LEGAL CONSULT SVCS/APRIL-MAY"</f>
        <v>LEGAL CONSULT SVCS/APRIL-MAY</v>
      </c>
      <c r="G472" s="4">
        <v>200</v>
      </c>
      <c r="H472" t="str">
        <f>"LEGAL CONSULT SVCS/APRIL-MAY"</f>
        <v>LEGAL CONSULT SVCS/APRIL-MAY</v>
      </c>
    </row>
    <row r="473" spans="1:8" x14ac:dyDescent="0.25">
      <c r="A473" t="s">
        <v>101</v>
      </c>
      <c r="B473">
        <v>4570</v>
      </c>
      <c r="C473" s="4">
        <v>1095</v>
      </c>
      <c r="D473" s="1">
        <v>44362</v>
      </c>
      <c r="E473" t="str">
        <f>"202106033503"</f>
        <v>202106033503</v>
      </c>
      <c r="F473" t="str">
        <f>"17-18754"</f>
        <v>17-18754</v>
      </c>
      <c r="G473" s="4">
        <v>82.5</v>
      </c>
      <c r="H473" t="str">
        <f>"17-18754"</f>
        <v>17-18754</v>
      </c>
    </row>
    <row r="474" spans="1:8" x14ac:dyDescent="0.25">
      <c r="E474" t="str">
        <f>"202106033504"</f>
        <v>202106033504</v>
      </c>
      <c r="F474" t="str">
        <f>"20-20056"</f>
        <v>20-20056</v>
      </c>
      <c r="G474" s="4">
        <v>120</v>
      </c>
      <c r="H474" t="str">
        <f>"20-20056"</f>
        <v>20-20056</v>
      </c>
    </row>
    <row r="475" spans="1:8" x14ac:dyDescent="0.25">
      <c r="E475" t="str">
        <f>"202106033505"</f>
        <v>202106033505</v>
      </c>
      <c r="F475" t="str">
        <f>"20-20130"</f>
        <v>20-20130</v>
      </c>
      <c r="G475" s="4">
        <v>397.5</v>
      </c>
      <c r="H475" t="str">
        <f>"20-20130"</f>
        <v>20-20130</v>
      </c>
    </row>
    <row r="476" spans="1:8" x14ac:dyDescent="0.25">
      <c r="E476" t="str">
        <f>"202106033506"</f>
        <v>202106033506</v>
      </c>
      <c r="F476" t="str">
        <f>"20-20394"</f>
        <v>20-20394</v>
      </c>
      <c r="G476" s="4">
        <v>67.5</v>
      </c>
      <c r="H476" t="str">
        <f>"20-20394"</f>
        <v>20-20394</v>
      </c>
    </row>
    <row r="477" spans="1:8" x14ac:dyDescent="0.25">
      <c r="E477" t="str">
        <f>"202106033507"</f>
        <v>202106033507</v>
      </c>
      <c r="F477" t="str">
        <f>"20-20426"</f>
        <v>20-20426</v>
      </c>
      <c r="G477" s="4">
        <v>75</v>
      </c>
      <c r="H477" t="str">
        <f>"20-20426"</f>
        <v>20-20426</v>
      </c>
    </row>
    <row r="478" spans="1:8" x14ac:dyDescent="0.25">
      <c r="E478" t="str">
        <f>"202106033508"</f>
        <v>202106033508</v>
      </c>
      <c r="F478" t="str">
        <f>"21-20562"</f>
        <v>21-20562</v>
      </c>
      <c r="G478" s="4">
        <v>120</v>
      </c>
      <c r="H478" t="str">
        <f>"21-20562"</f>
        <v>21-20562</v>
      </c>
    </row>
    <row r="479" spans="1:8" x14ac:dyDescent="0.25">
      <c r="E479" t="str">
        <f>"202106033509"</f>
        <v>202106033509</v>
      </c>
      <c r="F479" t="str">
        <f>"21-20642"</f>
        <v>21-20642</v>
      </c>
      <c r="G479" s="4">
        <v>67.5</v>
      </c>
      <c r="H479" t="str">
        <f>"21-20642"</f>
        <v>21-20642</v>
      </c>
    </row>
    <row r="480" spans="1:8" x14ac:dyDescent="0.25">
      <c r="E480" t="str">
        <f>"202106033510"</f>
        <v>202106033510</v>
      </c>
      <c r="F480" t="str">
        <f>"21-20702"</f>
        <v>21-20702</v>
      </c>
      <c r="G480" s="4">
        <v>165</v>
      </c>
      <c r="H480" t="str">
        <f>"21-20702"</f>
        <v>21-20702</v>
      </c>
    </row>
    <row r="481" spans="1:8" x14ac:dyDescent="0.25">
      <c r="A481" t="s">
        <v>102</v>
      </c>
      <c r="B481">
        <v>135845</v>
      </c>
      <c r="C481" s="4">
        <v>1684.49</v>
      </c>
      <c r="D481" s="1">
        <v>44361</v>
      </c>
      <c r="E481" t="str">
        <f>"2216399"</f>
        <v>2216399</v>
      </c>
      <c r="F481" t="str">
        <f>"INV 2216399  122002305  2"</f>
        <v>INV 2216399  122002305  2</v>
      </c>
      <c r="G481" s="4">
        <v>1684.49</v>
      </c>
      <c r="H481" t="str">
        <f>"INV 2216399"</f>
        <v>INV 2216399</v>
      </c>
    </row>
    <row r="482" spans="1:8" x14ac:dyDescent="0.25">
      <c r="E482" t="str">
        <f>""</f>
        <v/>
      </c>
      <c r="F482" t="str">
        <f>""</f>
        <v/>
      </c>
      <c r="H482" t="str">
        <f>"INV 122002305"</f>
        <v>INV 122002305</v>
      </c>
    </row>
    <row r="483" spans="1:8" x14ac:dyDescent="0.25">
      <c r="E483" t="str">
        <f>""</f>
        <v/>
      </c>
      <c r="F483" t="str">
        <f>""</f>
        <v/>
      </c>
      <c r="H483" t="str">
        <f>"INV 2222536"</f>
        <v>INV 2222536</v>
      </c>
    </row>
    <row r="484" spans="1:8" x14ac:dyDescent="0.25">
      <c r="A484" t="s">
        <v>102</v>
      </c>
      <c r="B484">
        <v>136016</v>
      </c>
      <c r="C484" s="4">
        <v>1209.98</v>
      </c>
      <c r="D484" s="1">
        <v>44375</v>
      </c>
      <c r="E484" t="str">
        <f>"2226979"</f>
        <v>2226979</v>
      </c>
      <c r="F484" t="str">
        <f>"INV 2226979  2231773"</f>
        <v>INV 2226979  2231773</v>
      </c>
      <c r="G484" s="4">
        <v>1209.98</v>
      </c>
      <c r="H484" t="str">
        <f>"INV 2226979"</f>
        <v>INV 2226979</v>
      </c>
    </row>
    <row r="485" spans="1:8" x14ac:dyDescent="0.25">
      <c r="E485" t="str">
        <f>""</f>
        <v/>
      </c>
      <c r="F485" t="str">
        <f>""</f>
        <v/>
      </c>
      <c r="H485" t="str">
        <f>"INV 2231773"</f>
        <v>INV 2231773</v>
      </c>
    </row>
    <row r="486" spans="1:8" x14ac:dyDescent="0.25">
      <c r="A486" t="s">
        <v>103</v>
      </c>
      <c r="B486">
        <v>135846</v>
      </c>
      <c r="C486" s="4">
        <v>3999.6</v>
      </c>
      <c r="D486" s="1">
        <v>44361</v>
      </c>
      <c r="E486" t="str">
        <f>"24263"</f>
        <v>24263</v>
      </c>
      <c r="F486" t="str">
        <f>"Monitors"</f>
        <v>Monitors</v>
      </c>
      <c r="G486" s="4">
        <v>3999.6</v>
      </c>
      <c r="H486" t="str">
        <f>"Monitors"</f>
        <v>Monitors</v>
      </c>
    </row>
    <row r="487" spans="1:8" x14ac:dyDescent="0.25">
      <c r="E487" t="str">
        <f>""</f>
        <v/>
      </c>
      <c r="F487" t="str">
        <f>""</f>
        <v/>
      </c>
      <c r="H487" t="str">
        <f>"Premier Discount"</f>
        <v>Premier Discount</v>
      </c>
    </row>
    <row r="488" spans="1:8" x14ac:dyDescent="0.25">
      <c r="A488" t="s">
        <v>103</v>
      </c>
      <c r="B488">
        <v>136017</v>
      </c>
      <c r="C488" s="4">
        <v>248.96</v>
      </c>
      <c r="D488" s="1">
        <v>44375</v>
      </c>
      <c r="E488" t="str">
        <f>"202106224145"</f>
        <v>202106224145</v>
      </c>
      <c r="F488" t="str">
        <f>"Warranty Renewal XPS 13"</f>
        <v>Warranty Renewal XPS 13</v>
      </c>
      <c r="G488" s="4">
        <v>48.98</v>
      </c>
      <c r="H488" t="str">
        <f>"Warranty Renewal XPS 13"</f>
        <v>Warranty Renewal XPS 13</v>
      </c>
    </row>
    <row r="489" spans="1:8" x14ac:dyDescent="0.25">
      <c r="E489" t="str">
        <f>"24540"</f>
        <v>24540</v>
      </c>
      <c r="F489" t="str">
        <f>"Quote#3000086756370"</f>
        <v>Quote#3000086756370</v>
      </c>
      <c r="G489" s="4">
        <v>199.98</v>
      </c>
      <c r="H489" t="str">
        <f>"Quote#3000086756370"</f>
        <v>Quote#3000086756370</v>
      </c>
    </row>
    <row r="490" spans="1:8" x14ac:dyDescent="0.25">
      <c r="A490" t="s">
        <v>104</v>
      </c>
      <c r="B490">
        <v>4595</v>
      </c>
      <c r="C490" s="4">
        <v>2303.75</v>
      </c>
      <c r="D490" s="1">
        <v>44362</v>
      </c>
      <c r="E490" t="str">
        <f>"BATX017337"</f>
        <v>BATX017337</v>
      </c>
      <c r="F490" t="str">
        <f>"INV BATX017337"</f>
        <v>INV BATX017337</v>
      </c>
      <c r="G490" s="4">
        <v>2303.75</v>
      </c>
      <c r="H490" t="str">
        <f>"INV BATX017337"</f>
        <v>INV BATX017337</v>
      </c>
    </row>
    <row r="491" spans="1:8" x14ac:dyDescent="0.25">
      <c r="A491" t="s">
        <v>105</v>
      </c>
      <c r="B491">
        <v>135847</v>
      </c>
      <c r="C491" s="4">
        <v>2000</v>
      </c>
      <c r="D491" s="1">
        <v>44361</v>
      </c>
      <c r="E491" t="str">
        <f>"202105263436"</f>
        <v>202105263436</v>
      </c>
      <c r="F491" t="str">
        <f>"DCPC-15-016/15-5-00746"</f>
        <v>DCPC-15-016/15-5-00746</v>
      </c>
      <c r="G491" s="4">
        <v>2000</v>
      </c>
      <c r="H491" t="str">
        <f>"DCPC-15-016/15-5-00746"</f>
        <v>DCPC-15-016/15-5-00746</v>
      </c>
    </row>
    <row r="492" spans="1:8" x14ac:dyDescent="0.25">
      <c r="A492" t="s">
        <v>106</v>
      </c>
      <c r="B492">
        <v>1117</v>
      </c>
      <c r="C492" s="4">
        <v>0</v>
      </c>
      <c r="D492" s="1">
        <v>44362</v>
      </c>
      <c r="E492" t="str">
        <f>"202106153950"</f>
        <v>202106153950</v>
      </c>
      <c r="F492" t="str">
        <f>"ACCT# 72-56313 / 06032021"</f>
        <v>ACCT# 72-56313 / 06032021</v>
      </c>
      <c r="G492" s="4">
        <v>-663.2</v>
      </c>
      <c r="H492" t="str">
        <f>"ACCT# 72-56313 / 06032021"</f>
        <v>ACCT# 72-56313 / 06032021</v>
      </c>
    </row>
    <row r="493" spans="1:8" x14ac:dyDescent="0.25">
      <c r="E493" t="str">
        <f>"202106143934"</f>
        <v>202106143934</v>
      </c>
      <c r="F493" t="str">
        <f>"ACCT #72-56313 / 06/03/2021"</f>
        <v>ACCT #72-56313 / 06/03/2021</v>
      </c>
      <c r="G493" s="4">
        <v>663.2</v>
      </c>
      <c r="H493" t="str">
        <f>"ACCT #72-56313 / 06/03/2021"</f>
        <v>ACCT #72-56313 / 06/03/2021</v>
      </c>
    </row>
    <row r="494" spans="1:8" x14ac:dyDescent="0.25">
      <c r="A494" t="s">
        <v>106</v>
      </c>
      <c r="B494">
        <v>136018</v>
      </c>
      <c r="C494" s="4">
        <v>220</v>
      </c>
      <c r="D494" s="1">
        <v>44375</v>
      </c>
      <c r="E494" t="str">
        <f>"27844"</f>
        <v>27844</v>
      </c>
      <c r="F494" t="str">
        <f>"DPS OFFICE KEYS"</f>
        <v>DPS OFFICE KEYS</v>
      </c>
      <c r="G494" s="4">
        <v>200</v>
      </c>
      <c r="H494" t="str">
        <f>"DPS OFFICE KEYS"</f>
        <v>DPS OFFICE KEYS</v>
      </c>
    </row>
    <row r="495" spans="1:8" x14ac:dyDescent="0.25">
      <c r="E495" t="str">
        <f>"28039"</f>
        <v>28039</v>
      </c>
      <c r="F495" t="str">
        <f>"INV 28039"</f>
        <v>INV 28039</v>
      </c>
      <c r="G495" s="4">
        <v>20</v>
      </c>
      <c r="H495" t="str">
        <f>"INV 28039"</f>
        <v>INV 28039</v>
      </c>
    </row>
    <row r="496" spans="1:8" x14ac:dyDescent="0.25">
      <c r="A496" t="s">
        <v>107</v>
      </c>
      <c r="B496">
        <v>135848</v>
      </c>
      <c r="C496" s="4">
        <v>20482.490000000002</v>
      </c>
      <c r="D496" s="1">
        <v>44361</v>
      </c>
      <c r="E496" t="str">
        <f>"21041106N"</f>
        <v>21041106N</v>
      </c>
      <c r="F496" t="str">
        <f>"CUST CODE:PKE5000/APRIL 2021"</f>
        <v>CUST CODE:PKE5000/APRIL 2021</v>
      </c>
      <c r="G496" s="4">
        <v>20482.490000000002</v>
      </c>
      <c r="H496" t="str">
        <f>"CUST CODE:PKE5000/APRIL 2021"</f>
        <v>CUST CODE:PKE5000/APRIL 2021</v>
      </c>
    </row>
    <row r="497" spans="1:8" x14ac:dyDescent="0.25">
      <c r="E497" t="str">
        <f>""</f>
        <v/>
      </c>
      <c r="F497" t="str">
        <f>""</f>
        <v/>
      </c>
      <c r="H497" t="str">
        <f>"CUST CODE:PKE5000/APRIL 2021"</f>
        <v>CUST CODE:PKE5000/APRIL 2021</v>
      </c>
    </row>
    <row r="498" spans="1:8" x14ac:dyDescent="0.25">
      <c r="A498" t="s">
        <v>107</v>
      </c>
      <c r="B498">
        <v>136019</v>
      </c>
      <c r="C498" s="4">
        <v>20482.439999999999</v>
      </c>
      <c r="D498" s="1">
        <v>44375</v>
      </c>
      <c r="E498" t="str">
        <f>"202106224115"</f>
        <v>202106224115</v>
      </c>
      <c r="F498" t="str">
        <f>"CUST#PKE5000"</f>
        <v>CUST#PKE5000</v>
      </c>
      <c r="G498" s="4">
        <v>20482.439999999999</v>
      </c>
      <c r="H498" t="str">
        <f>"CUST#PKE5000"</f>
        <v>CUST#PKE5000</v>
      </c>
    </row>
    <row r="499" spans="1:8" x14ac:dyDescent="0.25">
      <c r="E499" t="str">
        <f>""</f>
        <v/>
      </c>
      <c r="F499" t="str">
        <f>""</f>
        <v/>
      </c>
      <c r="H499" t="str">
        <f>"CUST#PKE5000"</f>
        <v>CUST#PKE5000</v>
      </c>
    </row>
    <row r="500" spans="1:8" x14ac:dyDescent="0.25">
      <c r="A500" t="s">
        <v>108</v>
      </c>
      <c r="B500">
        <v>135984</v>
      </c>
      <c r="C500" s="4">
        <v>749.4</v>
      </c>
      <c r="D500" s="1">
        <v>44371</v>
      </c>
      <c r="E500" t="str">
        <f>"202106234170"</f>
        <v>202106234170</v>
      </c>
      <c r="F500" t="str">
        <f>"ACCT 405900029213 / 0701-0731"</f>
        <v>ACCT 405900029213 / 0701-0731</v>
      </c>
      <c r="G500" s="4">
        <v>374.7</v>
      </c>
      <c r="H500" t="str">
        <f>"DONNIE STARK"</f>
        <v>DONNIE STARK</v>
      </c>
    </row>
    <row r="501" spans="1:8" x14ac:dyDescent="0.25">
      <c r="E501" t="str">
        <f>"202106234171"</f>
        <v>202106234171</v>
      </c>
      <c r="F501" t="str">
        <f>"ACCT#405900028789 / 0701-0731"</f>
        <v>ACCT#405900028789 / 0701-0731</v>
      </c>
      <c r="G501" s="4">
        <v>187.35</v>
      </c>
      <c r="H501" t="str">
        <f>"DONNIE STARK"</f>
        <v>DONNIE STARK</v>
      </c>
    </row>
    <row r="502" spans="1:8" x14ac:dyDescent="0.25">
      <c r="E502" t="str">
        <f>"202106234172"</f>
        <v>202106234172</v>
      </c>
      <c r="F502" t="str">
        <f>"ACCT#405900029225 / 0701-0731"</f>
        <v>ACCT#405900029225 / 0701-0731</v>
      </c>
      <c r="G502" s="4">
        <v>187.35</v>
      </c>
      <c r="H502" t="str">
        <f>"ACCT#405900029225 / 0701-0731"</f>
        <v>ACCT#405900029225 / 0701-0731</v>
      </c>
    </row>
    <row r="503" spans="1:8" x14ac:dyDescent="0.25">
      <c r="A503" t="s">
        <v>109</v>
      </c>
      <c r="B503">
        <v>136020</v>
      </c>
      <c r="C503" s="4">
        <v>408.5</v>
      </c>
      <c r="D503" s="1">
        <v>44375</v>
      </c>
      <c r="E503" t="str">
        <f>"sminv280236"</f>
        <v>sminv280236</v>
      </c>
      <c r="F503" t="str">
        <f>"BILL#DSC004779"</f>
        <v>BILL#DSC004779</v>
      </c>
      <c r="G503" s="4">
        <v>408.5</v>
      </c>
      <c r="H503" t="str">
        <f>"BILL#DSC004779"</f>
        <v>BILL#DSC004779</v>
      </c>
    </row>
    <row r="504" spans="1:8" x14ac:dyDescent="0.25">
      <c r="A504" t="s">
        <v>110</v>
      </c>
      <c r="B504">
        <v>136021</v>
      </c>
      <c r="C504" s="4">
        <v>50</v>
      </c>
      <c r="D504" s="1">
        <v>44375</v>
      </c>
      <c r="E504" t="str">
        <f>"202106164010"</f>
        <v>202106164010</v>
      </c>
      <c r="F504" t="str">
        <f>"RESTITUTION/MARCUS MANZANARES"</f>
        <v>RESTITUTION/MARCUS MANZANARES</v>
      </c>
      <c r="G504" s="4">
        <v>50</v>
      </c>
      <c r="H504" t="str">
        <f>"RESTITUTION/MARCUS MANZANARES"</f>
        <v>RESTITUTION/MARCUS MANZANARES</v>
      </c>
    </row>
    <row r="505" spans="1:8" x14ac:dyDescent="0.25">
      <c r="A505" t="s">
        <v>111</v>
      </c>
      <c r="B505">
        <v>4581</v>
      </c>
      <c r="C505" s="4">
        <v>4960.8100000000004</v>
      </c>
      <c r="D505" s="1">
        <v>44362</v>
      </c>
      <c r="E505" t="str">
        <f>"29947D"</f>
        <v>29947D</v>
      </c>
      <c r="F505" t="str">
        <f>"INV 29947D"</f>
        <v>INV 29947D</v>
      </c>
      <c r="G505" s="4">
        <v>4960.8100000000004</v>
      </c>
      <c r="H505" t="str">
        <f>"INV 29947D"</f>
        <v>INV 29947D</v>
      </c>
    </row>
    <row r="506" spans="1:8" x14ac:dyDescent="0.25">
      <c r="A506" t="s">
        <v>111</v>
      </c>
      <c r="B506">
        <v>4662</v>
      </c>
      <c r="C506" s="4">
        <v>2089.98</v>
      </c>
      <c r="D506" s="1">
        <v>44376</v>
      </c>
      <c r="E506" t="str">
        <f>"29972B"</f>
        <v>29972B</v>
      </c>
      <c r="F506" t="str">
        <f>"INV 29972B"</f>
        <v>INV 29972B</v>
      </c>
      <c r="G506" s="4">
        <v>2089.98</v>
      </c>
      <c r="H506" t="str">
        <f>"INV 29972B"</f>
        <v>INV 29972B</v>
      </c>
    </row>
    <row r="507" spans="1:8" x14ac:dyDescent="0.25">
      <c r="A507" t="s">
        <v>112</v>
      </c>
      <c r="B507">
        <v>4625</v>
      </c>
      <c r="C507" s="4">
        <v>4331.25</v>
      </c>
      <c r="D507" s="1">
        <v>44362</v>
      </c>
      <c r="E507" t="str">
        <f>"202105253412"</f>
        <v>202105253412</v>
      </c>
      <c r="F507" t="str">
        <f>"JP105112019F"</f>
        <v>JP105112019F</v>
      </c>
      <c r="G507" s="4">
        <v>625</v>
      </c>
      <c r="H507" t="str">
        <f>"JP105112019F"</f>
        <v>JP105112019F</v>
      </c>
    </row>
    <row r="508" spans="1:8" x14ac:dyDescent="0.25">
      <c r="E508" t="str">
        <f>"202105263435"</f>
        <v>202105263435</v>
      </c>
      <c r="F508" t="str">
        <f>"02-1019-6"</f>
        <v>02-1019-6</v>
      </c>
      <c r="G508" s="4">
        <v>250</v>
      </c>
      <c r="H508" t="str">
        <f>"02-1019-6"</f>
        <v>02-1019-6</v>
      </c>
    </row>
    <row r="509" spans="1:8" x14ac:dyDescent="0.25">
      <c r="E509" t="str">
        <f>"202106043682"</f>
        <v>202106043682</v>
      </c>
      <c r="F509" t="str">
        <f>"17-391"</f>
        <v>17-391</v>
      </c>
      <c r="G509" s="4">
        <v>400</v>
      </c>
      <c r="H509" t="str">
        <f>"17-391"</f>
        <v>17-391</v>
      </c>
    </row>
    <row r="510" spans="1:8" x14ac:dyDescent="0.25">
      <c r="E510" t="str">
        <f>"202106043683"</f>
        <v>202106043683</v>
      </c>
      <c r="F510" t="str">
        <f>"16533"</f>
        <v>16533</v>
      </c>
      <c r="G510" s="4">
        <v>600</v>
      </c>
      <c r="H510" t="str">
        <f>"16533"</f>
        <v>16533</v>
      </c>
    </row>
    <row r="511" spans="1:8" x14ac:dyDescent="0.25">
      <c r="E511" t="str">
        <f>"202106043684"</f>
        <v>202106043684</v>
      </c>
      <c r="F511" t="str">
        <f>"14889/15580"</f>
        <v>14889/15580</v>
      </c>
      <c r="G511" s="4">
        <v>850</v>
      </c>
      <c r="H511" t="str">
        <f>"14889/15580"</f>
        <v>14889/15580</v>
      </c>
    </row>
    <row r="512" spans="1:8" x14ac:dyDescent="0.25">
      <c r="E512" t="str">
        <f>"202106073724"</f>
        <v>202106073724</v>
      </c>
      <c r="F512" t="str">
        <f>"57667"</f>
        <v>57667</v>
      </c>
      <c r="G512" s="4">
        <v>250</v>
      </c>
      <c r="H512" t="str">
        <f>"57667"</f>
        <v>57667</v>
      </c>
    </row>
    <row r="513" spans="1:8" x14ac:dyDescent="0.25">
      <c r="E513" t="str">
        <f>"202106073725"</f>
        <v>202106073725</v>
      </c>
      <c r="F513" t="str">
        <f>"56936"</f>
        <v>56936</v>
      </c>
      <c r="G513" s="4">
        <v>250</v>
      </c>
      <c r="H513" t="str">
        <f>"56936"</f>
        <v>56936</v>
      </c>
    </row>
    <row r="514" spans="1:8" x14ac:dyDescent="0.25">
      <c r="E514" t="str">
        <f>"202106073726"</f>
        <v>202106073726</v>
      </c>
      <c r="F514" t="str">
        <f>"19-19963"</f>
        <v>19-19963</v>
      </c>
      <c r="G514" s="4">
        <v>225</v>
      </c>
      <c r="H514" t="str">
        <f>"19-19963"</f>
        <v>19-19963</v>
      </c>
    </row>
    <row r="515" spans="1:8" x14ac:dyDescent="0.25">
      <c r="E515" t="str">
        <f>"202106073727"</f>
        <v>202106073727</v>
      </c>
      <c r="F515" t="str">
        <f>"20-20060"</f>
        <v>20-20060</v>
      </c>
      <c r="G515" s="4">
        <v>450</v>
      </c>
      <c r="H515" t="str">
        <f>"20-20060"</f>
        <v>20-20060</v>
      </c>
    </row>
    <row r="516" spans="1:8" x14ac:dyDescent="0.25">
      <c r="E516" t="str">
        <f>"202106073728"</f>
        <v>202106073728</v>
      </c>
      <c r="F516" t="str">
        <f>"19-19567"</f>
        <v>19-19567</v>
      </c>
      <c r="G516" s="4">
        <v>431.25</v>
      </c>
      <c r="H516" t="str">
        <f>"19-19567"</f>
        <v>19-19567</v>
      </c>
    </row>
    <row r="517" spans="1:8" x14ac:dyDescent="0.25">
      <c r="A517" t="s">
        <v>112</v>
      </c>
      <c r="B517">
        <v>4696</v>
      </c>
      <c r="C517" s="4">
        <v>2875</v>
      </c>
      <c r="D517" s="1">
        <v>44376</v>
      </c>
      <c r="E517" t="str">
        <f>"202106164040"</f>
        <v>202106164040</v>
      </c>
      <c r="F517" t="str">
        <f>"57199"</f>
        <v>57199</v>
      </c>
      <c r="G517" s="4">
        <v>250</v>
      </c>
      <c r="H517" t="str">
        <f>"57199"</f>
        <v>57199</v>
      </c>
    </row>
    <row r="518" spans="1:8" x14ac:dyDescent="0.25">
      <c r="E518" t="str">
        <f>"202106164041"</f>
        <v>202106164041</v>
      </c>
      <c r="F518" t="str">
        <f>"57695"</f>
        <v>57695</v>
      </c>
      <c r="G518" s="4">
        <v>250</v>
      </c>
      <c r="H518" t="str">
        <f>"57695"</f>
        <v>57695</v>
      </c>
    </row>
    <row r="519" spans="1:8" x14ac:dyDescent="0.25">
      <c r="E519" t="str">
        <f>"202106164042"</f>
        <v>202106164042</v>
      </c>
      <c r="F519" t="str">
        <f>"57883"</f>
        <v>57883</v>
      </c>
      <c r="G519" s="4">
        <v>250</v>
      </c>
      <c r="H519" t="str">
        <f>"57883"</f>
        <v>57883</v>
      </c>
    </row>
    <row r="520" spans="1:8" x14ac:dyDescent="0.25">
      <c r="E520" t="str">
        <f>"202106174081"</f>
        <v>202106174081</v>
      </c>
      <c r="F520" t="str">
        <f>"17291"</f>
        <v>17291</v>
      </c>
      <c r="G520" s="4">
        <v>800</v>
      </c>
      <c r="H520" t="str">
        <f>"17291"</f>
        <v>17291</v>
      </c>
    </row>
    <row r="521" spans="1:8" x14ac:dyDescent="0.25">
      <c r="E521" t="str">
        <f>"202106174082"</f>
        <v>202106174082</v>
      </c>
      <c r="F521" t="str">
        <f>"423-7835"</f>
        <v>423-7835</v>
      </c>
      <c r="G521" s="4">
        <v>100</v>
      </c>
      <c r="H521" t="str">
        <f>"423-7835"</f>
        <v>423-7835</v>
      </c>
    </row>
    <row r="522" spans="1:8" x14ac:dyDescent="0.25">
      <c r="E522" t="str">
        <f>"202106174083"</f>
        <v>202106174083</v>
      </c>
      <c r="F522" t="str">
        <f>"17190"</f>
        <v>17190</v>
      </c>
      <c r="G522" s="4">
        <v>600</v>
      </c>
      <c r="H522" t="str">
        <f>"17190"</f>
        <v>17190</v>
      </c>
    </row>
    <row r="523" spans="1:8" x14ac:dyDescent="0.25">
      <c r="E523" t="str">
        <f>"202106174090"</f>
        <v>202106174090</v>
      </c>
      <c r="F523" t="str">
        <f>"301162021A"</f>
        <v>301162021A</v>
      </c>
      <c r="G523" s="4">
        <v>250</v>
      </c>
      <c r="H523" t="str">
        <f>"301162021A"</f>
        <v>301162021A</v>
      </c>
    </row>
    <row r="524" spans="1:8" x14ac:dyDescent="0.25">
      <c r="E524" t="str">
        <f>"202106234158"</f>
        <v>202106234158</v>
      </c>
      <c r="F524" t="str">
        <f>"21-20616"</f>
        <v>21-20616</v>
      </c>
      <c r="G524" s="4">
        <v>112.5</v>
      </c>
      <c r="H524" t="str">
        <f>"21-20616"</f>
        <v>21-20616</v>
      </c>
    </row>
    <row r="525" spans="1:8" x14ac:dyDescent="0.25">
      <c r="E525" t="str">
        <f>"202106234159"</f>
        <v>202106234159</v>
      </c>
      <c r="F525" t="str">
        <f>"21-20664"</f>
        <v>21-20664</v>
      </c>
      <c r="G525" s="4">
        <v>262.5</v>
      </c>
      <c r="H525" t="str">
        <f>"21-20664"</f>
        <v>21-20664</v>
      </c>
    </row>
    <row r="526" spans="1:8" x14ac:dyDescent="0.25">
      <c r="A526" t="s">
        <v>113</v>
      </c>
      <c r="B526">
        <v>135849</v>
      </c>
      <c r="C526" s="4">
        <v>1320</v>
      </c>
      <c r="D526" s="1">
        <v>44361</v>
      </c>
      <c r="E526" t="str">
        <f>"031"</f>
        <v>031</v>
      </c>
      <c r="F526" t="str">
        <f>"HAULING/PCT#3"</f>
        <v>HAULING/PCT#3</v>
      </c>
      <c r="G526" s="4">
        <v>1320</v>
      </c>
      <c r="H526" t="str">
        <f>"HAULING/PCT#3"</f>
        <v>HAULING/PCT#3</v>
      </c>
    </row>
    <row r="527" spans="1:8" x14ac:dyDescent="0.25">
      <c r="A527" t="s">
        <v>114</v>
      </c>
      <c r="B527">
        <v>4597</v>
      </c>
      <c r="C527" s="4">
        <v>821.69</v>
      </c>
      <c r="D527" s="1">
        <v>44362</v>
      </c>
      <c r="E527" t="str">
        <f>"6261654736"</f>
        <v>6261654736</v>
      </c>
      <c r="F527" t="str">
        <f>"INV 6261654136  626162631"</f>
        <v>INV 6261654136  626162631</v>
      </c>
      <c r="G527" s="4">
        <v>821.69</v>
      </c>
      <c r="H527" t="str">
        <f>"INV 6261654136"</f>
        <v>INV 6261654136</v>
      </c>
    </row>
    <row r="528" spans="1:8" x14ac:dyDescent="0.25">
      <c r="E528" t="str">
        <f>""</f>
        <v/>
      </c>
      <c r="F528" t="str">
        <f>""</f>
        <v/>
      </c>
      <c r="H528" t="str">
        <f>"INV 6261626318"</f>
        <v>INV 6261626318</v>
      </c>
    </row>
    <row r="529" spans="1:8" x14ac:dyDescent="0.25">
      <c r="A529" t="s">
        <v>114</v>
      </c>
      <c r="B529">
        <v>4675</v>
      </c>
      <c r="C529" s="4">
        <v>7790.16</v>
      </c>
      <c r="D529" s="1">
        <v>44376</v>
      </c>
      <c r="E529" t="str">
        <f>"6261839559"</f>
        <v>6261839559</v>
      </c>
      <c r="F529" t="str">
        <f>"INV 6261839559"</f>
        <v>INV 6261839559</v>
      </c>
      <c r="G529" s="4">
        <v>4837.92</v>
      </c>
      <c r="H529" t="str">
        <f>"INV 6261839559"</f>
        <v>INV 6261839559</v>
      </c>
    </row>
    <row r="530" spans="1:8" x14ac:dyDescent="0.25">
      <c r="E530" t="str">
        <f>"6261886750"</f>
        <v>6261886750</v>
      </c>
      <c r="F530" t="str">
        <f>"INV 6261886750"</f>
        <v>INV 6261886750</v>
      </c>
      <c r="G530" s="4">
        <v>2080</v>
      </c>
      <c r="H530" t="str">
        <f>"INV 6261886750"</f>
        <v>INV 6261886750</v>
      </c>
    </row>
    <row r="531" spans="1:8" x14ac:dyDescent="0.25">
      <c r="E531" t="str">
        <f>"6262028383"</f>
        <v>6262028383</v>
      </c>
      <c r="F531" t="str">
        <f>"INV 6262028383"</f>
        <v>INV 6262028383</v>
      </c>
      <c r="G531" s="4">
        <v>872.24</v>
      </c>
      <c r="H531" t="str">
        <f>"INV 6262028383"</f>
        <v>INV 6262028383</v>
      </c>
    </row>
    <row r="532" spans="1:8" x14ac:dyDescent="0.25">
      <c r="A532" t="s">
        <v>115</v>
      </c>
      <c r="B532">
        <v>135850</v>
      </c>
      <c r="C532" s="4">
        <v>353.11</v>
      </c>
      <c r="D532" s="1">
        <v>44361</v>
      </c>
      <c r="E532" t="str">
        <f>"6000457059"</f>
        <v>6000457059</v>
      </c>
      <c r="F532" t="str">
        <f>"ACCT#3422853/ANIMAL SHELTER"</f>
        <v>ACCT#3422853/ANIMAL SHELTER</v>
      </c>
      <c r="G532" s="4">
        <v>353.11</v>
      </c>
      <c r="H532" t="str">
        <f>"ACCT#3422853/ANIMAL SHELTER"</f>
        <v>ACCT#3422853/ANIMAL SHELTER</v>
      </c>
    </row>
    <row r="533" spans="1:8" x14ac:dyDescent="0.25">
      <c r="A533" t="s">
        <v>116</v>
      </c>
      <c r="B533">
        <v>136022</v>
      </c>
      <c r="C533" s="4">
        <v>300</v>
      </c>
      <c r="D533" s="1">
        <v>44375</v>
      </c>
      <c r="E533" t="str">
        <f>"215563001"</f>
        <v>215563001</v>
      </c>
      <c r="F533" t="str">
        <f>"ID#5563/MEMBERSHIP/K. MILES"</f>
        <v>ID#5563/MEMBERSHIP/K. MILES</v>
      </c>
      <c r="G533" s="4">
        <v>300</v>
      </c>
      <c r="H533" t="str">
        <f>"ID#5563/MEMBERSHIP/K. MILES"</f>
        <v>ID#5563/MEMBERSHIP/K. MILES</v>
      </c>
    </row>
    <row r="534" spans="1:8" x14ac:dyDescent="0.25">
      <c r="A534" t="s">
        <v>117</v>
      </c>
      <c r="B534">
        <v>135851</v>
      </c>
      <c r="C534" s="4">
        <v>1772.2</v>
      </c>
      <c r="D534" s="1">
        <v>44361</v>
      </c>
      <c r="E534" t="str">
        <f>"1182918"</f>
        <v>1182918</v>
      </c>
      <c r="F534" t="str">
        <f>"ACCT#B06875"</f>
        <v>ACCT#B06875</v>
      </c>
      <c r="G534" s="4">
        <v>83.2</v>
      </c>
      <c r="H534" t="str">
        <f>"ACCT#B06875"</f>
        <v>ACCT#B06875</v>
      </c>
    </row>
    <row r="535" spans="1:8" x14ac:dyDescent="0.25">
      <c r="E535" t="str">
        <f>"202105263440"</f>
        <v>202105263440</v>
      </c>
      <c r="F535" t="str">
        <f>"EMS SYSTEM UPGRADE/ELECTIONS"</f>
        <v>EMS SYSTEM UPGRADE/ELECTIONS</v>
      </c>
      <c r="G535" s="4">
        <v>1689</v>
      </c>
      <c r="H535" t="str">
        <f>"EMS SYSTEM UPGRADE/ELECTIONS"</f>
        <v>EMS SYSTEM UPGRADE/ELECTIONS</v>
      </c>
    </row>
    <row r="536" spans="1:8" x14ac:dyDescent="0.25">
      <c r="A536" t="s">
        <v>118</v>
      </c>
      <c r="B536">
        <v>4596</v>
      </c>
      <c r="C536" s="4">
        <v>1805</v>
      </c>
      <c r="D536" s="1">
        <v>44362</v>
      </c>
      <c r="E536" t="str">
        <f>"202106073763"</f>
        <v>202106073763</v>
      </c>
      <c r="F536" t="str">
        <f>"RFB 21BCP04H"</f>
        <v>RFB 21BCP04H</v>
      </c>
      <c r="G536" s="4">
        <v>190</v>
      </c>
      <c r="H536" t="str">
        <f>"RFB 21BCP04H"</f>
        <v>RFB 21BCP04H</v>
      </c>
    </row>
    <row r="537" spans="1:8" x14ac:dyDescent="0.25">
      <c r="E537" t="str">
        <f>"202106073764"</f>
        <v>202106073764</v>
      </c>
      <c r="F537" t="str">
        <f>"RFP 21BCP05B"</f>
        <v>RFP 21BCP05B</v>
      </c>
      <c r="G537" s="4">
        <v>215</v>
      </c>
      <c r="H537" t="str">
        <f>"RFP 21BCP05B"</f>
        <v>RFP 21BCP05B</v>
      </c>
    </row>
    <row r="538" spans="1:8" x14ac:dyDescent="0.25">
      <c r="E538" t="str">
        <f>"202106073765"</f>
        <v>202106073765</v>
      </c>
      <c r="F538" t="str">
        <f>"Langford Notices"</f>
        <v>Langford Notices</v>
      </c>
      <c r="G538" s="4">
        <v>1400</v>
      </c>
      <c r="H538" t="str">
        <f>"English"</f>
        <v>English</v>
      </c>
    </row>
    <row r="539" spans="1:8" x14ac:dyDescent="0.25">
      <c r="E539" t="str">
        <f>""</f>
        <v/>
      </c>
      <c r="F539" t="str">
        <f>""</f>
        <v/>
      </c>
      <c r="H539" t="str">
        <f>"Spanish"</f>
        <v>Spanish</v>
      </c>
    </row>
    <row r="540" spans="1:8" x14ac:dyDescent="0.25">
      <c r="A540" t="s">
        <v>118</v>
      </c>
      <c r="B540">
        <v>4674</v>
      </c>
      <c r="C540" s="4">
        <v>798.56</v>
      </c>
      <c r="D540" s="1">
        <v>44376</v>
      </c>
      <c r="E540" t="str">
        <f>"202106224150"</f>
        <v>202106224150</v>
      </c>
      <c r="F540" t="str">
        <f>"HMAP Meeting Notice"</f>
        <v>HMAP Meeting Notice</v>
      </c>
      <c r="G540" s="4">
        <v>798.56</v>
      </c>
      <c r="H540" t="str">
        <f>"HMAP Meeting Notice"</f>
        <v>HMAP Meeting Notice</v>
      </c>
    </row>
    <row r="541" spans="1:8" x14ac:dyDescent="0.25">
      <c r="A541" t="s">
        <v>119</v>
      </c>
      <c r="B541">
        <v>135747</v>
      </c>
      <c r="C541" s="4">
        <v>1510.33</v>
      </c>
      <c r="D541" s="1">
        <v>44356</v>
      </c>
      <c r="E541" t="str">
        <f>"202106083789"</f>
        <v>202106083789</v>
      </c>
      <c r="F541" t="str">
        <f>"ACCT#007-0008410-002 /05312021"</f>
        <v>ACCT#007-0008410-002 /05312021</v>
      </c>
      <c r="G541" s="4">
        <v>230.79</v>
      </c>
      <c r="H541" t="str">
        <f>"ACCT#007-0008410-002 /05312021"</f>
        <v>ACCT#007-0008410-002 /05312021</v>
      </c>
    </row>
    <row r="542" spans="1:8" x14ac:dyDescent="0.25">
      <c r="E542" t="str">
        <f>"202106083790"</f>
        <v>202106083790</v>
      </c>
      <c r="F542" t="str">
        <f>"ACCT#007-0011501-000 /05312021"</f>
        <v>ACCT#007-0011501-000 /05312021</v>
      </c>
      <c r="G542" s="4">
        <v>329.08</v>
      </c>
      <c r="H542" t="str">
        <f>"ACCT#007-0011501-000 /05312021"</f>
        <v>ACCT#007-0011501-000 /05312021</v>
      </c>
    </row>
    <row r="543" spans="1:8" x14ac:dyDescent="0.25">
      <c r="E543" t="str">
        <f>"202106083791"</f>
        <v>202106083791</v>
      </c>
      <c r="F543" t="str">
        <f>"ACCT#007-0011510-000 /05312021"</f>
        <v>ACCT#007-0011510-000 /05312021</v>
      </c>
      <c r="G543" s="4">
        <v>245.49</v>
      </c>
      <c r="H543" t="str">
        <f>"ACCT#007-0011510-000 /05312021"</f>
        <v>ACCT#007-0011510-000 /05312021</v>
      </c>
    </row>
    <row r="544" spans="1:8" x14ac:dyDescent="0.25">
      <c r="E544" t="str">
        <f>"202106083792"</f>
        <v>202106083792</v>
      </c>
      <c r="F544" t="str">
        <f>"ACCT#007-0011530000 /05312021"</f>
        <v>ACCT#007-0011530000 /05312021</v>
      </c>
      <c r="G544" s="4">
        <v>99.65</v>
      </c>
      <c r="H544" t="str">
        <f>"ACCT#007-0011530000 /05312021"</f>
        <v>ACCT#007-0011530000 /05312021</v>
      </c>
    </row>
    <row r="545" spans="1:8" x14ac:dyDescent="0.25">
      <c r="E545" t="str">
        <f>"202106083793"</f>
        <v>202106083793</v>
      </c>
      <c r="F545" t="str">
        <f>"ACCT#007-0011534-001 /05312021"</f>
        <v>ACCT#007-0011534-001 /05312021</v>
      </c>
      <c r="G545" s="4">
        <v>172.7</v>
      </c>
      <c r="H545" t="str">
        <f>"ACCT#007-0011534-001 /05312021"</f>
        <v>ACCT#007-0011534-001 /05312021</v>
      </c>
    </row>
    <row r="546" spans="1:8" x14ac:dyDescent="0.25">
      <c r="E546" t="str">
        <f>"202106083794"</f>
        <v>202106083794</v>
      </c>
      <c r="F546" t="str">
        <f>"ACCT#007-0011535-000 /05312021"</f>
        <v>ACCT#007-0011535-000 /05312021</v>
      </c>
      <c r="G546" s="4">
        <v>297.83</v>
      </c>
      <c r="H546" t="str">
        <f>"ACCT#007-0011535-000 /05312021"</f>
        <v>ACCT#007-0011535-000 /05312021</v>
      </c>
    </row>
    <row r="547" spans="1:8" x14ac:dyDescent="0.25">
      <c r="E547" t="str">
        <f>"202106083795"</f>
        <v>202106083795</v>
      </c>
      <c r="F547" t="str">
        <f>"ACCT#007-0011544-001 /05312021"</f>
        <v>ACCT#007-0011544-001 /05312021</v>
      </c>
      <c r="G547" s="4">
        <v>134.79</v>
      </c>
      <c r="H547" t="str">
        <f>"ACCT#007-0011544-001 /05312021"</f>
        <v>ACCT#007-0011544-001 /05312021</v>
      </c>
    </row>
    <row r="548" spans="1:8" x14ac:dyDescent="0.25">
      <c r="A548" t="s">
        <v>120</v>
      </c>
      <c r="B548">
        <v>136023</v>
      </c>
      <c r="C548" s="4">
        <v>70.19</v>
      </c>
      <c r="D548" s="1">
        <v>44375</v>
      </c>
      <c r="E548" t="str">
        <f>"202106174073"</f>
        <v>202106174073</v>
      </c>
      <c r="F548" t="str">
        <f>"REIMBURSEMENT/ELLEN OWENS"</f>
        <v>REIMBURSEMENT/ELLEN OWENS</v>
      </c>
      <c r="G548" s="4">
        <v>70.19</v>
      </c>
      <c r="H548" t="str">
        <f>"REIMBURSEMENT/ELLEN OWENS"</f>
        <v>REIMBURSEMENT/ELLEN OWENS</v>
      </c>
    </row>
    <row r="549" spans="1:8" x14ac:dyDescent="0.25">
      <c r="A549" t="s">
        <v>121</v>
      </c>
      <c r="B549">
        <v>1100</v>
      </c>
      <c r="C549" s="4">
        <v>0</v>
      </c>
      <c r="D549" s="1">
        <v>44362</v>
      </c>
      <c r="E549" t="str">
        <f>"202106153951"</f>
        <v>202106153951</v>
      </c>
      <c r="F549" t="str">
        <f>"ACCT# 72-56313 / 06032021"</f>
        <v>ACCT# 72-56313 / 06032021</v>
      </c>
      <c r="G549" s="4">
        <v>-488.46</v>
      </c>
      <c r="H549" t="str">
        <f>"ACCT# 72-56313 / 06032021"</f>
        <v>ACCT# 72-56313 / 06032021</v>
      </c>
    </row>
    <row r="550" spans="1:8" x14ac:dyDescent="0.25">
      <c r="E550" t="str">
        <f>"202106143917"</f>
        <v>202106143917</v>
      </c>
      <c r="F550" t="str">
        <f>"ACCT #72-56313 / 06/03/2021"</f>
        <v>ACCT #72-56313 / 06/03/2021</v>
      </c>
      <c r="G550" s="4">
        <v>488.46</v>
      </c>
      <c r="H550" t="str">
        <f>"ACCT #72-56313 / 06/03/2021"</f>
        <v>ACCT #72-56313 / 06/03/2021</v>
      </c>
    </row>
    <row r="551" spans="1:8" x14ac:dyDescent="0.25">
      <c r="A551" t="s">
        <v>122</v>
      </c>
      <c r="B551">
        <v>135852</v>
      </c>
      <c r="C551" s="4">
        <v>135</v>
      </c>
      <c r="D551" s="1">
        <v>44361</v>
      </c>
      <c r="E551" t="str">
        <f>"202106093818"</f>
        <v>202106093818</v>
      </c>
      <c r="F551" t="str">
        <f>"PER DIEM FOR TRAINING"</f>
        <v>PER DIEM FOR TRAINING</v>
      </c>
      <c r="G551" s="4">
        <v>135</v>
      </c>
      <c r="H551" t="str">
        <f>"PER DIEM FOR TRAINING"</f>
        <v>PER DIEM FOR TRAINING</v>
      </c>
    </row>
    <row r="552" spans="1:8" x14ac:dyDescent="0.25">
      <c r="A552" t="s">
        <v>123</v>
      </c>
      <c r="B552">
        <v>135853</v>
      </c>
      <c r="C552" s="4">
        <v>382.74</v>
      </c>
      <c r="D552" s="1">
        <v>44361</v>
      </c>
      <c r="E552" t="str">
        <f>"9402465872"</f>
        <v>9402465872</v>
      </c>
      <c r="F552" t="str">
        <f>"ACCT#912923/PCT#4"</f>
        <v>ACCT#912923/PCT#4</v>
      </c>
      <c r="G552" s="4">
        <v>382.74</v>
      </c>
      <c r="H552" t="str">
        <f>"ACCT#912923/PCT#4"</f>
        <v>ACCT#912923/PCT#4</v>
      </c>
    </row>
    <row r="553" spans="1:8" x14ac:dyDescent="0.25">
      <c r="A553" t="s">
        <v>123</v>
      </c>
      <c r="B553">
        <v>136024</v>
      </c>
      <c r="C553" s="4">
        <v>52199.48</v>
      </c>
      <c r="D553" s="1">
        <v>44375</v>
      </c>
      <c r="E553" t="str">
        <f>"9402482878"</f>
        <v>9402482878</v>
      </c>
      <c r="F553" t="str">
        <f>"ACCT#912922/PCT#1"</f>
        <v>ACCT#912922/PCT#1</v>
      </c>
      <c r="G553" s="4">
        <v>7027.44</v>
      </c>
      <c r="H553" t="str">
        <f>"ACCT#912922/PCT#1"</f>
        <v>ACCT#912922/PCT#1</v>
      </c>
    </row>
    <row r="554" spans="1:8" x14ac:dyDescent="0.25">
      <c r="E554" t="str">
        <f>"9402482879"</f>
        <v>9402482879</v>
      </c>
      <c r="F554" t="str">
        <f>"ACCT#912922/PCT#1"</f>
        <v>ACCT#912922/PCT#1</v>
      </c>
      <c r="G554" s="4">
        <v>3605</v>
      </c>
      <c r="H554" t="str">
        <f>"ACCT#912922/PCT#1"</f>
        <v>ACCT#912922/PCT#1</v>
      </c>
    </row>
    <row r="555" spans="1:8" x14ac:dyDescent="0.25">
      <c r="E555" t="str">
        <f>"9402486197"</f>
        <v>9402486197</v>
      </c>
      <c r="F555" t="str">
        <f>"ACCT#912897/PCT#3"</f>
        <v>ACCT#912897/PCT#3</v>
      </c>
      <c r="G555" s="4">
        <v>13469.44</v>
      </c>
      <c r="H555" t="str">
        <f>"ACCT#912897/PCT#3"</f>
        <v>ACCT#912897/PCT#3</v>
      </c>
    </row>
    <row r="556" spans="1:8" x14ac:dyDescent="0.25">
      <c r="E556" t="str">
        <f>"9402488388"</f>
        <v>9402488388</v>
      </c>
      <c r="F556" t="str">
        <f>"ACCT#912897/PCT#3"</f>
        <v>ACCT#912897/PCT#3</v>
      </c>
      <c r="G556" s="4">
        <v>14051.52</v>
      </c>
      <c r="H556" t="str">
        <f>"ACCT#912897/PCT#3"</f>
        <v>ACCT#912897/PCT#3</v>
      </c>
    </row>
    <row r="557" spans="1:8" x14ac:dyDescent="0.25">
      <c r="E557" t="str">
        <f>"9402492548"</f>
        <v>9402492548</v>
      </c>
      <c r="F557" t="str">
        <f>"ACCT#912897/PCT#3"</f>
        <v>ACCT#912897/PCT#3</v>
      </c>
      <c r="G557" s="4">
        <v>14046.08</v>
      </c>
      <c r="H557" t="str">
        <f>"ACCT#912897/PCT#3"</f>
        <v>ACCT#912897/PCT#3</v>
      </c>
    </row>
    <row r="558" spans="1:8" x14ac:dyDescent="0.25">
      <c r="A558" t="s">
        <v>124</v>
      </c>
      <c r="B558">
        <v>135854</v>
      </c>
      <c r="C558" s="4">
        <v>25</v>
      </c>
      <c r="D558" s="1">
        <v>44361</v>
      </c>
      <c r="E558" t="str">
        <f>"202106043700"</f>
        <v>202106043700</v>
      </c>
      <c r="F558" t="str">
        <f>"REIMBURSE/EVANGELINE DELEON"</f>
        <v>REIMBURSE/EVANGELINE DELEON</v>
      </c>
      <c r="G558" s="4">
        <v>25</v>
      </c>
      <c r="H558" t="str">
        <f>"REIMBURSE/EVANGELINE DELEON"</f>
        <v>REIMBURSE/EVANGELINE DELEON</v>
      </c>
    </row>
    <row r="559" spans="1:8" x14ac:dyDescent="0.25">
      <c r="A559" t="s">
        <v>125</v>
      </c>
      <c r="B559">
        <v>4615</v>
      </c>
      <c r="C559" s="4">
        <v>2855.35</v>
      </c>
      <c r="D559" s="1">
        <v>44362</v>
      </c>
      <c r="E559" t="str">
        <f>"202106043696"</f>
        <v>202106043696</v>
      </c>
      <c r="F559" t="str">
        <f>"CUST#00405"</f>
        <v>CUST#00405</v>
      </c>
      <c r="G559" s="4">
        <v>2138.1999999999998</v>
      </c>
      <c r="H559" t="str">
        <f>"CUST#00405"</f>
        <v>CUST#00405</v>
      </c>
    </row>
    <row r="560" spans="1:8" x14ac:dyDescent="0.25">
      <c r="E560" t="str">
        <f>"2D04167"</f>
        <v>2D04167</v>
      </c>
      <c r="F560" t="str">
        <f>"ACCT#00405/RENTAL"</f>
        <v>ACCT#00405/RENTAL</v>
      </c>
      <c r="G560" s="4">
        <v>653.84</v>
      </c>
      <c r="H560" t="str">
        <f>"ACCT#00405/RENTAL"</f>
        <v>ACCT#00405/RENTAL</v>
      </c>
    </row>
    <row r="561" spans="1:8" x14ac:dyDescent="0.25">
      <c r="E561" t="str">
        <f>"2DO4230"</f>
        <v>2DO4230</v>
      </c>
      <c r="F561" t="str">
        <f>"ACCT#00405/GEN SVCS"</f>
        <v>ACCT#00405/GEN SVCS</v>
      </c>
      <c r="G561" s="4">
        <v>63.31</v>
      </c>
      <c r="H561" t="str">
        <f>"ACCT#00405/GEN SVCS"</f>
        <v>ACCT#00405/GEN SVCS</v>
      </c>
    </row>
    <row r="562" spans="1:8" x14ac:dyDescent="0.25">
      <c r="A562" t="s">
        <v>126</v>
      </c>
      <c r="B562">
        <v>4598</v>
      </c>
      <c r="C562" s="4">
        <v>37439.589999999997</v>
      </c>
      <c r="D562" s="1">
        <v>44362</v>
      </c>
      <c r="E562" t="str">
        <f>"202106013473"</f>
        <v>202106013473</v>
      </c>
      <c r="F562" t="str">
        <f>"MARCH 2021 FAMILY CRISIS CENTE"</f>
        <v>MARCH 2021 FAMILY CRISIS CENTE</v>
      </c>
      <c r="G562" s="4">
        <v>9081.42</v>
      </c>
      <c r="H562" t="str">
        <f>"MARCH 2021 FAMILY CRISIS CENTE"</f>
        <v>MARCH 2021 FAMILY CRISIS CENTE</v>
      </c>
    </row>
    <row r="563" spans="1:8" x14ac:dyDescent="0.25">
      <c r="E563" t="str">
        <f>"202106013474"</f>
        <v>202106013474</v>
      </c>
      <c r="F563" t="str">
        <f>"OCT-DEC 2020 FAMILY CIRSIS CEN"</f>
        <v>OCT-DEC 2020 FAMILY CIRSIS CEN</v>
      </c>
      <c r="G563" s="4">
        <v>3049.01</v>
      </c>
      <c r="H563" t="str">
        <f>"OCT-DEC 2020 FAMILY CIRSIS CEN"</f>
        <v>OCT-DEC 2020 FAMILY CIRSIS CEN</v>
      </c>
    </row>
    <row r="564" spans="1:8" x14ac:dyDescent="0.25">
      <c r="E564" t="str">
        <f>"202106013475"</f>
        <v>202106013475</v>
      </c>
      <c r="F564" t="str">
        <f>"JAN 2021 FAMILY CRISIS CENTER"</f>
        <v>JAN 2021 FAMILY CRISIS CENTER</v>
      </c>
      <c r="G564" s="4">
        <v>7417.92</v>
      </c>
      <c r="H564" t="str">
        <f>"JAN 2021 FAMILY CRISIS CENTER"</f>
        <v>JAN 2021 FAMILY CRISIS CENTER</v>
      </c>
    </row>
    <row r="565" spans="1:8" x14ac:dyDescent="0.25">
      <c r="E565" t="str">
        <f>"202106013476"</f>
        <v>202106013476</v>
      </c>
      <c r="F565" t="str">
        <f>"APRIL 2021 FAMILY CRISIS CENTE"</f>
        <v>APRIL 2021 FAMILY CRISIS CENTE</v>
      </c>
      <c r="G565" s="4">
        <v>8829.48</v>
      </c>
      <c r="H565" t="str">
        <f>"APRIL 2021 FAMILY CRISIS CENTE"</f>
        <v>APRIL 2021 FAMILY CRISIS CENTE</v>
      </c>
    </row>
    <row r="566" spans="1:8" x14ac:dyDescent="0.25">
      <c r="E566" t="str">
        <f>"202106013477"</f>
        <v>202106013477</v>
      </c>
      <c r="F566" t="str">
        <f>"FEBRUARY 2021 FAMILY CRISIS CE"</f>
        <v>FEBRUARY 2021 FAMILY CRISIS CE</v>
      </c>
      <c r="G566" s="4">
        <v>9061.76</v>
      </c>
      <c r="H566" t="str">
        <f>"FEBRUARY 2021 FAMILY CRISIS CE"</f>
        <v>FEBRUARY 2021 FAMILY CRISIS CE</v>
      </c>
    </row>
    <row r="567" spans="1:8" x14ac:dyDescent="0.25">
      <c r="A567" t="s">
        <v>127</v>
      </c>
      <c r="B567">
        <v>136025</v>
      </c>
      <c r="C567" s="4">
        <v>75</v>
      </c>
      <c r="D567" s="1">
        <v>44375</v>
      </c>
      <c r="E567" t="str">
        <f>"1261"</f>
        <v>1261</v>
      </c>
      <c r="F567" t="str">
        <f>"MEMBERSHIP/FAYETTE CO"</f>
        <v>MEMBERSHIP/FAYETTE CO</v>
      </c>
      <c r="G567" s="4">
        <v>75</v>
      </c>
      <c r="H567" t="str">
        <f>"MEMBERSHIP/FAYETTE CO"</f>
        <v>MEMBERSHIP/FAYETTE CO</v>
      </c>
    </row>
    <row r="568" spans="1:8" x14ac:dyDescent="0.25">
      <c r="A568" t="s">
        <v>128</v>
      </c>
      <c r="B568">
        <v>135855</v>
      </c>
      <c r="C568" s="4">
        <v>80.03</v>
      </c>
      <c r="D568" s="1">
        <v>44361</v>
      </c>
      <c r="E568" t="str">
        <f>"7-378-42361"</f>
        <v>7-378-42361</v>
      </c>
      <c r="F568" t="str">
        <f>"INV 7-378-42361"</f>
        <v>INV 7-378-42361</v>
      </c>
      <c r="G568" s="4">
        <v>10.67</v>
      </c>
      <c r="H568" t="str">
        <f>"INV 7-378-42361"</f>
        <v>INV 7-378-42361</v>
      </c>
    </row>
    <row r="569" spans="1:8" x14ac:dyDescent="0.25">
      <c r="E569" t="str">
        <f>"7-385-09410"</f>
        <v>7-385-09410</v>
      </c>
      <c r="F569" t="str">
        <f>"INV 7-385-09410"</f>
        <v>INV 7-385-09410</v>
      </c>
      <c r="G569" s="4">
        <v>32.96</v>
      </c>
      <c r="H569" t="str">
        <f>"INV 7-385-09410"</f>
        <v>INV 7-385-09410</v>
      </c>
    </row>
    <row r="570" spans="1:8" x14ac:dyDescent="0.25">
      <c r="E570" t="str">
        <f>"7-391-96742"</f>
        <v>7-391-96742</v>
      </c>
      <c r="F570" t="str">
        <f>"INV 7-391-96742"</f>
        <v>INV 7-391-96742</v>
      </c>
      <c r="G570" s="4">
        <v>36.4</v>
      </c>
      <c r="H570" t="str">
        <f>"INV 7-391-96742"</f>
        <v>INV 7-391-96742</v>
      </c>
    </row>
    <row r="571" spans="1:8" x14ac:dyDescent="0.25">
      <c r="A571" t="s">
        <v>129</v>
      </c>
      <c r="B571">
        <v>1107</v>
      </c>
      <c r="C571" s="4">
        <v>0</v>
      </c>
      <c r="D571" s="1">
        <v>44362</v>
      </c>
      <c r="E571" t="str">
        <f>"202106153952"</f>
        <v>202106153952</v>
      </c>
      <c r="F571" t="str">
        <f>"ACCT# 72-56313 / 06032021"</f>
        <v>ACCT# 72-56313 / 06032021</v>
      </c>
      <c r="G571" s="4">
        <v>-1499</v>
      </c>
      <c r="H571" t="str">
        <f>"ACCT# 72-56313 / 06032021"</f>
        <v>ACCT# 72-56313 / 06032021</v>
      </c>
    </row>
    <row r="572" spans="1:8" x14ac:dyDescent="0.25">
      <c r="E572" t="str">
        <f>"202106143924"</f>
        <v>202106143924</v>
      </c>
      <c r="F572" t="str">
        <f>"ACCT #72-56313 / 06/03/2021"</f>
        <v>ACCT #72-56313 / 06/03/2021</v>
      </c>
      <c r="G572" s="4">
        <v>1499</v>
      </c>
      <c r="H572" t="str">
        <f>"ACCT #72-56313 / 06/03/2021"</f>
        <v>ACCT #72-56313 / 06/03/2021</v>
      </c>
    </row>
    <row r="573" spans="1:8" x14ac:dyDescent="0.25">
      <c r="A573" t="s">
        <v>130</v>
      </c>
      <c r="B573">
        <v>136026</v>
      </c>
      <c r="C573" s="4">
        <v>10</v>
      </c>
      <c r="D573" s="1">
        <v>44375</v>
      </c>
      <c r="E573" t="str">
        <f>"202106164012"</f>
        <v>202106164012</v>
      </c>
      <c r="F573" t="str">
        <f>"RESTITUTUIN/RAMON SALINAS"</f>
        <v>RESTITUTUIN/RAMON SALINAS</v>
      </c>
      <c r="G573" s="4">
        <v>10</v>
      </c>
      <c r="H573" t="str">
        <f>"RESTITUTUIN/RAMON SALINAS"</f>
        <v>RESTITUTUIN/RAMON SALINAS</v>
      </c>
    </row>
    <row r="574" spans="1:8" x14ac:dyDescent="0.25">
      <c r="A574" t="s">
        <v>131</v>
      </c>
      <c r="B574">
        <v>135856</v>
      </c>
      <c r="C574" s="4">
        <v>760.71</v>
      </c>
      <c r="D574" s="1">
        <v>44361</v>
      </c>
      <c r="E574" t="str">
        <f>"73865019"</f>
        <v>73865019</v>
      </c>
      <c r="F574" t="str">
        <f>"ACCT#80975-001/PCT#3"</f>
        <v>ACCT#80975-001/PCT#3</v>
      </c>
      <c r="G574" s="4">
        <v>332.59</v>
      </c>
      <c r="H574" t="str">
        <f>"ACCT#80975-001/PCT#3"</f>
        <v>ACCT#80975-001/PCT#3</v>
      </c>
    </row>
    <row r="575" spans="1:8" x14ac:dyDescent="0.25">
      <c r="E575" t="str">
        <f>"74702694"</f>
        <v>74702694</v>
      </c>
      <c r="F575" t="str">
        <f>"ACCT#80975-001/PCT#3"</f>
        <v>ACCT#80975-001/PCT#3</v>
      </c>
      <c r="G575" s="4">
        <v>419.09</v>
      </c>
      <c r="H575" t="str">
        <f>"ACCT#80975-001/PCT#3"</f>
        <v>ACCT#80975-001/PCT#3</v>
      </c>
    </row>
    <row r="576" spans="1:8" x14ac:dyDescent="0.25">
      <c r="E576" t="str">
        <f>"74729680"</f>
        <v>74729680</v>
      </c>
      <c r="F576" t="str">
        <f>"ACCT#80975-001/PCT#3"</f>
        <v>ACCT#80975-001/PCT#3</v>
      </c>
      <c r="G576" s="4">
        <v>9.0299999999999994</v>
      </c>
      <c r="H576" t="str">
        <f>"ACCT#80975-001/PCT#3"</f>
        <v>ACCT#80975-001/PCT#3</v>
      </c>
    </row>
    <row r="577" spans="1:8" x14ac:dyDescent="0.25">
      <c r="A577" t="s">
        <v>132</v>
      </c>
      <c r="B577">
        <v>4676</v>
      </c>
      <c r="C577" s="4">
        <v>1150</v>
      </c>
      <c r="D577" s="1">
        <v>44376</v>
      </c>
      <c r="E577" t="str">
        <f>"202106164031"</f>
        <v>202106164031</v>
      </c>
      <c r="F577" t="str">
        <f>"57-623"</f>
        <v>57-623</v>
      </c>
      <c r="G577" s="4">
        <v>250</v>
      </c>
      <c r="H577" t="str">
        <f>"57-623"</f>
        <v>57-623</v>
      </c>
    </row>
    <row r="578" spans="1:8" x14ac:dyDescent="0.25">
      <c r="E578" t="str">
        <f>"202106164037"</f>
        <v>202106164037</v>
      </c>
      <c r="F578" t="str">
        <f>"405299-6"</f>
        <v>405299-6</v>
      </c>
      <c r="G578" s="4">
        <v>250</v>
      </c>
      <c r="H578" t="str">
        <f>"405299-6"</f>
        <v>405299-6</v>
      </c>
    </row>
    <row r="579" spans="1:8" x14ac:dyDescent="0.25">
      <c r="E579" t="str">
        <f>"202106174089"</f>
        <v>202106174089</v>
      </c>
      <c r="F579" t="str">
        <f>"16599"</f>
        <v>16599</v>
      </c>
      <c r="G579" s="4">
        <v>400</v>
      </c>
      <c r="H579" t="str">
        <f>"16599"</f>
        <v>16599</v>
      </c>
    </row>
    <row r="580" spans="1:8" x14ac:dyDescent="0.25">
      <c r="E580" t="str">
        <f>"202106174091"</f>
        <v>202106174091</v>
      </c>
      <c r="F580" t="str">
        <f>"1JP1161A"</f>
        <v>1JP1161A</v>
      </c>
      <c r="G580" s="4">
        <v>250</v>
      </c>
      <c r="H580" t="str">
        <f>"1JP1161A"</f>
        <v>1JP1161A</v>
      </c>
    </row>
    <row r="581" spans="1:8" x14ac:dyDescent="0.25">
      <c r="A581" t="s">
        <v>133</v>
      </c>
      <c r="B581">
        <v>135857</v>
      </c>
      <c r="C581" s="4">
        <v>160</v>
      </c>
      <c r="D581" s="1">
        <v>44361</v>
      </c>
      <c r="E581" t="str">
        <f>"13563"</f>
        <v>13563</v>
      </c>
      <c r="F581" t="str">
        <f>"SERVICE"</f>
        <v>SERVICE</v>
      </c>
      <c r="G581" s="4">
        <v>160</v>
      </c>
      <c r="H581" t="str">
        <f>"SERVICE"</f>
        <v>SERVICE</v>
      </c>
    </row>
    <row r="582" spans="1:8" x14ac:dyDescent="0.25">
      <c r="A582" t="s">
        <v>134</v>
      </c>
      <c r="B582">
        <v>135858</v>
      </c>
      <c r="C582" s="4">
        <v>500</v>
      </c>
      <c r="D582" s="1">
        <v>44361</v>
      </c>
      <c r="E582" t="str">
        <f>"4314-1"</f>
        <v>4314-1</v>
      </c>
      <c r="F582" t="str">
        <f>"MOBILIZATION FEE/PCT#2"</f>
        <v>MOBILIZATION FEE/PCT#2</v>
      </c>
      <c r="G582" s="4">
        <v>500</v>
      </c>
      <c r="H582" t="str">
        <f>"MOBILIZATION FEE/PCT#2"</f>
        <v>MOBILIZATION FEE/PCT#2</v>
      </c>
    </row>
    <row r="583" spans="1:8" x14ac:dyDescent="0.25">
      <c r="A583" t="s">
        <v>135</v>
      </c>
      <c r="B583">
        <v>4667</v>
      </c>
      <c r="C583" s="4">
        <v>491.27</v>
      </c>
      <c r="D583" s="1">
        <v>44376</v>
      </c>
      <c r="E583" t="str">
        <f>"202106224131"</f>
        <v>202106224131</v>
      </c>
      <c r="F583" t="str">
        <f>"TRAVEL REIMBURSE/FRAN HUNTER"</f>
        <v>TRAVEL REIMBURSE/FRAN HUNTER</v>
      </c>
      <c r="G583" s="4">
        <v>192.08</v>
      </c>
      <c r="H583" t="str">
        <f>"TRAVEL REIMBURSE/FRAN HUNTER"</f>
        <v>TRAVEL REIMBURSE/FRAN HUNTER</v>
      </c>
    </row>
    <row r="584" spans="1:8" x14ac:dyDescent="0.25">
      <c r="E584" t="str">
        <f>"202106224132"</f>
        <v>202106224132</v>
      </c>
      <c r="F584" t="str">
        <f>"TRAVEL REIMBURSE/FRAN HUNTER"</f>
        <v>TRAVEL REIMBURSE/FRAN HUNTER</v>
      </c>
      <c r="G584" s="4">
        <v>28.56</v>
      </c>
      <c r="H584" t="str">
        <f>"TRAVEL REIMBURSE/FRAN HUNTER"</f>
        <v>TRAVEL REIMBURSE/FRAN HUNTER</v>
      </c>
    </row>
    <row r="585" spans="1:8" x14ac:dyDescent="0.25">
      <c r="E585" t="str">
        <f>"202106224133"</f>
        <v>202106224133</v>
      </c>
      <c r="F585" t="str">
        <f>"TRAVEL REIMBURSE/FRAN HUNTER"</f>
        <v>TRAVEL REIMBURSE/FRAN HUNTER</v>
      </c>
      <c r="G585" s="4">
        <v>47.04</v>
      </c>
      <c r="H585" t="str">
        <f>"TRAVEL REIMBURSE/FRAN HUNTER"</f>
        <v>TRAVEL REIMBURSE/FRAN HUNTER</v>
      </c>
    </row>
    <row r="586" spans="1:8" x14ac:dyDescent="0.25">
      <c r="E586" t="str">
        <f>"202106224134"</f>
        <v>202106224134</v>
      </c>
      <c r="F586" t="str">
        <f>"TRAVEL REIMBURSE/FRAN HUNTER"</f>
        <v>TRAVEL REIMBURSE/FRAN HUNTER</v>
      </c>
      <c r="G586" s="4">
        <v>114.24</v>
      </c>
      <c r="H586" t="str">
        <f>"TRAVEL REIMBURSE/FRAN HUNTER"</f>
        <v>TRAVEL REIMBURSE/FRAN HUNTER</v>
      </c>
    </row>
    <row r="587" spans="1:8" x14ac:dyDescent="0.25">
      <c r="E587" t="str">
        <f>"202106224135"</f>
        <v>202106224135</v>
      </c>
      <c r="F587" t="str">
        <f>"PARKING/FRANCES HUNTER"</f>
        <v>PARKING/FRANCES HUNTER</v>
      </c>
      <c r="G587" s="4">
        <v>60.5</v>
      </c>
      <c r="H587" t="str">
        <f>"PARKING/FRANCES HUNTER"</f>
        <v>PARKING/FRANCES HUNTER</v>
      </c>
    </row>
    <row r="588" spans="1:8" x14ac:dyDescent="0.25">
      <c r="E588" t="str">
        <f>"202106224136"</f>
        <v>202106224136</v>
      </c>
      <c r="F588" t="str">
        <f>"REIMBURSE/ FRANCES HUNTER"</f>
        <v>REIMBURSE/ FRANCES HUNTER</v>
      </c>
      <c r="G588" s="4">
        <v>48.85</v>
      </c>
      <c r="H588" t="str">
        <f>"REIMBURSE/ FRANCES HUNTER"</f>
        <v>REIMBURSE/ FRANCES HUNTER</v>
      </c>
    </row>
    <row r="589" spans="1:8" x14ac:dyDescent="0.25">
      <c r="A589" t="s">
        <v>136</v>
      </c>
      <c r="B589">
        <v>4592</v>
      </c>
      <c r="C589" s="4">
        <v>606.70000000000005</v>
      </c>
      <c r="D589" s="1">
        <v>44362</v>
      </c>
      <c r="E589" t="str">
        <f>"67606AP"</f>
        <v>67606AP</v>
      </c>
      <c r="F589" t="str">
        <f>"ACCT#3324/PCT#3"</f>
        <v>ACCT#3324/PCT#3</v>
      </c>
      <c r="G589" s="4">
        <v>65.19</v>
      </c>
      <c r="H589" t="str">
        <f>"ACCT#3324/PCT#3"</f>
        <v>ACCT#3324/PCT#3</v>
      </c>
    </row>
    <row r="590" spans="1:8" x14ac:dyDescent="0.25">
      <c r="E590" t="str">
        <f>"67626AP"</f>
        <v>67626AP</v>
      </c>
      <c r="F590" t="str">
        <f>"ACCT#3326/PCT#4"</f>
        <v>ACCT#3326/PCT#4</v>
      </c>
      <c r="G590" s="4">
        <v>337.49</v>
      </c>
      <c r="H590" t="str">
        <f>"ACCT#3326/PCT#4"</f>
        <v>ACCT#3326/PCT#4</v>
      </c>
    </row>
    <row r="591" spans="1:8" x14ac:dyDescent="0.25">
      <c r="E591" t="str">
        <f>"67754AP"</f>
        <v>67754AP</v>
      </c>
      <c r="F591" t="str">
        <f>"ACCT#3326/PCT#4"</f>
        <v>ACCT#3326/PCT#4</v>
      </c>
      <c r="G591" s="4">
        <v>204.02</v>
      </c>
      <c r="H591" t="str">
        <f>"ACCT#3326/PCT#4"</f>
        <v>ACCT#3326/PCT#4</v>
      </c>
    </row>
    <row r="592" spans="1:8" x14ac:dyDescent="0.25">
      <c r="A592" t="s">
        <v>137</v>
      </c>
      <c r="B592">
        <v>135859</v>
      </c>
      <c r="C592" s="4">
        <v>1237.7</v>
      </c>
      <c r="D592" s="1">
        <v>44361</v>
      </c>
      <c r="E592" t="str">
        <f>"24016"</f>
        <v>24016</v>
      </c>
      <c r="F592" t="str">
        <f>"Soil Moisture Probes"</f>
        <v>Soil Moisture Probes</v>
      </c>
      <c r="G592" s="4">
        <v>1237.7</v>
      </c>
      <c r="H592" t="str">
        <f>"Soil Moisture Probes"</f>
        <v>Soil Moisture Probes</v>
      </c>
    </row>
    <row r="593" spans="1:8" x14ac:dyDescent="0.25">
      <c r="E593" t="str">
        <f>""</f>
        <v/>
      </c>
      <c r="F593" t="str">
        <f>""</f>
        <v/>
      </c>
      <c r="H593" t="str">
        <f>"Shipping Cost"</f>
        <v>Shipping Cost</v>
      </c>
    </row>
    <row r="594" spans="1:8" x14ac:dyDescent="0.25">
      <c r="A594" t="s">
        <v>138</v>
      </c>
      <c r="B594">
        <v>4599</v>
      </c>
      <c r="C594" s="4">
        <v>784.35</v>
      </c>
      <c r="D594" s="1">
        <v>44362</v>
      </c>
      <c r="E594" t="str">
        <f>"114359"</f>
        <v>114359</v>
      </c>
      <c r="F594" t="str">
        <f>"INV GC 114359"</f>
        <v>INV GC 114359</v>
      </c>
      <c r="G594" s="4">
        <v>40.96</v>
      </c>
      <c r="H594" t="str">
        <f>"INV GC 114359"</f>
        <v>INV GC 114359</v>
      </c>
    </row>
    <row r="595" spans="1:8" x14ac:dyDescent="0.25">
      <c r="E595" t="str">
        <f>"114360"</f>
        <v>114360</v>
      </c>
      <c r="F595" t="str">
        <f>"INV GC 114360"</f>
        <v>INV GC 114360</v>
      </c>
      <c r="G595" s="4">
        <v>81.92</v>
      </c>
      <c r="H595" t="str">
        <f>"INV GC 114360"</f>
        <v>INV GC 114360</v>
      </c>
    </row>
    <row r="596" spans="1:8" x14ac:dyDescent="0.25">
      <c r="E596" t="str">
        <f>"114396"</f>
        <v>114396</v>
      </c>
      <c r="F596" t="str">
        <f>"ENVELOPES/DEVELOPMENT SVCS"</f>
        <v>ENVELOPES/DEVELOPMENT SVCS</v>
      </c>
      <c r="G596" s="4">
        <v>128.97</v>
      </c>
      <c r="H596" t="str">
        <f>"ENVELOPES/DEVELOPMENT SVCS"</f>
        <v>ENVELOPES/DEVELOPMENT SVCS</v>
      </c>
    </row>
    <row r="597" spans="1:8" x14ac:dyDescent="0.25">
      <c r="E597" t="str">
        <f>"114398"</f>
        <v>114398</v>
      </c>
      <c r="F597" t="str">
        <f>"ENVEPLOES/ADENA LEWIS"</f>
        <v>ENVEPLOES/ADENA LEWIS</v>
      </c>
      <c r="G597" s="4">
        <v>532.5</v>
      </c>
      <c r="H597" t="str">
        <f>"ENVEPLOES/ADENA LEWIS"</f>
        <v>ENVEPLOES/ADENA LEWIS</v>
      </c>
    </row>
    <row r="598" spans="1:8" x14ac:dyDescent="0.25">
      <c r="A598" t="s">
        <v>138</v>
      </c>
      <c r="B598">
        <v>4677</v>
      </c>
      <c r="C598" s="4">
        <v>122.69</v>
      </c>
      <c r="D598" s="1">
        <v>44376</v>
      </c>
      <c r="E598" t="str">
        <f>"114497"</f>
        <v>114497</v>
      </c>
      <c r="F598" t="str">
        <f>"TREASURER/BUSINESS CARDS"</f>
        <v>TREASURER/BUSINESS CARDS</v>
      </c>
      <c r="G598" s="4">
        <v>61.25</v>
      </c>
      <c r="H598" t="str">
        <f>"TREASURER/BUSINESS CARDS"</f>
        <v>TREASURER/BUSINESS CARDS</v>
      </c>
    </row>
    <row r="599" spans="1:8" x14ac:dyDescent="0.25">
      <c r="E599" t="str">
        <f>"114548"</f>
        <v>114548</v>
      </c>
      <c r="F599" t="str">
        <f>"BUSINESS CARDS/DEV. SVCS"</f>
        <v>BUSINESS CARDS/DEV. SVCS</v>
      </c>
      <c r="G599" s="4">
        <v>61.44</v>
      </c>
      <c r="H599" t="str">
        <f>"BUSINESS CARDS/DEV. SVCS"</f>
        <v>BUSINESS CARDS/DEV. SVCS</v>
      </c>
    </row>
    <row r="600" spans="1:8" x14ac:dyDescent="0.25">
      <c r="A600" t="s">
        <v>139</v>
      </c>
      <c r="B600">
        <v>135860</v>
      </c>
      <c r="C600" s="4">
        <v>146.47999999999999</v>
      </c>
      <c r="D600" s="1">
        <v>44361</v>
      </c>
      <c r="E600" t="str">
        <f>"018385309"</f>
        <v>018385309</v>
      </c>
      <c r="F600" t="str">
        <f>"INV 018385309/018385330"</f>
        <v>INV 018385309/018385330</v>
      </c>
      <c r="G600" s="4">
        <v>69.98</v>
      </c>
      <c r="H600" t="str">
        <f>"INV 018385309"</f>
        <v>INV 018385309</v>
      </c>
    </row>
    <row r="601" spans="1:8" x14ac:dyDescent="0.25">
      <c r="E601" t="str">
        <f>""</f>
        <v/>
      </c>
      <c r="F601" t="str">
        <f>""</f>
        <v/>
      </c>
      <c r="H601" t="str">
        <f>"INV 018385330"</f>
        <v>INV 018385330</v>
      </c>
    </row>
    <row r="602" spans="1:8" x14ac:dyDescent="0.25">
      <c r="E602" t="str">
        <f>"018385387"</f>
        <v>018385387</v>
      </c>
      <c r="F602" t="str">
        <f>"INV 018385387"</f>
        <v>INV 018385387</v>
      </c>
      <c r="G602" s="4">
        <v>76.5</v>
      </c>
      <c r="H602" t="str">
        <f>"INV 018385387"</f>
        <v>INV 018385387</v>
      </c>
    </row>
    <row r="603" spans="1:8" x14ac:dyDescent="0.25">
      <c r="A603" t="s">
        <v>139</v>
      </c>
      <c r="B603">
        <v>136027</v>
      </c>
      <c r="C603" s="4">
        <v>984.22</v>
      </c>
      <c r="D603" s="1">
        <v>44375</v>
      </c>
      <c r="E603" t="str">
        <f>"018541395"</f>
        <v>018541395</v>
      </c>
      <c r="F603" t="str">
        <f>"INV 018541395/018541396/."</f>
        <v>INV 018541395/018541396/.</v>
      </c>
      <c r="G603" s="4">
        <v>249.95</v>
      </c>
      <c r="H603" t="str">
        <f>"INV 018541395"</f>
        <v>INV 018541395</v>
      </c>
    </row>
    <row r="604" spans="1:8" x14ac:dyDescent="0.25">
      <c r="E604" t="str">
        <f>""</f>
        <v/>
      </c>
      <c r="F604" t="str">
        <f>""</f>
        <v/>
      </c>
      <c r="H604" t="str">
        <f>"INV 018541396"</f>
        <v>INV 018541396</v>
      </c>
    </row>
    <row r="605" spans="1:8" x14ac:dyDescent="0.25">
      <c r="E605" t="str">
        <f>""</f>
        <v/>
      </c>
      <c r="F605" t="str">
        <f>""</f>
        <v/>
      </c>
      <c r="H605" t="str">
        <f>"INV 018541432"</f>
        <v>INV 018541432</v>
      </c>
    </row>
    <row r="606" spans="1:8" x14ac:dyDescent="0.25">
      <c r="E606" t="str">
        <f>"018541435"</f>
        <v>018541435</v>
      </c>
      <c r="F606" t="str">
        <f>"INV 018541435"</f>
        <v>INV 018541435</v>
      </c>
      <c r="G606" s="4">
        <v>12</v>
      </c>
      <c r="H606" t="str">
        <f>"INV 018541435"</f>
        <v>INV 018541435</v>
      </c>
    </row>
    <row r="607" spans="1:8" x14ac:dyDescent="0.25">
      <c r="E607" t="str">
        <f>"018541436"</f>
        <v>018541436</v>
      </c>
      <c r="F607" t="str">
        <f>"INV 018541436"</f>
        <v>INV 018541436</v>
      </c>
      <c r="G607" s="4">
        <v>12</v>
      </c>
      <c r="H607" t="str">
        <f>"INV 018541436"</f>
        <v>INV 018541436</v>
      </c>
    </row>
    <row r="608" spans="1:8" x14ac:dyDescent="0.25">
      <c r="E608" t="str">
        <f>"018541444"</f>
        <v>018541444</v>
      </c>
      <c r="F608" t="str">
        <f>"INV 018541444"</f>
        <v>INV 018541444</v>
      </c>
      <c r="G608" s="4">
        <v>185.5</v>
      </c>
      <c r="H608" t="str">
        <f>"INV 018541444"</f>
        <v>INV 018541444</v>
      </c>
    </row>
    <row r="609" spans="1:8" x14ac:dyDescent="0.25">
      <c r="E609" t="str">
        <f>"018571975"</f>
        <v>018571975</v>
      </c>
      <c r="F609" t="str">
        <f>"INV 018571975"</f>
        <v>INV 018571975</v>
      </c>
      <c r="G609" s="4">
        <v>221.01</v>
      </c>
      <c r="H609" t="str">
        <f>"INV 018571975"</f>
        <v>INV 018571975</v>
      </c>
    </row>
    <row r="610" spans="1:8" x14ac:dyDescent="0.25">
      <c r="E610" t="str">
        <f>"018571978"</f>
        <v>018571978</v>
      </c>
      <c r="F610" t="str">
        <f>"INV 018571978"</f>
        <v>INV 018571978</v>
      </c>
      <c r="G610" s="4">
        <v>303.76</v>
      </c>
      <c r="H610" t="str">
        <f>"INV 018571978"</f>
        <v>INV 018571978</v>
      </c>
    </row>
    <row r="611" spans="1:8" x14ac:dyDescent="0.25">
      <c r="A611" t="s">
        <v>140</v>
      </c>
      <c r="B611">
        <v>1113</v>
      </c>
      <c r="C611" s="4">
        <v>0</v>
      </c>
      <c r="D611" s="1">
        <v>44362</v>
      </c>
      <c r="E611" t="str">
        <f>"202106153953"</f>
        <v>202106153953</v>
      </c>
      <c r="F611" t="str">
        <f>"ACCT# 72-56313 / 06032021"</f>
        <v>ACCT# 72-56313 / 06032021</v>
      </c>
      <c r="G611" s="4">
        <v>-1875.66</v>
      </c>
      <c r="H611" t="str">
        <f>"ACCT# 72-56313 / 06032021"</f>
        <v>ACCT# 72-56313 / 06032021</v>
      </c>
    </row>
    <row r="612" spans="1:8" x14ac:dyDescent="0.25">
      <c r="E612" t="str">
        <f>"202106143930"</f>
        <v>202106143930</v>
      </c>
      <c r="F612" t="str">
        <f>"ACCT #72-56313 / 06/03/2021"</f>
        <v>ACCT #72-56313 / 06/03/2021</v>
      </c>
      <c r="G612" s="4">
        <v>1875.66</v>
      </c>
      <c r="H612" t="str">
        <f>"ACCT #72-56313 / 06/03/2021"</f>
        <v>ACCT #72-56313 / 06/03/2021</v>
      </c>
    </row>
    <row r="613" spans="1:8" x14ac:dyDescent="0.25">
      <c r="A613" t="s">
        <v>141</v>
      </c>
      <c r="B613">
        <v>135861</v>
      </c>
      <c r="C613" s="4">
        <v>12</v>
      </c>
      <c r="D613" s="1">
        <v>44361</v>
      </c>
      <c r="E613" t="str">
        <f>"202106013478"</f>
        <v>202106013478</v>
      </c>
      <c r="F613" t="str">
        <f>"REIMBURSEMENT/GILBERT TELLO"</f>
        <v>REIMBURSEMENT/GILBERT TELLO</v>
      </c>
      <c r="G613" s="4">
        <v>12</v>
      </c>
      <c r="H613" t="str">
        <f>"REIMBURSEMENT/GILBERT TELLO"</f>
        <v>REIMBURSEMENT/GILBERT TELLO</v>
      </c>
    </row>
    <row r="614" spans="1:8" x14ac:dyDescent="0.25">
      <c r="A614" t="s">
        <v>142</v>
      </c>
      <c r="B614">
        <v>135862</v>
      </c>
      <c r="C614" s="4">
        <v>775</v>
      </c>
      <c r="D614" s="1">
        <v>44361</v>
      </c>
      <c r="E614" t="str">
        <f>"1176"</f>
        <v>1176</v>
      </c>
      <c r="F614" t="str">
        <f>"TRANSPORT/JODI JIMENEZ"</f>
        <v>TRANSPORT/JODI JIMENEZ</v>
      </c>
      <c r="G614" s="4">
        <v>350</v>
      </c>
      <c r="H614" t="str">
        <f>"TRANSPORT/JODI JIMENEZ"</f>
        <v>TRANSPORT/JODI JIMENEZ</v>
      </c>
    </row>
    <row r="615" spans="1:8" x14ac:dyDescent="0.25">
      <c r="E615" t="str">
        <f>"1180"</f>
        <v>1180</v>
      </c>
      <c r="F615" t="str">
        <f>"TRANSPORT/L. SMITH"</f>
        <v>TRANSPORT/L. SMITH</v>
      </c>
      <c r="G615" s="4">
        <v>425</v>
      </c>
      <c r="H615" t="str">
        <f>"TRANSPORT/L. SMITH"</f>
        <v>TRANSPORT/L. SMITH</v>
      </c>
    </row>
    <row r="616" spans="1:8" x14ac:dyDescent="0.25">
      <c r="A616" t="s">
        <v>143</v>
      </c>
      <c r="B616">
        <v>4583</v>
      </c>
      <c r="C616" s="4">
        <v>474.72</v>
      </c>
      <c r="D616" s="1">
        <v>44362</v>
      </c>
      <c r="E616" t="str">
        <f>"0327995"</f>
        <v>0327995</v>
      </c>
      <c r="F616" t="str">
        <f>"ACCT048600/COUNTY CLERK"</f>
        <v>ACCT048600/COUNTY CLERK</v>
      </c>
      <c r="G616" s="4">
        <v>474.72</v>
      </c>
      <c r="H616" t="str">
        <f>"ACCT048600/COUNTY CLERK"</f>
        <v>ACCT048600/COUNTY CLERK</v>
      </c>
    </row>
    <row r="617" spans="1:8" x14ac:dyDescent="0.25">
      <c r="A617" t="s">
        <v>144</v>
      </c>
      <c r="B617">
        <v>135863</v>
      </c>
      <c r="C617" s="4">
        <v>33.28</v>
      </c>
      <c r="D617" s="1">
        <v>44361</v>
      </c>
      <c r="E617" t="str">
        <f>"990166108"</f>
        <v>990166108</v>
      </c>
      <c r="F617" t="str">
        <f>"INV 9901666108"</f>
        <v>INV 9901666108</v>
      </c>
      <c r="G617" s="4">
        <v>33.28</v>
      </c>
      <c r="H617" t="str">
        <f>"INV 9901666108"</f>
        <v>INV 9901666108</v>
      </c>
    </row>
    <row r="618" spans="1:8" x14ac:dyDescent="0.25">
      <c r="A618" t="s">
        <v>144</v>
      </c>
      <c r="B618">
        <v>136028</v>
      </c>
      <c r="C618" s="4">
        <v>274.52</v>
      </c>
      <c r="D618" s="1">
        <v>44375</v>
      </c>
      <c r="E618" t="str">
        <f>"9924879373"</f>
        <v>9924879373</v>
      </c>
      <c r="F618" t="str">
        <f>"INV 9924879373  992487"</f>
        <v>INV 9924879373  992487</v>
      </c>
      <c r="G618" s="4">
        <v>274.52</v>
      </c>
      <c r="H618" t="str">
        <f>"INV 9924879373"</f>
        <v>INV 9924879373</v>
      </c>
    </row>
    <row r="619" spans="1:8" x14ac:dyDescent="0.25">
      <c r="E619" t="str">
        <f>""</f>
        <v/>
      </c>
      <c r="F619" t="str">
        <f>""</f>
        <v/>
      </c>
      <c r="H619" t="str">
        <f>"INV 9924879365"</f>
        <v>INV 9924879365</v>
      </c>
    </row>
    <row r="620" spans="1:8" x14ac:dyDescent="0.25">
      <c r="A620" t="s">
        <v>145</v>
      </c>
      <c r="B620">
        <v>135864</v>
      </c>
      <c r="C620" s="4">
        <v>240</v>
      </c>
      <c r="D620" s="1">
        <v>44361</v>
      </c>
      <c r="E620" t="str">
        <f>"202105263424"</f>
        <v>202105263424</v>
      </c>
      <c r="F620" t="str">
        <f>"REIMBURSEMENT/GREG GILLELAND"</f>
        <v>REIMBURSEMENT/GREG GILLELAND</v>
      </c>
      <c r="G620" s="4">
        <v>240</v>
      </c>
      <c r="H620" t="str">
        <f>"REIMBURSEMENT/GREG GILLELAND"</f>
        <v>REIMBURSEMENT/GREG GILLELAND</v>
      </c>
    </row>
    <row r="621" spans="1:8" x14ac:dyDescent="0.25">
      <c r="A621" t="s">
        <v>146</v>
      </c>
      <c r="B621">
        <v>4600</v>
      </c>
      <c r="C621" s="4">
        <v>1997.27</v>
      </c>
      <c r="D621" s="1">
        <v>44362</v>
      </c>
      <c r="E621" t="str">
        <f>"084059"</f>
        <v>084059</v>
      </c>
      <c r="F621" t="str">
        <f>"INV 0843059"</f>
        <v>INV 0843059</v>
      </c>
      <c r="G621" s="4">
        <v>374.9</v>
      </c>
      <c r="H621" t="str">
        <f>"INV 0843059"</f>
        <v>INV 0843059</v>
      </c>
    </row>
    <row r="622" spans="1:8" x14ac:dyDescent="0.25">
      <c r="E622" t="str">
        <f>"0843061"</f>
        <v>0843061</v>
      </c>
      <c r="F622" t="str">
        <f>"INV 0843061"</f>
        <v>INV 0843061</v>
      </c>
      <c r="G622" s="4">
        <v>49.99</v>
      </c>
      <c r="H622" t="str">
        <f>"INV 0843061"</f>
        <v>INV 0843061</v>
      </c>
    </row>
    <row r="623" spans="1:8" x14ac:dyDescent="0.25">
      <c r="E623" t="str">
        <f>"0844023"</f>
        <v>0844023</v>
      </c>
      <c r="F623" t="str">
        <f>"INV 0844023"</f>
        <v>INV 0844023</v>
      </c>
      <c r="G623" s="4">
        <v>860</v>
      </c>
      <c r="H623" t="str">
        <f>"INV 0844023"</f>
        <v>INV 0844023</v>
      </c>
    </row>
    <row r="624" spans="1:8" x14ac:dyDescent="0.25">
      <c r="E624" t="str">
        <f>""</f>
        <v/>
      </c>
      <c r="F624" t="str">
        <f>""</f>
        <v/>
      </c>
      <c r="H624" t="str">
        <f>"INV 0844023"</f>
        <v>INV 0844023</v>
      </c>
    </row>
    <row r="625" spans="1:8" x14ac:dyDescent="0.25">
      <c r="E625" t="str">
        <f>"0844660"</f>
        <v>0844660</v>
      </c>
      <c r="F625" t="str">
        <f>"INV 0844660"</f>
        <v>INV 0844660</v>
      </c>
      <c r="G625" s="4">
        <v>45</v>
      </c>
      <c r="H625" t="str">
        <f>"INV 0844660"</f>
        <v>INV 0844660</v>
      </c>
    </row>
    <row r="626" spans="1:8" x14ac:dyDescent="0.25">
      <c r="E626" t="str">
        <f>"0844970"</f>
        <v>0844970</v>
      </c>
      <c r="F626" t="str">
        <f>"INV 0844970"</f>
        <v>INV 0844970</v>
      </c>
      <c r="G626" s="4">
        <v>48</v>
      </c>
      <c r="H626" t="str">
        <f>"INV 0844970"</f>
        <v>INV 0844970</v>
      </c>
    </row>
    <row r="627" spans="1:8" x14ac:dyDescent="0.25">
      <c r="E627" t="str">
        <f>"21-27617"</f>
        <v>21-27617</v>
      </c>
      <c r="F627" t="str">
        <f>"INV 0844969"</f>
        <v>INV 0844969</v>
      </c>
      <c r="G627" s="4">
        <v>283.5</v>
      </c>
      <c r="H627" t="str">
        <f>"INV 0844969"</f>
        <v>INV 0844969</v>
      </c>
    </row>
    <row r="628" spans="1:8" x14ac:dyDescent="0.25">
      <c r="E628" t="str">
        <f>"DPT000276503"</f>
        <v>DPT000276503</v>
      </c>
      <c r="F628" t="str">
        <f>"SALES ORDER DPT000276503"</f>
        <v>SALES ORDER DPT000276503</v>
      </c>
      <c r="G628" s="4">
        <v>335.88</v>
      </c>
      <c r="H628" t="str">
        <f>"SALES ORDER DPT000276503"</f>
        <v>SALES ORDER DPT000276503</v>
      </c>
    </row>
    <row r="629" spans="1:8" x14ac:dyDescent="0.25">
      <c r="A629" t="s">
        <v>146</v>
      </c>
      <c r="B629">
        <v>4678</v>
      </c>
      <c r="C629" s="4">
        <v>1963.43</v>
      </c>
      <c r="D629" s="1">
        <v>44376</v>
      </c>
      <c r="E629" t="str">
        <f>"0836591"</f>
        <v>0836591</v>
      </c>
      <c r="F629" t="str">
        <f>"INV 0836591/0836559/..."</f>
        <v>INV 0836591/0836559/...</v>
      </c>
      <c r="G629" s="4">
        <v>586.4</v>
      </c>
      <c r="H629" t="str">
        <f>"INV 0836591"</f>
        <v>INV 0836591</v>
      </c>
    </row>
    <row r="630" spans="1:8" x14ac:dyDescent="0.25">
      <c r="E630" t="str">
        <f>""</f>
        <v/>
      </c>
      <c r="F630" t="str">
        <f>""</f>
        <v/>
      </c>
      <c r="H630" t="str">
        <f>"INV 0836559"</f>
        <v>INV 0836559</v>
      </c>
    </row>
    <row r="631" spans="1:8" x14ac:dyDescent="0.25">
      <c r="E631" t="str">
        <f>""</f>
        <v/>
      </c>
      <c r="F631" t="str">
        <f>""</f>
        <v/>
      </c>
      <c r="H631" t="str">
        <f>"INV 0843062"</f>
        <v>INV 0843062</v>
      </c>
    </row>
    <row r="632" spans="1:8" x14ac:dyDescent="0.25">
      <c r="E632" t="str">
        <f>""</f>
        <v/>
      </c>
      <c r="F632" t="str">
        <f>""</f>
        <v/>
      </c>
      <c r="H632" t="str">
        <f>"INV 0846629"</f>
        <v>INV 0846629</v>
      </c>
    </row>
    <row r="633" spans="1:8" x14ac:dyDescent="0.25">
      <c r="E633" t="str">
        <f>"0846933"</f>
        <v>0846933</v>
      </c>
      <c r="F633" t="str">
        <f>"INV 0846933"</f>
        <v>INV 0846933</v>
      </c>
      <c r="G633" s="4">
        <v>225</v>
      </c>
      <c r="H633" t="str">
        <f>"INV 0846933"</f>
        <v>INV 0846933</v>
      </c>
    </row>
    <row r="634" spans="1:8" x14ac:dyDescent="0.25">
      <c r="E634" t="str">
        <f>"0848390"</f>
        <v>0848390</v>
      </c>
      <c r="F634" t="str">
        <f>"INV 0848390"</f>
        <v>INV 0848390</v>
      </c>
      <c r="G634" s="4">
        <v>225</v>
      </c>
      <c r="H634" t="str">
        <f>"INV 0848390"</f>
        <v>INV 0848390</v>
      </c>
    </row>
    <row r="635" spans="1:8" x14ac:dyDescent="0.25">
      <c r="E635" t="str">
        <f>"0848392"</f>
        <v>0848392</v>
      </c>
      <c r="F635" t="str">
        <f>"INV 0848392"</f>
        <v>INV 0848392</v>
      </c>
      <c r="G635" s="4">
        <v>225</v>
      </c>
      <c r="H635" t="str">
        <f>"INV 0848392"</f>
        <v>INV 0848392</v>
      </c>
    </row>
    <row r="636" spans="1:8" x14ac:dyDescent="0.25">
      <c r="E636" t="str">
        <f>"0848393"</f>
        <v>0848393</v>
      </c>
      <c r="F636" t="str">
        <f>"INV 0848393"</f>
        <v>INV 0848393</v>
      </c>
      <c r="G636" s="4">
        <v>225</v>
      </c>
      <c r="H636" t="str">
        <f>"INV 0848393"</f>
        <v>INV 0848393</v>
      </c>
    </row>
    <row r="637" spans="1:8" x14ac:dyDescent="0.25">
      <c r="E637" t="str">
        <f>"0848394"</f>
        <v>0848394</v>
      </c>
      <c r="F637" t="str">
        <f>"INV 0848394"</f>
        <v>INV 0848394</v>
      </c>
      <c r="G637" s="4">
        <v>225</v>
      </c>
      <c r="H637" t="str">
        <f>"INV 0848394"</f>
        <v>INV 0848394</v>
      </c>
    </row>
    <row r="638" spans="1:8" x14ac:dyDescent="0.25">
      <c r="E638" t="str">
        <f>"INV0843896"</f>
        <v>INV0843896</v>
      </c>
      <c r="F638" t="str">
        <f>"INV0843896"</f>
        <v>INV0843896</v>
      </c>
      <c r="G638" s="4">
        <v>38.49</v>
      </c>
      <c r="H638" t="str">
        <f>"INV0843896"</f>
        <v>INV0843896</v>
      </c>
    </row>
    <row r="639" spans="1:8" x14ac:dyDescent="0.25">
      <c r="E639" t="str">
        <f>"INV0846230"</f>
        <v>INV0846230</v>
      </c>
      <c r="F639" t="str">
        <f>"INV0846230"</f>
        <v>INV0846230</v>
      </c>
      <c r="G639" s="4">
        <v>213.54</v>
      </c>
      <c r="H639" t="str">
        <f>"INV0846230"</f>
        <v>INV0846230</v>
      </c>
    </row>
    <row r="640" spans="1:8" x14ac:dyDescent="0.25">
      <c r="A640" t="s">
        <v>147</v>
      </c>
      <c r="B640">
        <v>136029</v>
      </c>
      <c r="C640" s="4">
        <v>170</v>
      </c>
      <c r="D640" s="1">
        <v>44375</v>
      </c>
      <c r="E640" t="str">
        <f>"13297"</f>
        <v>13297</v>
      </c>
      <c r="F640" t="str">
        <f>"SERVICE"</f>
        <v>SERVICE</v>
      </c>
      <c r="G640" s="4">
        <v>170</v>
      </c>
      <c r="H640" t="str">
        <f>"SERVICE"</f>
        <v>SERVICE</v>
      </c>
    </row>
    <row r="641" spans="1:8" x14ac:dyDescent="0.25">
      <c r="A641" t="s">
        <v>148</v>
      </c>
      <c r="B641">
        <v>4617</v>
      </c>
      <c r="C641" s="4">
        <v>1077.3</v>
      </c>
      <c r="D641" s="1">
        <v>44362</v>
      </c>
      <c r="E641" t="str">
        <f>"2055908"</f>
        <v>2055908</v>
      </c>
      <c r="F641" t="str">
        <f>"INV 2055908"</f>
        <v>INV 2055908</v>
      </c>
      <c r="G641" s="4">
        <v>1077.3</v>
      </c>
      <c r="H641" t="str">
        <f>"INV 2055908"</f>
        <v>INV 2055908</v>
      </c>
    </row>
    <row r="642" spans="1:8" x14ac:dyDescent="0.25">
      <c r="A642" t="s">
        <v>149</v>
      </c>
      <c r="B642">
        <v>4687</v>
      </c>
      <c r="C642" s="4">
        <v>2995.32</v>
      </c>
      <c r="D642" s="1">
        <v>44376</v>
      </c>
      <c r="E642" t="str">
        <f>"202106174072"</f>
        <v>202106174072</v>
      </c>
      <c r="F642" t="str">
        <f>"PHASE 200/WILBARGER CREEK"</f>
        <v>PHASE 200/WILBARGER CREEK</v>
      </c>
      <c r="G642" s="4">
        <v>2995.32</v>
      </c>
      <c r="H642" t="str">
        <f>"PHASE 200/WILBARGER CREEK"</f>
        <v>PHASE 200/WILBARGER CREEK</v>
      </c>
    </row>
    <row r="643" spans="1:8" x14ac:dyDescent="0.25">
      <c r="A643" t="s">
        <v>150</v>
      </c>
      <c r="B643">
        <v>135754</v>
      </c>
      <c r="C643" s="4">
        <v>300</v>
      </c>
      <c r="D643" s="1">
        <v>44357</v>
      </c>
      <c r="E643" t="str">
        <f>"13163  01/27/2021"</f>
        <v>13163  01/27/2021</v>
      </c>
      <c r="F643" t="str">
        <f t="shared" ref="F643:F649" si="19">"SERVICE"</f>
        <v>SERVICE</v>
      </c>
      <c r="G643" s="4">
        <v>300</v>
      </c>
      <c r="H643" t="str">
        <f t="shared" ref="H643:H649" si="20">"SERVICE"</f>
        <v>SERVICE</v>
      </c>
    </row>
    <row r="644" spans="1:8" x14ac:dyDescent="0.25">
      <c r="A644" t="s">
        <v>150</v>
      </c>
      <c r="B644">
        <v>135865</v>
      </c>
      <c r="C644" s="4">
        <v>375</v>
      </c>
      <c r="D644" s="1">
        <v>44361</v>
      </c>
      <c r="E644" t="str">
        <f>"12285 3-29-21"</f>
        <v>12285 3-29-21</v>
      </c>
      <c r="F644" t="str">
        <f t="shared" si="19"/>
        <v>SERVICE</v>
      </c>
      <c r="G644" s="4">
        <v>150</v>
      </c>
      <c r="H644" t="str">
        <f t="shared" si="20"/>
        <v>SERVICE</v>
      </c>
    </row>
    <row r="645" spans="1:8" x14ac:dyDescent="0.25">
      <c r="E645" t="str">
        <f>"13310"</f>
        <v>13310</v>
      </c>
      <c r="F645" t="str">
        <f t="shared" si="19"/>
        <v>SERVICE</v>
      </c>
      <c r="G645" s="4">
        <v>150</v>
      </c>
      <c r="H645" t="str">
        <f t="shared" si="20"/>
        <v>SERVICE</v>
      </c>
    </row>
    <row r="646" spans="1:8" x14ac:dyDescent="0.25">
      <c r="E646" t="str">
        <f>"13563"</f>
        <v>13563</v>
      </c>
      <c r="F646" t="str">
        <f t="shared" si="19"/>
        <v>SERVICE</v>
      </c>
      <c r="G646" s="4">
        <v>75</v>
      </c>
      <c r="H646" t="str">
        <f t="shared" si="20"/>
        <v>SERVICE</v>
      </c>
    </row>
    <row r="647" spans="1:8" x14ac:dyDescent="0.25">
      <c r="A647" t="s">
        <v>150</v>
      </c>
      <c r="B647">
        <v>136030</v>
      </c>
      <c r="C647" s="4">
        <v>75</v>
      </c>
      <c r="D647" s="1">
        <v>44375</v>
      </c>
      <c r="E647" t="str">
        <f>"13022"</f>
        <v>13022</v>
      </c>
      <c r="F647" t="str">
        <f t="shared" si="19"/>
        <v>SERVICE</v>
      </c>
      <c r="G647" s="4">
        <v>75</v>
      </c>
      <c r="H647" t="str">
        <f t="shared" si="20"/>
        <v>SERVICE</v>
      </c>
    </row>
    <row r="648" spans="1:8" x14ac:dyDescent="0.25">
      <c r="A648" t="s">
        <v>151</v>
      </c>
      <c r="B648">
        <v>136031</v>
      </c>
      <c r="C648" s="4">
        <v>75</v>
      </c>
      <c r="D648" s="1">
        <v>44375</v>
      </c>
      <c r="E648" t="str">
        <f>"202106164048"</f>
        <v>202106164048</v>
      </c>
      <c r="F648" t="str">
        <f t="shared" si="19"/>
        <v>SERVICE</v>
      </c>
      <c r="G648" s="4">
        <v>75</v>
      </c>
      <c r="H648" t="str">
        <f t="shared" si="20"/>
        <v>SERVICE</v>
      </c>
    </row>
    <row r="649" spans="1:8" x14ac:dyDescent="0.25">
      <c r="A649" t="s">
        <v>152</v>
      </c>
      <c r="B649">
        <v>136032</v>
      </c>
      <c r="C649" s="4">
        <v>150</v>
      </c>
      <c r="D649" s="1">
        <v>44375</v>
      </c>
      <c r="E649" t="str">
        <f>"13187"</f>
        <v>13187</v>
      </c>
      <c r="F649" t="str">
        <f t="shared" si="19"/>
        <v>SERVICE</v>
      </c>
      <c r="G649" s="4">
        <v>150</v>
      </c>
      <c r="H649" t="str">
        <f t="shared" si="20"/>
        <v>SERVICE</v>
      </c>
    </row>
    <row r="650" spans="1:8" x14ac:dyDescent="0.25">
      <c r="A650" t="s">
        <v>153</v>
      </c>
      <c r="B650">
        <v>135866</v>
      </c>
      <c r="C650" s="4">
        <v>2296</v>
      </c>
      <c r="D650" s="1">
        <v>44361</v>
      </c>
      <c r="E650" t="str">
        <f>"INV826881"</f>
        <v>INV826881</v>
      </c>
      <c r="F650" t="str">
        <f>"INV826881"</f>
        <v>INV826881</v>
      </c>
      <c r="G650" s="4">
        <v>2296</v>
      </c>
      <c r="H650" t="str">
        <f>"INV826881"</f>
        <v>INV826881</v>
      </c>
    </row>
    <row r="651" spans="1:8" x14ac:dyDescent="0.25">
      <c r="A651" t="s">
        <v>154</v>
      </c>
      <c r="B651">
        <v>136033</v>
      </c>
      <c r="C651" s="4">
        <v>15000</v>
      </c>
      <c r="D651" s="1">
        <v>44375</v>
      </c>
      <c r="E651" t="str">
        <f>"202106214101"</f>
        <v>202106214101</v>
      </c>
      <c r="F651" t="str">
        <f>"HOPVFD FUNDING 2021"</f>
        <v>HOPVFD FUNDING 2021</v>
      </c>
      <c r="G651" s="4">
        <v>15000</v>
      </c>
      <c r="H651" t="str">
        <f>"HOPVFD FUNDING 2021"</f>
        <v>HOPVFD FUNDING 2021</v>
      </c>
    </row>
    <row r="652" spans="1:8" x14ac:dyDescent="0.25">
      <c r="A652" t="s">
        <v>155</v>
      </c>
      <c r="B652">
        <v>136034</v>
      </c>
      <c r="C652" s="4">
        <v>2432.52</v>
      </c>
      <c r="D652" s="1">
        <v>44375</v>
      </c>
      <c r="E652" t="str">
        <f>"30493"</f>
        <v>30493</v>
      </c>
      <c r="F652" t="str">
        <f>"ACCT#937/PCT#3"</f>
        <v>ACCT#937/PCT#3</v>
      </c>
      <c r="G652" s="4">
        <v>1473.84</v>
      </c>
      <c r="H652" t="str">
        <f>"ACCT#937/PCT#3"</f>
        <v>ACCT#937/PCT#3</v>
      </c>
    </row>
    <row r="653" spans="1:8" x14ac:dyDescent="0.25">
      <c r="E653" t="str">
        <f>"30543"</f>
        <v>30543</v>
      </c>
      <c r="F653" t="str">
        <f>"ACCT#937/PCT#3"</f>
        <v>ACCT#937/PCT#3</v>
      </c>
      <c r="G653" s="4">
        <v>958.68</v>
      </c>
      <c r="H653" t="str">
        <f>"ACCT#937/PCT#3"</f>
        <v>ACCT#937/PCT#3</v>
      </c>
    </row>
    <row r="654" spans="1:8" x14ac:dyDescent="0.25">
      <c r="A654" t="s">
        <v>156</v>
      </c>
      <c r="B654">
        <v>136035</v>
      </c>
      <c r="C654" s="4">
        <v>2152</v>
      </c>
      <c r="D654" s="1">
        <v>44375</v>
      </c>
      <c r="E654" t="str">
        <f>"573216-01"</f>
        <v>573216-01</v>
      </c>
      <c r="F654" t="str">
        <f>"CUST#180474-C/PCT#2"</f>
        <v>CUST#180474-C/PCT#2</v>
      </c>
      <c r="G654" s="4">
        <v>2152</v>
      </c>
      <c r="H654" t="str">
        <f>"CUST#180474-C/PCT#2"</f>
        <v>CUST#180474-C/PCT#2</v>
      </c>
    </row>
    <row r="655" spans="1:8" x14ac:dyDescent="0.25">
      <c r="A655" t="s">
        <v>157</v>
      </c>
      <c r="B655">
        <v>135867</v>
      </c>
      <c r="C655" s="4">
        <v>225</v>
      </c>
      <c r="D655" s="1">
        <v>44361</v>
      </c>
      <c r="E655" t="str">
        <f>"202106073756"</f>
        <v>202106073756</v>
      </c>
      <c r="F655" t="str">
        <f>"JP#4 CITATION"</f>
        <v>JP#4 CITATION</v>
      </c>
      <c r="G655" s="4">
        <v>225</v>
      </c>
      <c r="H655" t="str">
        <f>"JP#4 CITATION"</f>
        <v>JP#4 CITATION</v>
      </c>
    </row>
    <row r="656" spans="1:8" x14ac:dyDescent="0.25">
      <c r="A656" t="s">
        <v>158</v>
      </c>
      <c r="B656">
        <v>136036</v>
      </c>
      <c r="C656" s="4">
        <v>153.9</v>
      </c>
      <c r="D656" s="1">
        <v>44375</v>
      </c>
      <c r="E656" t="str">
        <f>"10862987"</f>
        <v>10862987</v>
      </c>
      <c r="F656" t="str">
        <f>"ACCT#0083705/PCT#4"</f>
        <v>ACCT#0083705/PCT#4</v>
      </c>
      <c r="G656" s="4">
        <v>153.9</v>
      </c>
      <c r="H656" t="str">
        <f>"ACCT#0083705/PCT#4"</f>
        <v>ACCT#0083705/PCT#4</v>
      </c>
    </row>
    <row r="657" spans="1:8" x14ac:dyDescent="0.25">
      <c r="A657" t="s">
        <v>159</v>
      </c>
      <c r="B657">
        <v>135868</v>
      </c>
      <c r="C657" s="4">
        <v>100</v>
      </c>
      <c r="D657" s="1">
        <v>44361</v>
      </c>
      <c r="E657" t="str">
        <f>"13310"</f>
        <v>13310</v>
      </c>
      <c r="F657" t="str">
        <f>"SERVICE"</f>
        <v>SERVICE</v>
      </c>
      <c r="G657" s="4">
        <v>100</v>
      </c>
      <c r="H657" t="str">
        <f>"SERVICE"</f>
        <v>SERVICE</v>
      </c>
    </row>
    <row r="658" spans="1:8" x14ac:dyDescent="0.25">
      <c r="A658" t="s">
        <v>160</v>
      </c>
      <c r="B658">
        <v>4602</v>
      </c>
      <c r="C658" s="4">
        <v>650</v>
      </c>
      <c r="D658" s="1">
        <v>44362</v>
      </c>
      <c r="E658" t="str">
        <f>"202106093814"</f>
        <v>202106093814</v>
      </c>
      <c r="F658" t="str">
        <f>"BASCOM L HODGES JR"</f>
        <v>BASCOM L HODGES JR</v>
      </c>
      <c r="G658" s="4">
        <v>650</v>
      </c>
      <c r="H658" t="str">
        <f>""</f>
        <v/>
      </c>
    </row>
    <row r="659" spans="1:8" x14ac:dyDescent="0.25">
      <c r="A659" t="s">
        <v>161</v>
      </c>
      <c r="B659">
        <v>135869</v>
      </c>
      <c r="C659" s="4">
        <v>1430</v>
      </c>
      <c r="D659" s="1">
        <v>44361</v>
      </c>
      <c r="E659" t="str">
        <f>"202105253396"</f>
        <v>202105253396</v>
      </c>
      <c r="F659" t="str">
        <f>"C20-0031"</f>
        <v>C20-0031</v>
      </c>
      <c r="G659" s="4">
        <v>250</v>
      </c>
      <c r="H659" t="str">
        <f>"C20-0031"</f>
        <v>C20-0031</v>
      </c>
    </row>
    <row r="660" spans="1:8" x14ac:dyDescent="0.25">
      <c r="E660" t="str">
        <f>"202106043674"</f>
        <v>202106043674</v>
      </c>
      <c r="F660" t="str">
        <f>"21-20726"</f>
        <v>21-20726</v>
      </c>
      <c r="G660" s="4">
        <v>75</v>
      </c>
      <c r="H660" t="str">
        <f>"21-20726"</f>
        <v>21-20726</v>
      </c>
    </row>
    <row r="661" spans="1:8" x14ac:dyDescent="0.25">
      <c r="E661" t="str">
        <f>"202106043675"</f>
        <v>202106043675</v>
      </c>
      <c r="F661" t="str">
        <f>"20-20508"</f>
        <v>20-20508</v>
      </c>
      <c r="G661" s="4">
        <v>197.5</v>
      </c>
      <c r="H661" t="str">
        <f>"20-20508"</f>
        <v>20-20508</v>
      </c>
    </row>
    <row r="662" spans="1:8" x14ac:dyDescent="0.25">
      <c r="E662" t="str">
        <f>"202106043676"</f>
        <v>202106043676</v>
      </c>
      <c r="F662" t="str">
        <f>"20-20262"</f>
        <v>20-20262</v>
      </c>
      <c r="G662" s="4">
        <v>37.5</v>
      </c>
      <c r="H662" t="str">
        <f>"20-20262"</f>
        <v>20-20262</v>
      </c>
    </row>
    <row r="663" spans="1:8" x14ac:dyDescent="0.25">
      <c r="E663" t="str">
        <f>"202106043677"</f>
        <v>202106043677</v>
      </c>
      <c r="F663" t="str">
        <f>"21-20635"</f>
        <v>21-20635</v>
      </c>
      <c r="G663" s="4">
        <v>197.5</v>
      </c>
      <c r="H663" t="str">
        <f>"21-20635"</f>
        <v>21-20635</v>
      </c>
    </row>
    <row r="664" spans="1:8" x14ac:dyDescent="0.25">
      <c r="E664" t="str">
        <f>"202106043688"</f>
        <v>202106043688</v>
      </c>
      <c r="F664" t="str">
        <f>"21-20677"</f>
        <v>21-20677</v>
      </c>
      <c r="G664" s="4">
        <v>75</v>
      </c>
      <c r="H664" t="str">
        <f>"21-20677"</f>
        <v>21-20677</v>
      </c>
    </row>
    <row r="665" spans="1:8" x14ac:dyDescent="0.25">
      <c r="E665" t="str">
        <f>"202106043698"</f>
        <v>202106043698</v>
      </c>
      <c r="F665" t="str">
        <f>"20-20377"</f>
        <v>20-20377</v>
      </c>
      <c r="G665" s="4">
        <v>75</v>
      </c>
      <c r="H665" t="str">
        <f>"20-20377"</f>
        <v>20-20377</v>
      </c>
    </row>
    <row r="666" spans="1:8" x14ac:dyDescent="0.25">
      <c r="E666" t="str">
        <f>"202106093839"</f>
        <v>202106093839</v>
      </c>
      <c r="F666" t="str">
        <f>"55 231"</f>
        <v>55 231</v>
      </c>
      <c r="G666" s="4">
        <v>75</v>
      </c>
      <c r="H666" t="str">
        <f>"55 231"</f>
        <v>55 231</v>
      </c>
    </row>
    <row r="667" spans="1:8" x14ac:dyDescent="0.25">
      <c r="E667" t="str">
        <f>"202106093840"</f>
        <v>202106093840</v>
      </c>
      <c r="F667" t="str">
        <f>"21-20726"</f>
        <v>21-20726</v>
      </c>
      <c r="G667" s="4">
        <v>175</v>
      </c>
      <c r="H667" t="str">
        <f>"21-20726"</f>
        <v>21-20726</v>
      </c>
    </row>
    <row r="668" spans="1:8" x14ac:dyDescent="0.25">
      <c r="E668" t="str">
        <f>"202106093849"</f>
        <v>202106093849</v>
      </c>
      <c r="F668" t="str">
        <f>"57 175"</f>
        <v>57 175</v>
      </c>
      <c r="G668" s="4">
        <v>272.5</v>
      </c>
      <c r="H668" t="str">
        <f>"57 175"</f>
        <v>57 175</v>
      </c>
    </row>
    <row r="669" spans="1:8" x14ac:dyDescent="0.25">
      <c r="A669" t="s">
        <v>161</v>
      </c>
      <c r="B669">
        <v>136037</v>
      </c>
      <c r="C669" s="4">
        <v>587.5</v>
      </c>
      <c r="D669" s="1">
        <v>44375</v>
      </c>
      <c r="E669" t="str">
        <f>"202106174064"</f>
        <v>202106174064</v>
      </c>
      <c r="F669" t="str">
        <f>"11-14510"</f>
        <v>11-14510</v>
      </c>
      <c r="G669" s="4">
        <v>100</v>
      </c>
      <c r="H669" t="str">
        <f>"11-14510"</f>
        <v>11-14510</v>
      </c>
    </row>
    <row r="670" spans="1:8" x14ac:dyDescent="0.25">
      <c r="E670" t="str">
        <f>"202106174065"</f>
        <v>202106174065</v>
      </c>
      <c r="F670" t="str">
        <f>"19-19456"</f>
        <v>19-19456</v>
      </c>
      <c r="G670" s="4">
        <v>112.5</v>
      </c>
      <c r="H670" t="str">
        <f>"19-19456"</f>
        <v>19-19456</v>
      </c>
    </row>
    <row r="671" spans="1:8" x14ac:dyDescent="0.25">
      <c r="E671" t="str">
        <f>"202106174066"</f>
        <v>202106174066</v>
      </c>
      <c r="F671" t="str">
        <f>"20-20262"</f>
        <v>20-20262</v>
      </c>
      <c r="G671" s="4">
        <v>225</v>
      </c>
      <c r="H671" t="str">
        <f>"20-20262"</f>
        <v>20-20262</v>
      </c>
    </row>
    <row r="672" spans="1:8" x14ac:dyDescent="0.25">
      <c r="E672" t="str">
        <f>"202106174067"</f>
        <v>202106174067</v>
      </c>
      <c r="F672" t="str">
        <f>"21-20753"</f>
        <v>21-20753</v>
      </c>
      <c r="G672" s="4">
        <v>150</v>
      </c>
      <c r="H672" t="str">
        <f>"21-20753"</f>
        <v>21-20753</v>
      </c>
    </row>
    <row r="673" spans="1:8" x14ac:dyDescent="0.25">
      <c r="A673" t="s">
        <v>162</v>
      </c>
      <c r="B673">
        <v>4601</v>
      </c>
      <c r="C673" s="4">
        <v>3421.85</v>
      </c>
      <c r="D673" s="1">
        <v>44362</v>
      </c>
      <c r="E673" t="str">
        <f>"PIM60053682"</f>
        <v>PIM60053682</v>
      </c>
      <c r="F673" t="str">
        <f>"CUST#0129050/PCT#1"</f>
        <v>CUST#0129050/PCT#1</v>
      </c>
      <c r="G673" s="4">
        <v>281.08999999999997</v>
      </c>
      <c r="H673" t="str">
        <f>"CUST#0129050/PCT#1"</f>
        <v>CUST#0129050/PCT#1</v>
      </c>
    </row>
    <row r="674" spans="1:8" x14ac:dyDescent="0.25">
      <c r="E674" t="str">
        <f>"PIMA0355265"</f>
        <v>PIMA0355265</v>
      </c>
      <c r="F674" t="str">
        <f>"CUST#0129100/PCT#2"</f>
        <v>CUST#0129100/PCT#2</v>
      </c>
      <c r="G674" s="4">
        <v>497.96</v>
      </c>
      <c r="H674" t="str">
        <f>"CUST#0129100/PCT#2"</f>
        <v>CUST#0129100/PCT#2</v>
      </c>
    </row>
    <row r="675" spans="1:8" x14ac:dyDescent="0.25">
      <c r="E675" t="str">
        <f>"PIMA0355266"</f>
        <v>PIMA0355266</v>
      </c>
      <c r="F675" t="str">
        <f>"CUST#0129100/PCT#2"</f>
        <v>CUST#0129100/PCT#2</v>
      </c>
      <c r="G675" s="4">
        <v>78.94</v>
      </c>
      <c r="H675" t="str">
        <f>"CUST#0129100/PCT#2"</f>
        <v>CUST#0129100/PCT#2</v>
      </c>
    </row>
    <row r="676" spans="1:8" x14ac:dyDescent="0.25">
      <c r="E676" t="str">
        <f>"PIMA0355267"</f>
        <v>PIMA0355267</v>
      </c>
      <c r="F676" t="str">
        <f>"CUST#0129100/PCT#2"</f>
        <v>CUST#0129100/PCT#2</v>
      </c>
      <c r="G676" s="4">
        <v>1052.45</v>
      </c>
      <c r="H676" t="str">
        <f>"CUST#0129100/PCT#2"</f>
        <v>CUST#0129100/PCT#2</v>
      </c>
    </row>
    <row r="677" spans="1:8" x14ac:dyDescent="0.25">
      <c r="E677" t="str">
        <f>"WIMA0148234"</f>
        <v>WIMA0148234</v>
      </c>
      <c r="F677" t="str">
        <f>"CUST#0129050/PCT#1"</f>
        <v>CUST#0129050/PCT#1</v>
      </c>
      <c r="G677" s="4">
        <v>1511.41</v>
      </c>
      <c r="H677" t="str">
        <f>"CUST#0129050/PCT#1"</f>
        <v>CUST#0129050/PCT#1</v>
      </c>
    </row>
    <row r="678" spans="1:8" x14ac:dyDescent="0.25">
      <c r="A678" t="s">
        <v>162</v>
      </c>
      <c r="B678">
        <v>4679</v>
      </c>
      <c r="C678" s="4">
        <v>3324.41</v>
      </c>
      <c r="D678" s="1">
        <v>44376</v>
      </c>
      <c r="E678" t="str">
        <f>"PIMA0354795"</f>
        <v>PIMA0354795</v>
      </c>
      <c r="F678" t="str">
        <f>"CUST#0129150/PCT#3"</f>
        <v>CUST#0129150/PCT#3</v>
      </c>
      <c r="G678" s="4">
        <v>185.24</v>
      </c>
      <c r="H678" t="str">
        <f>"CUST#0129150/PCT#3"</f>
        <v>CUST#0129150/PCT#3</v>
      </c>
    </row>
    <row r="679" spans="1:8" x14ac:dyDescent="0.25">
      <c r="E679" t="str">
        <f>"PIMA0356320"</f>
        <v>PIMA0356320</v>
      </c>
      <c r="F679" t="str">
        <f>"CUST#0129150/PCT#3"</f>
        <v>CUST#0129150/PCT#3</v>
      </c>
      <c r="G679" s="4">
        <v>738.23</v>
      </c>
      <c r="H679" t="str">
        <f>"CUST#0129150/PCT#3"</f>
        <v>CUST#0129150/PCT#3</v>
      </c>
    </row>
    <row r="680" spans="1:8" x14ac:dyDescent="0.25">
      <c r="E680" t="str">
        <f>"PIMA0356635"</f>
        <v>PIMA0356635</v>
      </c>
      <c r="F680" t="str">
        <f>"CUST#0129150/PCT#3"</f>
        <v>CUST#0129150/PCT#3</v>
      </c>
      <c r="G680" s="4">
        <v>308.88</v>
      </c>
      <c r="H680" t="str">
        <f>"CUST#0129150/PCT#3"</f>
        <v>CUST#0129150/PCT#3</v>
      </c>
    </row>
    <row r="681" spans="1:8" x14ac:dyDescent="0.25">
      <c r="E681" t="str">
        <f>"WIMA0148623"</f>
        <v>WIMA0148623</v>
      </c>
      <c r="F681" t="str">
        <f>"CUST#0129200/PCT#4"</f>
        <v>CUST#0129200/PCT#4</v>
      </c>
      <c r="G681" s="4">
        <v>290</v>
      </c>
      <c r="H681" t="str">
        <f>"CUST#0129200/PCT#4"</f>
        <v>CUST#0129200/PCT#4</v>
      </c>
    </row>
    <row r="682" spans="1:8" x14ac:dyDescent="0.25">
      <c r="E682" t="str">
        <f>"WIUS0146180"</f>
        <v>WIUS0146180</v>
      </c>
      <c r="F682" t="str">
        <f>"CUST#0129200/PCT#4"</f>
        <v>CUST#0129200/PCT#4</v>
      </c>
      <c r="G682" s="4">
        <v>1802.06</v>
      </c>
      <c r="H682" t="str">
        <f>"CUST#0129200/PCT#4"</f>
        <v>CUST#0129200/PCT#4</v>
      </c>
    </row>
    <row r="683" spans="1:8" x14ac:dyDescent="0.25">
      <c r="A683" t="s">
        <v>163</v>
      </c>
      <c r="B683">
        <v>1101</v>
      </c>
      <c r="C683" s="4">
        <v>0</v>
      </c>
      <c r="D683" s="1">
        <v>44362</v>
      </c>
      <c r="E683" t="str">
        <f>"202106153954"</f>
        <v>202106153954</v>
      </c>
      <c r="F683" t="str">
        <f>"ACCT# 72-56313 / 06032021"</f>
        <v>ACCT# 72-56313 / 06032021</v>
      </c>
      <c r="G683" s="4">
        <v>-339.8</v>
      </c>
      <c r="H683" t="str">
        <f>"ACCT# 72-56313 / 06032021"</f>
        <v>ACCT# 72-56313 / 06032021</v>
      </c>
    </row>
    <row r="684" spans="1:8" x14ac:dyDescent="0.25">
      <c r="E684" t="str">
        <f>""</f>
        <v/>
      </c>
      <c r="F684" t="str">
        <f>""</f>
        <v/>
      </c>
      <c r="H684" t="str">
        <f>"ACCT# 72-56313 / 06032021"</f>
        <v>ACCT# 72-56313 / 06032021</v>
      </c>
    </row>
    <row r="685" spans="1:8" x14ac:dyDescent="0.25">
      <c r="E685" t="str">
        <f>"202106143918"</f>
        <v>202106143918</v>
      </c>
      <c r="F685" t="str">
        <f>"ACCT #72-56313 / 06/03/2021"</f>
        <v>ACCT #72-56313 / 06/03/2021</v>
      </c>
      <c r="G685" s="4">
        <v>339.8</v>
      </c>
      <c r="H685" t="str">
        <f>"ACCT #72-56313 / 06/03/2021"</f>
        <v>ACCT #72-56313 / 06/03/2021</v>
      </c>
    </row>
    <row r="686" spans="1:8" x14ac:dyDescent="0.25">
      <c r="E686" t="str">
        <f>""</f>
        <v/>
      </c>
      <c r="F686" t="str">
        <f>""</f>
        <v/>
      </c>
      <c r="H686" t="str">
        <f>"ACCT #72-56313 / 06/03/2021"</f>
        <v>ACCT #72-56313 / 06/03/2021</v>
      </c>
    </row>
    <row r="687" spans="1:8" x14ac:dyDescent="0.25">
      <c r="A687" t="s">
        <v>163</v>
      </c>
      <c r="B687">
        <v>135870</v>
      </c>
      <c r="C687" s="4">
        <v>1879.67</v>
      </c>
      <c r="D687" s="1">
        <v>44361</v>
      </c>
      <c r="E687" t="str">
        <f>"202106093843"</f>
        <v>202106093843</v>
      </c>
      <c r="F687" t="str">
        <f>"Statement"</f>
        <v>Statement</v>
      </c>
      <c r="G687" s="4">
        <v>1879.67</v>
      </c>
      <c r="H687" t="str">
        <f>"3903464"</f>
        <v>3903464</v>
      </c>
    </row>
    <row r="688" spans="1:8" x14ac:dyDescent="0.25">
      <c r="E688" t="str">
        <f>""</f>
        <v/>
      </c>
      <c r="F688" t="str">
        <f>""</f>
        <v/>
      </c>
      <c r="H688" t="str">
        <f>"1541632"</f>
        <v>1541632</v>
      </c>
    </row>
    <row r="689" spans="1:8" x14ac:dyDescent="0.25">
      <c r="E689" t="str">
        <f>""</f>
        <v/>
      </c>
      <c r="F689" t="str">
        <f>""</f>
        <v/>
      </c>
      <c r="H689" t="str">
        <f>"5542904"</f>
        <v>5542904</v>
      </c>
    </row>
    <row r="690" spans="1:8" x14ac:dyDescent="0.25">
      <c r="E690" t="str">
        <f>""</f>
        <v/>
      </c>
      <c r="F690" t="str">
        <f>""</f>
        <v/>
      </c>
      <c r="H690" t="str">
        <f>"4020049"</f>
        <v>4020049</v>
      </c>
    </row>
    <row r="691" spans="1:8" x14ac:dyDescent="0.25">
      <c r="E691" t="str">
        <f>""</f>
        <v/>
      </c>
      <c r="F691" t="str">
        <f>""</f>
        <v/>
      </c>
      <c r="H691" t="str">
        <f>"9151075"</f>
        <v>9151075</v>
      </c>
    </row>
    <row r="692" spans="1:8" x14ac:dyDescent="0.25">
      <c r="E692" t="str">
        <f>""</f>
        <v/>
      </c>
      <c r="F692" t="str">
        <f>""</f>
        <v/>
      </c>
      <c r="H692" t="str">
        <f>"1151143"</f>
        <v>1151143</v>
      </c>
    </row>
    <row r="693" spans="1:8" x14ac:dyDescent="0.25">
      <c r="E693" t="str">
        <f>""</f>
        <v/>
      </c>
      <c r="F693" t="str">
        <f>""</f>
        <v/>
      </c>
      <c r="H693" t="str">
        <f>"9150175"</f>
        <v>9150175</v>
      </c>
    </row>
    <row r="694" spans="1:8" x14ac:dyDescent="0.25">
      <c r="E694" t="str">
        <f>""</f>
        <v/>
      </c>
      <c r="F694" t="str">
        <f>""</f>
        <v/>
      </c>
      <c r="H694" t="str">
        <f>"9515878"</f>
        <v>9515878</v>
      </c>
    </row>
    <row r="695" spans="1:8" x14ac:dyDescent="0.25">
      <c r="E695" t="str">
        <f>""</f>
        <v/>
      </c>
      <c r="F695" t="str">
        <f>""</f>
        <v/>
      </c>
      <c r="H695" t="str">
        <f>"1151143"</f>
        <v>1151143</v>
      </c>
    </row>
    <row r="696" spans="1:8" x14ac:dyDescent="0.25">
      <c r="E696" t="str">
        <f>""</f>
        <v/>
      </c>
      <c r="F696" t="str">
        <f>""</f>
        <v/>
      </c>
      <c r="H696" t="str">
        <f>"11328"</f>
        <v>11328</v>
      </c>
    </row>
    <row r="697" spans="1:8" x14ac:dyDescent="0.25">
      <c r="E697" t="str">
        <f>""</f>
        <v/>
      </c>
      <c r="F697" t="str">
        <f>""</f>
        <v/>
      </c>
      <c r="H697" t="str">
        <f>"3010288"</f>
        <v>3010288</v>
      </c>
    </row>
    <row r="698" spans="1:8" x14ac:dyDescent="0.25">
      <c r="E698" t="str">
        <f>""</f>
        <v/>
      </c>
      <c r="F698" t="str">
        <f>""</f>
        <v/>
      </c>
      <c r="H698" t="str">
        <f>"3020140"</f>
        <v>3020140</v>
      </c>
    </row>
    <row r="699" spans="1:8" x14ac:dyDescent="0.25">
      <c r="E699" t="str">
        <f>""</f>
        <v/>
      </c>
      <c r="F699" t="str">
        <f>""</f>
        <v/>
      </c>
      <c r="H699" t="str">
        <f>"4090505"</f>
        <v>4090505</v>
      </c>
    </row>
    <row r="700" spans="1:8" x14ac:dyDescent="0.25">
      <c r="E700" t="str">
        <f>""</f>
        <v/>
      </c>
      <c r="F700" t="str">
        <f>""</f>
        <v/>
      </c>
      <c r="H700" t="str">
        <f>"11321"</f>
        <v>11321</v>
      </c>
    </row>
    <row r="701" spans="1:8" x14ac:dyDescent="0.25">
      <c r="E701" t="str">
        <f>""</f>
        <v/>
      </c>
      <c r="F701" t="str">
        <f>""</f>
        <v/>
      </c>
      <c r="H701" t="str">
        <f>"11326"</f>
        <v>11326</v>
      </c>
    </row>
    <row r="702" spans="1:8" x14ac:dyDescent="0.25">
      <c r="E702" t="str">
        <f>""</f>
        <v/>
      </c>
      <c r="F702" t="str">
        <f>""</f>
        <v/>
      </c>
      <c r="H702" t="str">
        <f>"2523645"</f>
        <v>2523645</v>
      </c>
    </row>
    <row r="703" spans="1:8" x14ac:dyDescent="0.25">
      <c r="A703" t="s">
        <v>164</v>
      </c>
      <c r="B703">
        <v>4589</v>
      </c>
      <c r="C703" s="4">
        <v>470.53</v>
      </c>
      <c r="D703" s="1">
        <v>44362</v>
      </c>
      <c r="E703" t="str">
        <f>"0552086982"</f>
        <v>0552086982</v>
      </c>
      <c r="F703" t="str">
        <f>"CUST#212645"</f>
        <v>CUST#212645</v>
      </c>
      <c r="G703" s="8">
        <v>-176.61</v>
      </c>
      <c r="H703" t="str">
        <f>"CUST#212645"</f>
        <v>CUST#212645</v>
      </c>
    </row>
    <row r="704" spans="1:8" x14ac:dyDescent="0.25">
      <c r="E704" t="str">
        <f>"0552118986"</f>
        <v>0552118986</v>
      </c>
      <c r="F704" t="str">
        <f>"CUST#212645"</f>
        <v>CUST#212645</v>
      </c>
      <c r="G704" s="8">
        <v>90</v>
      </c>
      <c r="H704" t="str">
        <f>"CUST#212645"</f>
        <v>CUST#212645</v>
      </c>
    </row>
    <row r="705" spans="1:8" x14ac:dyDescent="0.25">
      <c r="E705" t="str">
        <f>"0552121113"</f>
        <v>0552121113</v>
      </c>
      <c r="F705" t="str">
        <f>"CUST#212645"</f>
        <v>CUST#212645</v>
      </c>
      <c r="G705" s="8">
        <v>557.14</v>
      </c>
      <c r="H705" t="str">
        <f>"CUST#212645"</f>
        <v>CUST#212645</v>
      </c>
    </row>
    <row r="706" spans="1:8" x14ac:dyDescent="0.25">
      <c r="A706" t="s">
        <v>165</v>
      </c>
      <c r="B706">
        <v>4588</v>
      </c>
      <c r="C706" s="4">
        <v>412.5</v>
      </c>
      <c r="D706" s="1">
        <v>44362</v>
      </c>
      <c r="E706" t="str">
        <f>"BCAS_05012021"</f>
        <v>BCAS_05012021</v>
      </c>
      <c r="F706" t="str">
        <f>"SHELTERLUV SOFTWARE"</f>
        <v>SHELTERLUV SOFTWARE</v>
      </c>
      <c r="G706" s="4">
        <v>412.5</v>
      </c>
      <c r="H706" t="str">
        <f>"SHELTERLUV SOFTWARE"</f>
        <v>SHELTERLUV SOFTWARE</v>
      </c>
    </row>
    <row r="707" spans="1:8" x14ac:dyDescent="0.25">
      <c r="A707" t="s">
        <v>166</v>
      </c>
      <c r="B707">
        <v>135871</v>
      </c>
      <c r="C707" s="4">
        <v>4036.25</v>
      </c>
      <c r="D707" s="1">
        <v>44361</v>
      </c>
      <c r="E707" t="str">
        <f>"WI-31258-S8T1"</f>
        <v>WI-31258-S8T1</v>
      </c>
      <c r="F707" t="str">
        <f>"INV WI-31258-S8T1"</f>
        <v>INV WI-31258-S8T1</v>
      </c>
      <c r="G707" s="4">
        <v>1413.75</v>
      </c>
      <c r="H707" t="str">
        <f>"INV WI-31258-S8T1"</f>
        <v>INV WI-31258-S8T1</v>
      </c>
    </row>
    <row r="708" spans="1:8" x14ac:dyDescent="0.25">
      <c r="E708" t="str">
        <f>"wi-31495-g7t1"</f>
        <v>wi-31495-g7t1</v>
      </c>
      <c r="F708" t="str">
        <f>"INV WI-31495-G7T1"</f>
        <v>INV WI-31495-G7T1</v>
      </c>
      <c r="G708" s="4">
        <v>2622.5</v>
      </c>
      <c r="H708" t="str">
        <f>"INV WI-31495-G7T1"</f>
        <v>INV WI-31495-G7T1</v>
      </c>
    </row>
    <row r="709" spans="1:8" x14ac:dyDescent="0.25">
      <c r="A709" t="s">
        <v>166</v>
      </c>
      <c r="B709">
        <v>136038</v>
      </c>
      <c r="C709" s="4">
        <v>810</v>
      </c>
      <c r="D709" s="1">
        <v>44375</v>
      </c>
      <c r="E709" t="str">
        <f>"WI-31047-V95G5"</f>
        <v>WI-31047-V95G5</v>
      </c>
      <c r="F709" t="str">
        <f>"INV WI-31047-V9G5"</f>
        <v>INV WI-31047-V9G5</v>
      </c>
      <c r="G709" s="4">
        <v>810</v>
      </c>
      <c r="H709" t="str">
        <f>"INV WI-31047-V9G5"</f>
        <v>INV WI-31047-V9G5</v>
      </c>
    </row>
    <row r="710" spans="1:8" x14ac:dyDescent="0.25">
      <c r="A710" t="s">
        <v>167</v>
      </c>
      <c r="B710">
        <v>136039</v>
      </c>
      <c r="C710" s="4">
        <v>314.98</v>
      </c>
      <c r="D710" s="1">
        <v>44375</v>
      </c>
      <c r="E710" t="str">
        <f>"414679"</f>
        <v>414679</v>
      </c>
      <c r="F710" t="str">
        <f>"INV 414679"</f>
        <v>INV 414679</v>
      </c>
      <c r="G710" s="4">
        <v>314.98</v>
      </c>
      <c r="H710" t="str">
        <f>"INV 414679"</f>
        <v>INV 414679</v>
      </c>
    </row>
    <row r="711" spans="1:8" x14ac:dyDescent="0.25">
      <c r="A711" t="s">
        <v>168</v>
      </c>
      <c r="B711">
        <v>1105</v>
      </c>
      <c r="C711" s="4">
        <v>0</v>
      </c>
      <c r="D711" s="1">
        <v>44362</v>
      </c>
      <c r="E711" t="str">
        <f>"202106153955"</f>
        <v>202106153955</v>
      </c>
      <c r="F711" t="str">
        <f>"ACCT# 72-56313 / 06032021"</f>
        <v>ACCT# 72-56313 / 06032021</v>
      </c>
      <c r="G711" s="4">
        <v>-250</v>
      </c>
      <c r="H711" t="str">
        <f>"ACCT# 72-56313 / 06032021"</f>
        <v>ACCT# 72-56313 / 06032021</v>
      </c>
    </row>
    <row r="712" spans="1:8" x14ac:dyDescent="0.25">
      <c r="E712" t="str">
        <f>"202106143922"</f>
        <v>202106143922</v>
      </c>
      <c r="F712" t="str">
        <f>"ACCT #72-56313 / 06/03/2021"</f>
        <v>ACCT #72-56313 / 06/03/2021</v>
      </c>
      <c r="G712" s="4">
        <v>250</v>
      </c>
      <c r="H712" t="str">
        <f>"ACCT #72-56313 / 06/03/2021"</f>
        <v>ACCT #72-56313 / 06/03/2021</v>
      </c>
    </row>
    <row r="713" spans="1:8" x14ac:dyDescent="0.25">
      <c r="A713" t="s">
        <v>169</v>
      </c>
      <c r="B713">
        <v>135872</v>
      </c>
      <c r="C713" s="4">
        <v>63</v>
      </c>
      <c r="D713" s="1">
        <v>44361</v>
      </c>
      <c r="E713" t="str">
        <f>"202105253413"</f>
        <v>202105253413</v>
      </c>
      <c r="F713" t="str">
        <f>"INSPECTIONS/HERBERT HURST"</f>
        <v>INSPECTIONS/HERBERT HURST</v>
      </c>
      <c r="G713" s="4">
        <v>63</v>
      </c>
      <c r="H713" t="str">
        <f>"INSPECTIONS/HERBERT HURST"</f>
        <v>INSPECTIONS/HERBERT HURST</v>
      </c>
    </row>
    <row r="714" spans="1:8" x14ac:dyDescent="0.25">
      <c r="A714" t="s">
        <v>170</v>
      </c>
      <c r="B714">
        <v>4651</v>
      </c>
      <c r="C714" s="4">
        <v>796.3</v>
      </c>
      <c r="D714" s="1">
        <v>44376</v>
      </c>
      <c r="E714" t="str">
        <f>"206642"</f>
        <v>206642</v>
      </c>
      <c r="F714" t="str">
        <f>"WILDFIRE MIT/OEM"</f>
        <v>WILDFIRE MIT/OEM</v>
      </c>
      <c r="G714" s="4">
        <v>134.88999999999999</v>
      </c>
      <c r="H714" t="str">
        <f>"WILDFIRE MIT/OEM"</f>
        <v>WILDFIRE MIT/OEM</v>
      </c>
    </row>
    <row r="715" spans="1:8" x14ac:dyDescent="0.25">
      <c r="E715" t="str">
        <f>"206828"</f>
        <v>206828</v>
      </c>
      <c r="F715" t="str">
        <f>"WILDFIRE MIT/OEM"</f>
        <v>WILDFIRE MIT/OEM</v>
      </c>
      <c r="G715" s="4">
        <v>112</v>
      </c>
      <c r="H715" t="str">
        <f>"WILDFIRE MIT/OEM"</f>
        <v>WILDFIRE MIT/OEM</v>
      </c>
    </row>
    <row r="716" spans="1:8" x14ac:dyDescent="0.25">
      <c r="E716" t="str">
        <f>"207119"</f>
        <v>207119</v>
      </c>
      <c r="F716" t="str">
        <f>"3/4 HIGH PRESSURE/PCT#3"</f>
        <v>3/4 HIGH PRESSURE/PCT#3</v>
      </c>
      <c r="G716" s="4">
        <v>549.41</v>
      </c>
      <c r="H716" t="str">
        <f>"3/4 HIGH PRESSURE/PCT#3"</f>
        <v>3/4 HIGH PRESSURE/PCT#3</v>
      </c>
    </row>
    <row r="717" spans="1:8" x14ac:dyDescent="0.25">
      <c r="A717" t="s">
        <v>171</v>
      </c>
      <c r="B717">
        <v>4550</v>
      </c>
      <c r="C717" s="4">
        <v>534</v>
      </c>
      <c r="D717" s="1">
        <v>44362</v>
      </c>
      <c r="E717" t="str">
        <f>"W4490900"</f>
        <v>W4490900</v>
      </c>
      <c r="F717" t="str">
        <f>"INV W4490900"</f>
        <v>INV W4490900</v>
      </c>
      <c r="G717" s="4">
        <v>534</v>
      </c>
      <c r="H717" t="str">
        <f>"INV W4490900"</f>
        <v>INV W4490900</v>
      </c>
    </row>
    <row r="718" spans="1:8" x14ac:dyDescent="0.25">
      <c r="A718" t="s">
        <v>171</v>
      </c>
      <c r="B718">
        <v>4632</v>
      </c>
      <c r="C718" s="4">
        <v>6495.5</v>
      </c>
      <c r="D718" s="1">
        <v>44376</v>
      </c>
      <c r="E718" t="str">
        <f>"E4532800"</f>
        <v>E4532800</v>
      </c>
      <c r="F718" t="str">
        <f>"INV W4532800"</f>
        <v>INV W4532800</v>
      </c>
      <c r="G718" s="4">
        <v>2011</v>
      </c>
      <c r="H718" t="str">
        <f>"INV W4532800"</f>
        <v>INV W4532800</v>
      </c>
    </row>
    <row r="719" spans="1:8" x14ac:dyDescent="0.25">
      <c r="E719" t="str">
        <f>"E4547500"</f>
        <v>E4547500</v>
      </c>
      <c r="F719" t="str">
        <f>"INV W4547500"</f>
        <v>INV W4547500</v>
      </c>
      <c r="G719" s="4">
        <v>4484.5</v>
      </c>
      <c r="H719" t="str">
        <f>"INV W4547500"</f>
        <v>INV W4547500</v>
      </c>
    </row>
    <row r="720" spans="1:8" x14ac:dyDescent="0.25">
      <c r="A720" t="s">
        <v>172</v>
      </c>
      <c r="B720">
        <v>135873</v>
      </c>
      <c r="C720" s="4">
        <v>340</v>
      </c>
      <c r="D720" s="1">
        <v>44361</v>
      </c>
      <c r="E720" t="str">
        <f>"3084300264"</f>
        <v>3084300264</v>
      </c>
      <c r="F720" t="str">
        <f>"ACCT#187947/ANIMAL SHELTER"</f>
        <v>ACCT#187947/ANIMAL SHELTER</v>
      </c>
      <c r="G720" s="4">
        <v>136</v>
      </c>
      <c r="H720" t="str">
        <f>"ACCT#187947/ANIMAL SHELTER"</f>
        <v>ACCT#187947/ANIMAL SHELTER</v>
      </c>
    </row>
    <row r="721" spans="1:8" x14ac:dyDescent="0.25">
      <c r="E721" t="str">
        <f>"3084966429"</f>
        <v>3084966429</v>
      </c>
      <c r="F721" t="str">
        <f>"ACCT#187947/ANIMAL SHELTER"</f>
        <v>ACCT#187947/ANIMAL SHELTER</v>
      </c>
      <c r="G721" s="4">
        <v>204</v>
      </c>
      <c r="H721" t="str">
        <f>"ACCT#187947/ANIMAL SHELTER"</f>
        <v>ACCT#187947/ANIMAL SHELTER</v>
      </c>
    </row>
    <row r="722" spans="1:8" x14ac:dyDescent="0.25">
      <c r="A722" t="s">
        <v>173</v>
      </c>
      <c r="B722">
        <v>135874</v>
      </c>
      <c r="C722" s="4">
        <v>1500</v>
      </c>
      <c r="D722" s="1">
        <v>44361</v>
      </c>
      <c r="E722" t="str">
        <f>"202106083805"</f>
        <v>202106083805</v>
      </c>
      <c r="F722" t="str">
        <f>"IMAGE RIGHTS SETTLEMENT"</f>
        <v>IMAGE RIGHTS SETTLEMENT</v>
      </c>
      <c r="G722" s="4">
        <v>1500</v>
      </c>
      <c r="H722" t="str">
        <f>"IMAGE RIGHTS SETTLEMENT"</f>
        <v>IMAGE RIGHTS SETTLEMENT</v>
      </c>
    </row>
    <row r="723" spans="1:8" x14ac:dyDescent="0.25">
      <c r="A723" t="s">
        <v>174</v>
      </c>
      <c r="B723">
        <v>4685</v>
      </c>
      <c r="C723" s="4">
        <v>2430</v>
      </c>
      <c r="D723" s="1">
        <v>44376</v>
      </c>
      <c r="E723" t="str">
        <f>"71815"</f>
        <v>71815</v>
      </c>
      <c r="F723" t="str">
        <f>"PROFESSIONAL SERVICES/ JULY 21"</f>
        <v>PROFESSIONAL SERVICES/ JULY 21</v>
      </c>
      <c r="G723" s="4">
        <v>2430</v>
      </c>
      <c r="H723" t="str">
        <f>"PROFESSIONAL SERVICES/ JULY 21"</f>
        <v>PROFESSIONAL SERVICES/ JULY 21</v>
      </c>
    </row>
    <row r="724" spans="1:8" x14ac:dyDescent="0.25">
      <c r="E724" t="str">
        <f>""</f>
        <v/>
      </c>
      <c r="F724" t="str">
        <f>""</f>
        <v/>
      </c>
      <c r="H724" t="str">
        <f>"PROFESSIONAL SERVICES/ JULY 21"</f>
        <v>PROFESSIONAL SERVICES/ JULY 21</v>
      </c>
    </row>
    <row r="725" spans="1:8" x14ac:dyDescent="0.25">
      <c r="A725" t="s">
        <v>175</v>
      </c>
      <c r="B725">
        <v>136040</v>
      </c>
      <c r="C725" s="4">
        <v>50</v>
      </c>
      <c r="D725" s="1">
        <v>44375</v>
      </c>
      <c r="E725" t="str">
        <f>"202106224139"</f>
        <v>202106224139</v>
      </c>
      <c r="F725" t="str">
        <f>"REIMBURSE/IRIS FUENTES"</f>
        <v>REIMBURSE/IRIS FUENTES</v>
      </c>
      <c r="G725" s="4">
        <v>50</v>
      </c>
      <c r="H725" t="str">
        <f>"REIMBURSE/IRIS FUENTES"</f>
        <v>REIMBURSE/IRIS FUENTES</v>
      </c>
    </row>
    <row r="726" spans="1:8" x14ac:dyDescent="0.25">
      <c r="A726" t="s">
        <v>176</v>
      </c>
      <c r="B726">
        <v>135875</v>
      </c>
      <c r="C726" s="4">
        <v>171.04</v>
      </c>
      <c r="D726" s="1">
        <v>44361</v>
      </c>
      <c r="E726" t="str">
        <f>"DPYY401"</f>
        <v>DPYY401</v>
      </c>
      <c r="F726" t="str">
        <f>"CUST#AX773/BASTROP COUNTY CLRK"</f>
        <v>CUST#AX773/BASTROP COUNTY CLRK</v>
      </c>
      <c r="G726" s="4">
        <v>171.04</v>
      </c>
      <c r="H726" t="str">
        <f>"CUST#AX773/BASTROP COUNTY CLRK"</f>
        <v>CUST#AX773/BASTROP COUNTY CLRK</v>
      </c>
    </row>
    <row r="727" spans="1:8" x14ac:dyDescent="0.25">
      <c r="A727" t="s">
        <v>177</v>
      </c>
      <c r="B727">
        <v>135876</v>
      </c>
      <c r="C727" s="4">
        <v>437.22</v>
      </c>
      <c r="D727" s="1">
        <v>44361</v>
      </c>
      <c r="E727" t="str">
        <f>"0528231"</f>
        <v>0528231</v>
      </c>
      <c r="F727" t="str">
        <f>"ACCT#234795/PCT#2"</f>
        <v>ACCT#234795/PCT#2</v>
      </c>
      <c r="G727" s="4">
        <v>437.22</v>
      </c>
      <c r="H727" t="str">
        <f>"ACCT#234795/PCT#2"</f>
        <v>ACCT#234795/PCT#2</v>
      </c>
    </row>
    <row r="728" spans="1:8" x14ac:dyDescent="0.25">
      <c r="A728" t="s">
        <v>178</v>
      </c>
      <c r="B728">
        <v>135877</v>
      </c>
      <c r="C728" s="4">
        <v>27</v>
      </c>
      <c r="D728" s="1">
        <v>44361</v>
      </c>
      <c r="E728" t="str">
        <f>"74604"</f>
        <v>74604</v>
      </c>
      <c r="F728" t="str">
        <f>"CUST#8176/PCT#4"</f>
        <v>CUST#8176/PCT#4</v>
      </c>
      <c r="G728" s="4">
        <v>27</v>
      </c>
      <c r="H728" t="str">
        <f>"CUST#8176/PCT#4"</f>
        <v>CUST#8176/PCT#4</v>
      </c>
    </row>
    <row r="729" spans="1:8" x14ac:dyDescent="0.25">
      <c r="A729" t="s">
        <v>179</v>
      </c>
      <c r="B729">
        <v>4622</v>
      </c>
      <c r="C729" s="4">
        <v>150</v>
      </c>
      <c r="D729" s="1">
        <v>44362</v>
      </c>
      <c r="E729" t="str">
        <f>"13126"</f>
        <v>13126</v>
      </c>
      <c r="F729" t="str">
        <f>"AD LITEM FEE"</f>
        <v>AD LITEM FEE</v>
      </c>
      <c r="G729" s="4">
        <v>150</v>
      </c>
      <c r="H729" t="str">
        <f>"AD LITEM FEE"</f>
        <v>AD LITEM FEE</v>
      </c>
    </row>
    <row r="730" spans="1:8" x14ac:dyDescent="0.25">
      <c r="A730" t="s">
        <v>179</v>
      </c>
      <c r="B730">
        <v>4693</v>
      </c>
      <c r="C730" s="4">
        <v>2600</v>
      </c>
      <c r="D730" s="1">
        <v>44376</v>
      </c>
      <c r="E730" t="str">
        <f>"13022"</f>
        <v>13022</v>
      </c>
      <c r="F730" t="str">
        <f>"AD LITEM FEE"</f>
        <v>AD LITEM FEE</v>
      </c>
      <c r="G730" s="4">
        <v>150</v>
      </c>
      <c r="H730" t="str">
        <f>"AD LITEM FEE"</f>
        <v>AD LITEM FEE</v>
      </c>
    </row>
    <row r="731" spans="1:8" x14ac:dyDescent="0.25">
      <c r="E731" t="str">
        <f>"13101"</f>
        <v>13101</v>
      </c>
      <c r="F731" t="str">
        <f>"AD LITEM FEE 04/05/2021"</f>
        <v>AD LITEM FEE 04/05/2021</v>
      </c>
      <c r="G731" s="4">
        <v>150</v>
      </c>
      <c r="H731" t="str">
        <f>"AD LITEM FEE 04/05/2021"</f>
        <v>AD LITEM FEE 04/05/2021</v>
      </c>
    </row>
    <row r="732" spans="1:8" x14ac:dyDescent="0.25">
      <c r="E732" t="str">
        <f>"13133"</f>
        <v>13133</v>
      </c>
      <c r="F732" t="str">
        <f>"AD LITEM FEE"</f>
        <v>AD LITEM FEE</v>
      </c>
      <c r="G732" s="4">
        <v>150</v>
      </c>
      <c r="H732" t="str">
        <f>"AD LITEM FEE"</f>
        <v>AD LITEM FEE</v>
      </c>
    </row>
    <row r="733" spans="1:8" x14ac:dyDescent="0.25">
      <c r="E733" t="str">
        <f>"13159"</f>
        <v>13159</v>
      </c>
      <c r="F733" t="str">
        <f>"ABST FEE  04/05/2021"</f>
        <v>ABST FEE  04/05/2021</v>
      </c>
      <c r="G733" s="4">
        <v>150</v>
      </c>
      <c r="H733" t="str">
        <f>"ABST FEE  04/05/2021"</f>
        <v>ABST FEE  04/05/2021</v>
      </c>
    </row>
    <row r="734" spans="1:8" x14ac:dyDescent="0.25">
      <c r="E734" t="str">
        <f>"13187"</f>
        <v>13187</v>
      </c>
      <c r="F734" t="str">
        <f t="shared" ref="F734:F743" si="21">"AD LITEM FEE"</f>
        <v>AD LITEM FEE</v>
      </c>
      <c r="G734" s="4">
        <v>150</v>
      </c>
      <c r="H734" t="str">
        <f t="shared" ref="H734:H743" si="22">"AD LITEM FEE"</f>
        <v>AD LITEM FEE</v>
      </c>
    </row>
    <row r="735" spans="1:8" x14ac:dyDescent="0.25">
      <c r="E735" t="str">
        <f>"13189"</f>
        <v>13189</v>
      </c>
      <c r="F735" t="str">
        <f t="shared" si="21"/>
        <v>AD LITEM FEE</v>
      </c>
      <c r="G735" s="4">
        <v>150</v>
      </c>
      <c r="H735" t="str">
        <f t="shared" si="22"/>
        <v>AD LITEM FEE</v>
      </c>
    </row>
    <row r="736" spans="1:8" x14ac:dyDescent="0.25">
      <c r="E736" t="str">
        <f>"13221"</f>
        <v>13221</v>
      </c>
      <c r="F736" t="str">
        <f t="shared" si="21"/>
        <v>AD LITEM FEE</v>
      </c>
      <c r="G736" s="4">
        <v>150</v>
      </c>
      <c r="H736" t="str">
        <f t="shared" si="22"/>
        <v>AD LITEM FEE</v>
      </c>
    </row>
    <row r="737" spans="1:8" x14ac:dyDescent="0.25">
      <c r="E737" t="str">
        <f>"13236"</f>
        <v>13236</v>
      </c>
      <c r="F737" t="str">
        <f t="shared" si="21"/>
        <v>AD LITEM FEE</v>
      </c>
      <c r="G737" s="4">
        <v>150</v>
      </c>
      <c r="H737" t="str">
        <f t="shared" si="22"/>
        <v>AD LITEM FEE</v>
      </c>
    </row>
    <row r="738" spans="1:8" x14ac:dyDescent="0.25">
      <c r="E738" t="str">
        <f>"13237"</f>
        <v>13237</v>
      </c>
      <c r="F738" t="str">
        <f t="shared" si="21"/>
        <v>AD LITEM FEE</v>
      </c>
      <c r="G738" s="4">
        <v>150</v>
      </c>
      <c r="H738" t="str">
        <f t="shared" si="22"/>
        <v>AD LITEM FEE</v>
      </c>
    </row>
    <row r="739" spans="1:8" x14ac:dyDescent="0.25">
      <c r="E739" t="str">
        <f>"13257"</f>
        <v>13257</v>
      </c>
      <c r="F739" t="str">
        <f t="shared" si="21"/>
        <v>AD LITEM FEE</v>
      </c>
      <c r="G739" s="4">
        <v>150</v>
      </c>
      <c r="H739" t="str">
        <f t="shared" si="22"/>
        <v>AD LITEM FEE</v>
      </c>
    </row>
    <row r="740" spans="1:8" x14ac:dyDescent="0.25">
      <c r="E740" t="str">
        <f>"13282"</f>
        <v>13282</v>
      </c>
      <c r="F740" t="str">
        <f t="shared" si="21"/>
        <v>AD LITEM FEE</v>
      </c>
      <c r="G740" s="4">
        <v>150</v>
      </c>
      <c r="H740" t="str">
        <f t="shared" si="22"/>
        <v>AD LITEM FEE</v>
      </c>
    </row>
    <row r="741" spans="1:8" x14ac:dyDescent="0.25">
      <c r="E741" t="str">
        <f>"13297"</f>
        <v>13297</v>
      </c>
      <c r="F741" t="str">
        <f t="shared" si="21"/>
        <v>AD LITEM FEE</v>
      </c>
      <c r="G741" s="4">
        <v>150</v>
      </c>
      <c r="H741" t="str">
        <f t="shared" si="22"/>
        <v>AD LITEM FEE</v>
      </c>
    </row>
    <row r="742" spans="1:8" x14ac:dyDescent="0.25">
      <c r="E742" t="str">
        <f>"13315"</f>
        <v>13315</v>
      </c>
      <c r="F742" t="str">
        <f t="shared" si="21"/>
        <v>AD LITEM FEE</v>
      </c>
      <c r="G742" s="4">
        <v>150</v>
      </c>
      <c r="H742" t="str">
        <f t="shared" si="22"/>
        <v>AD LITEM FEE</v>
      </c>
    </row>
    <row r="743" spans="1:8" x14ac:dyDescent="0.25">
      <c r="E743" t="str">
        <f>"13345"</f>
        <v>13345</v>
      </c>
      <c r="F743" t="str">
        <f t="shared" si="21"/>
        <v>AD LITEM FEE</v>
      </c>
      <c r="G743" s="4">
        <v>150</v>
      </c>
      <c r="H743" t="str">
        <f t="shared" si="22"/>
        <v>AD LITEM FEE</v>
      </c>
    </row>
    <row r="744" spans="1:8" x14ac:dyDescent="0.25">
      <c r="E744" t="str">
        <f>"202106164030"</f>
        <v>202106164030</v>
      </c>
      <c r="F744" t="str">
        <f>"02-0720-1-15"</f>
        <v>02-0720-1-15</v>
      </c>
      <c r="G744" s="4">
        <v>250</v>
      </c>
      <c r="H744" t="str">
        <f>"02-0720-1-15"</f>
        <v>02-0720-1-15</v>
      </c>
    </row>
    <row r="745" spans="1:8" x14ac:dyDescent="0.25">
      <c r="E745" t="str">
        <f>"202106164038"</f>
        <v>202106164038</v>
      </c>
      <c r="F745" t="str">
        <f>"02-0115-1"</f>
        <v>02-0115-1</v>
      </c>
      <c r="G745" s="4">
        <v>250</v>
      </c>
      <c r="H745" t="str">
        <f>"02-0115-1"</f>
        <v>02-0115-1</v>
      </c>
    </row>
    <row r="746" spans="1:8" x14ac:dyDescent="0.25">
      <c r="A746" t="s">
        <v>180</v>
      </c>
      <c r="B746">
        <v>135878</v>
      </c>
      <c r="C746" s="4">
        <v>240</v>
      </c>
      <c r="D746" s="1">
        <v>44361</v>
      </c>
      <c r="E746" t="str">
        <f>"202105263421"</f>
        <v>202105263421</v>
      </c>
      <c r="F746" t="str">
        <f>"REIMBURSEMENT/JESSICA GHAZAL"</f>
        <v>REIMBURSEMENT/JESSICA GHAZAL</v>
      </c>
      <c r="G746" s="4">
        <v>240</v>
      </c>
      <c r="H746" t="str">
        <f>"REIMBURSEMENT/JESSICA GHAZAL"</f>
        <v>REIMBURSEMENT/JESSICA GHAZAL</v>
      </c>
    </row>
    <row r="747" spans="1:8" x14ac:dyDescent="0.25">
      <c r="A747" t="s">
        <v>181</v>
      </c>
      <c r="B747">
        <v>136041</v>
      </c>
      <c r="C747" s="4">
        <v>145</v>
      </c>
      <c r="D747" s="1">
        <v>44375</v>
      </c>
      <c r="E747" t="str">
        <f>"202106164006"</f>
        <v>202106164006</v>
      </c>
      <c r="F747" t="str">
        <f>"REIMBURSEMENT/JESSICA JAMES"</f>
        <v>REIMBURSEMENT/JESSICA JAMES</v>
      </c>
      <c r="G747" s="4">
        <v>145</v>
      </c>
      <c r="H747" t="str">
        <f>"REIMBURSEMENT/JESSICA JAMES"</f>
        <v>REIMBURSEMENT/JESSICA JAMES</v>
      </c>
    </row>
    <row r="748" spans="1:8" x14ac:dyDescent="0.25">
      <c r="A748" t="s">
        <v>182</v>
      </c>
      <c r="B748">
        <v>136042</v>
      </c>
      <c r="C748" s="4">
        <v>7586</v>
      </c>
      <c r="D748" s="1">
        <v>44375</v>
      </c>
      <c r="E748" t="str">
        <f>"1366"</f>
        <v>1366</v>
      </c>
      <c r="F748" t="str">
        <f>"INV 1366"</f>
        <v>INV 1366</v>
      </c>
      <c r="G748" s="4">
        <v>7586</v>
      </c>
      <c r="H748" t="str">
        <f>"INV 1366"</f>
        <v>INV 1366</v>
      </c>
    </row>
    <row r="749" spans="1:8" x14ac:dyDescent="0.25">
      <c r="A749" t="s">
        <v>183</v>
      </c>
      <c r="B749">
        <v>4614</v>
      </c>
      <c r="C749" s="4">
        <v>4450</v>
      </c>
      <c r="D749" s="1">
        <v>44362</v>
      </c>
      <c r="E749" t="str">
        <f>"202105263437"</f>
        <v>202105263437</v>
      </c>
      <c r="F749" t="str">
        <f>"1780-21"</f>
        <v>1780-21</v>
      </c>
      <c r="G749" s="4">
        <v>100</v>
      </c>
      <c r="H749" t="str">
        <f>"1780-21"</f>
        <v>1780-21</v>
      </c>
    </row>
    <row r="750" spans="1:8" x14ac:dyDescent="0.25">
      <c r="E750" t="str">
        <f>"202105263438"</f>
        <v>202105263438</v>
      </c>
      <c r="F750" t="str">
        <f>"16652"</f>
        <v>16652</v>
      </c>
      <c r="G750" s="4">
        <v>400</v>
      </c>
      <c r="H750" t="str">
        <f>"16652"</f>
        <v>16652</v>
      </c>
    </row>
    <row r="751" spans="1:8" x14ac:dyDescent="0.25">
      <c r="E751" t="str">
        <f>"202106033512"</f>
        <v>202106033512</v>
      </c>
      <c r="F751" t="str">
        <f>"JP-101132021B"</f>
        <v>JP-101132021B</v>
      </c>
      <c r="G751" s="4">
        <v>400</v>
      </c>
      <c r="H751" t="str">
        <f>"JP-101132021B"</f>
        <v>JP-101132021B</v>
      </c>
    </row>
    <row r="752" spans="1:8" x14ac:dyDescent="0.25">
      <c r="E752" t="str">
        <f>"202106043685"</f>
        <v>202106043685</v>
      </c>
      <c r="F752" t="str">
        <f>"16561"</f>
        <v>16561</v>
      </c>
      <c r="G752" s="4">
        <v>3150</v>
      </c>
      <c r="H752" t="str">
        <f>"16561"</f>
        <v>16561</v>
      </c>
    </row>
    <row r="753" spans="1:8" x14ac:dyDescent="0.25">
      <c r="E753" t="str">
        <f>"202106043686"</f>
        <v>202106043686</v>
      </c>
      <c r="F753" t="str">
        <f>"DCPC 20-139"</f>
        <v>DCPC 20-139</v>
      </c>
      <c r="G753" s="4">
        <v>400</v>
      </c>
      <c r="H753" t="str">
        <f>"DCPC 20-139"</f>
        <v>DCPC 20-139</v>
      </c>
    </row>
    <row r="754" spans="1:8" x14ac:dyDescent="0.25">
      <c r="A754" t="s">
        <v>183</v>
      </c>
      <c r="B754">
        <v>4688</v>
      </c>
      <c r="C754" s="4">
        <v>2800</v>
      </c>
      <c r="D754" s="1">
        <v>44376</v>
      </c>
      <c r="E754" t="str">
        <f>"202106164026"</f>
        <v>202106164026</v>
      </c>
      <c r="F754" t="str">
        <f>"17199"</f>
        <v>17199</v>
      </c>
      <c r="G754" s="4">
        <v>850</v>
      </c>
      <c r="H754" t="str">
        <f>"17199"</f>
        <v>17199</v>
      </c>
    </row>
    <row r="755" spans="1:8" x14ac:dyDescent="0.25">
      <c r="E755" t="str">
        <f>"202106174084"</f>
        <v>202106174084</v>
      </c>
      <c r="F755" t="str">
        <f>"16857"</f>
        <v>16857</v>
      </c>
      <c r="G755" s="4">
        <v>400</v>
      </c>
      <c r="H755" t="str">
        <f>"16857"</f>
        <v>16857</v>
      </c>
    </row>
    <row r="756" spans="1:8" x14ac:dyDescent="0.25">
      <c r="E756" t="str">
        <f>"202106174085"</f>
        <v>202106174085</v>
      </c>
      <c r="F756" t="str">
        <f>"17203"</f>
        <v>17203</v>
      </c>
      <c r="G756" s="4">
        <v>400</v>
      </c>
      <c r="H756" t="str">
        <f>"17203"</f>
        <v>17203</v>
      </c>
    </row>
    <row r="757" spans="1:8" x14ac:dyDescent="0.25">
      <c r="E757" t="str">
        <f>"202106174086"</f>
        <v>202106174086</v>
      </c>
      <c r="F757" t="str">
        <f>"15671"</f>
        <v>15671</v>
      </c>
      <c r="G757" s="4">
        <v>1150</v>
      </c>
      <c r="H757" t="str">
        <f>"15671"</f>
        <v>15671</v>
      </c>
    </row>
    <row r="758" spans="1:8" x14ac:dyDescent="0.25">
      <c r="A758" t="s">
        <v>184</v>
      </c>
      <c r="B758">
        <v>135879</v>
      </c>
      <c r="C758" s="4">
        <v>300</v>
      </c>
      <c r="D758" s="1">
        <v>44361</v>
      </c>
      <c r="E758" t="str">
        <f>"1156"</f>
        <v>1156</v>
      </c>
      <c r="F758" t="str">
        <f>"SPANISH INTERPRETATION"</f>
        <v>SPANISH INTERPRETATION</v>
      </c>
      <c r="G758" s="4">
        <v>300</v>
      </c>
      <c r="H758" t="str">
        <f>"SPANISH INTERPRETATION"</f>
        <v>SPANISH INTERPRETATION</v>
      </c>
    </row>
    <row r="759" spans="1:8" x14ac:dyDescent="0.25">
      <c r="A759" t="s">
        <v>184</v>
      </c>
      <c r="B759">
        <v>136043</v>
      </c>
      <c r="C759" s="4">
        <v>300</v>
      </c>
      <c r="D759" s="1">
        <v>44375</v>
      </c>
      <c r="E759" t="str">
        <f>"202106164039"</f>
        <v>202106164039</v>
      </c>
      <c r="F759" t="str">
        <f>"SPANISH INTERPRETATION"</f>
        <v>SPANISH INTERPRETATION</v>
      </c>
      <c r="G759" s="4">
        <v>300</v>
      </c>
      <c r="H759" t="str">
        <f>"SPANISH INTERPRETATION"</f>
        <v>SPANISH INTERPRETATION</v>
      </c>
    </row>
    <row r="760" spans="1:8" x14ac:dyDescent="0.25">
      <c r="A760" t="s">
        <v>185</v>
      </c>
      <c r="B760">
        <v>135880</v>
      </c>
      <c r="C760" s="4">
        <v>240</v>
      </c>
      <c r="D760" s="1">
        <v>44361</v>
      </c>
      <c r="E760" t="str">
        <f>"202106073757"</f>
        <v>202106073757</v>
      </c>
      <c r="F760" t="str">
        <f>"REIMBURSE/KELLI BRIZENDINE"</f>
        <v>REIMBURSE/KELLI BRIZENDINE</v>
      </c>
      <c r="G760" s="4">
        <v>240</v>
      </c>
      <c r="H760" t="str">
        <f>"REIMBURSE/KELLI BRIZENDINE"</f>
        <v>REIMBURSE/KELLI BRIZENDINE</v>
      </c>
    </row>
    <row r="761" spans="1:8" x14ac:dyDescent="0.25">
      <c r="A761" t="s">
        <v>186</v>
      </c>
      <c r="B761">
        <v>1115</v>
      </c>
      <c r="C761" s="4">
        <v>0</v>
      </c>
      <c r="D761" s="1">
        <v>44362</v>
      </c>
      <c r="E761" t="str">
        <f>"202106153956"</f>
        <v>202106153956</v>
      </c>
      <c r="F761" t="str">
        <f>"ACCT# 72-56313 / 06032021"</f>
        <v>ACCT# 72-56313 / 06032021</v>
      </c>
      <c r="G761" s="4">
        <v>-168.46</v>
      </c>
      <c r="H761" t="str">
        <f>"ACCT# 72-56313 / 06032021"</f>
        <v>ACCT# 72-56313 / 06032021</v>
      </c>
    </row>
    <row r="762" spans="1:8" x14ac:dyDescent="0.25">
      <c r="E762" t="str">
        <f>"202106143932"</f>
        <v>202106143932</v>
      </c>
      <c r="F762" t="str">
        <f>"ACCT #72-56313 / 06/03/2021"</f>
        <v>ACCT #72-56313 / 06/03/2021</v>
      </c>
      <c r="G762" s="4">
        <v>168.46</v>
      </c>
      <c r="H762" t="str">
        <f>"ACCT #72-56313 / 06/03/2021"</f>
        <v>ACCT #72-56313 / 06/03/2021</v>
      </c>
    </row>
    <row r="763" spans="1:8" x14ac:dyDescent="0.25">
      <c r="A763" t="s">
        <v>187</v>
      </c>
      <c r="B763">
        <v>136044</v>
      </c>
      <c r="C763" s="4">
        <v>375</v>
      </c>
      <c r="D763" s="1">
        <v>44375</v>
      </c>
      <c r="E763" t="str">
        <f>"868448"</f>
        <v>868448</v>
      </c>
      <c r="F763" t="str">
        <f>"TRAHS REMOVAL/KENNETH LIMUEL"</f>
        <v>TRAHS REMOVAL/KENNETH LIMUEL</v>
      </c>
      <c r="G763" s="4">
        <v>375</v>
      </c>
      <c r="H763" t="str">
        <f>"TRAHS REMOVAL/KENNETH LIMUEL"</f>
        <v>TRAHS REMOVAL/KENNETH LIMUEL</v>
      </c>
    </row>
    <row r="764" spans="1:8" x14ac:dyDescent="0.25">
      <c r="A764" t="s">
        <v>188</v>
      </c>
      <c r="B764">
        <v>4603</v>
      </c>
      <c r="C764" s="4">
        <v>2717</v>
      </c>
      <c r="D764" s="1">
        <v>44362</v>
      </c>
      <c r="E764" t="str">
        <f>"437"</f>
        <v>437</v>
      </c>
      <c r="F764" t="str">
        <f>"TOWER RENTAL/SO"</f>
        <v>TOWER RENTAL/SO</v>
      </c>
      <c r="G764" s="4">
        <v>2717</v>
      </c>
      <c r="H764" t="str">
        <f>"TOWER RENTAL/SO"</f>
        <v>TOWER RENTAL/SO</v>
      </c>
    </row>
    <row r="765" spans="1:8" x14ac:dyDescent="0.25">
      <c r="A765" t="s">
        <v>189</v>
      </c>
      <c r="B765">
        <v>4560</v>
      </c>
      <c r="C765" s="4">
        <v>820</v>
      </c>
      <c r="D765" s="1">
        <v>44362</v>
      </c>
      <c r="E765" t="str">
        <f>"202106073761"</f>
        <v>202106073761</v>
      </c>
      <c r="F765" t="str">
        <f>"KNIGHT SECURITY SYSTEMS LLC"</f>
        <v>KNIGHT SECURITY SYSTEMS LLC</v>
      </c>
      <c r="G765" s="4">
        <v>820</v>
      </c>
      <c r="H765" t="str">
        <f>"Door Project"</f>
        <v>Door Project</v>
      </c>
    </row>
    <row r="766" spans="1:8" x14ac:dyDescent="0.25">
      <c r="A766" t="s">
        <v>189</v>
      </c>
      <c r="B766">
        <v>4644</v>
      </c>
      <c r="C766" s="4">
        <v>1483.83</v>
      </c>
      <c r="D766" s="1">
        <v>44376</v>
      </c>
      <c r="E766" t="str">
        <f>"202106214099"</f>
        <v>202106214099</v>
      </c>
      <c r="F766" t="str">
        <f>"CUST#10222"</f>
        <v>CUST#10222</v>
      </c>
      <c r="G766" s="4">
        <v>706.83</v>
      </c>
      <c r="H766" t="str">
        <f>"CUST#10222"</f>
        <v>CUST#10222</v>
      </c>
    </row>
    <row r="767" spans="1:8" x14ac:dyDescent="0.25">
      <c r="E767" t="str">
        <f>"826497"</f>
        <v>826497</v>
      </c>
      <c r="F767" t="str">
        <f>"CUST#10222"</f>
        <v>CUST#10222</v>
      </c>
      <c r="G767" s="4">
        <v>777</v>
      </c>
      <c r="H767" t="str">
        <f>"CUST#10222"</f>
        <v>CUST#10222</v>
      </c>
    </row>
    <row r="768" spans="1:8" x14ac:dyDescent="0.25">
      <c r="A768" t="s">
        <v>190</v>
      </c>
      <c r="B768">
        <v>4574</v>
      </c>
      <c r="C768" s="4">
        <v>6660</v>
      </c>
      <c r="D768" s="1">
        <v>44362</v>
      </c>
      <c r="E768" t="str">
        <f>"281061"</f>
        <v>281061</v>
      </c>
      <c r="F768" t="str">
        <f>"ORD#21306651/ANNEX"</f>
        <v>ORD#21306651/ANNEX</v>
      </c>
      <c r="G768" s="4">
        <v>2215</v>
      </c>
      <c r="H768" t="str">
        <f>"ORD#21306651/ANNEX"</f>
        <v>ORD#21306651/ANNEX</v>
      </c>
    </row>
    <row r="769" spans="1:8" x14ac:dyDescent="0.25">
      <c r="E769" t="str">
        <f>"281062"</f>
        <v>281062</v>
      </c>
      <c r="F769" t="str">
        <f>"ORD#21306656/TADS"</f>
        <v>ORD#21306656/TADS</v>
      </c>
      <c r="G769" s="4">
        <v>1790</v>
      </c>
      <c r="H769" t="str">
        <f>"ORD#21306656/TADS"</f>
        <v>ORD#21306656/TADS</v>
      </c>
    </row>
    <row r="770" spans="1:8" x14ac:dyDescent="0.25">
      <c r="E770" t="str">
        <f>"281064"</f>
        <v>281064</v>
      </c>
      <c r="F770" t="str">
        <f>"ORD#21306661/COURTHOUSE"</f>
        <v>ORD#21306661/COURTHOUSE</v>
      </c>
      <c r="G770" s="4">
        <v>765</v>
      </c>
      <c r="H770" t="str">
        <f>"ORD#21306661/COURTHOUSE"</f>
        <v>ORD#21306661/COURTHOUSE</v>
      </c>
    </row>
    <row r="771" spans="1:8" x14ac:dyDescent="0.25">
      <c r="E771" t="str">
        <f>"281104"</f>
        <v>281104</v>
      </c>
      <c r="F771" t="str">
        <f>"MIKE FISHER BUILD/"</f>
        <v>MIKE FISHER BUILD/</v>
      </c>
      <c r="G771" s="4">
        <v>1890</v>
      </c>
      <c r="H771" t="str">
        <f>"MIKE FISHER BUILD/"</f>
        <v>MIKE FISHER BUILD/</v>
      </c>
    </row>
    <row r="772" spans="1:8" x14ac:dyDescent="0.25">
      <c r="A772" t="s">
        <v>190</v>
      </c>
      <c r="B772">
        <v>4653</v>
      </c>
      <c r="C772" s="4">
        <v>3040</v>
      </c>
      <c r="D772" s="1">
        <v>44376</v>
      </c>
      <c r="E772" t="str">
        <f>"281386"</f>
        <v>281386</v>
      </c>
      <c r="F772" t="str">
        <f>"ORDER#21817524"</f>
        <v>ORDER#21817524</v>
      </c>
      <c r="G772" s="4">
        <v>1725</v>
      </c>
      <c r="H772" t="str">
        <f>"ORDER#21817524"</f>
        <v>ORDER#21817524</v>
      </c>
    </row>
    <row r="773" spans="1:8" x14ac:dyDescent="0.25">
      <c r="E773" t="str">
        <f>"281408"</f>
        <v>281408</v>
      </c>
      <c r="F773" t="str">
        <f>"ORDER#21817512"</f>
        <v>ORDER#21817512</v>
      </c>
      <c r="G773" s="4">
        <v>1120</v>
      </c>
      <c r="H773" t="str">
        <f>"ORDER#21817512"</f>
        <v>ORDER#21817512</v>
      </c>
    </row>
    <row r="774" spans="1:8" x14ac:dyDescent="0.25">
      <c r="E774" t="str">
        <f>"281409"</f>
        <v>281409</v>
      </c>
      <c r="F774" t="str">
        <f>"ORDER#21817356"</f>
        <v>ORDER#21817356</v>
      </c>
      <c r="G774" s="4">
        <v>195</v>
      </c>
      <c r="H774" t="str">
        <f>"ORDER#21817356"</f>
        <v>ORDER#21817356</v>
      </c>
    </row>
    <row r="775" spans="1:8" x14ac:dyDescent="0.25">
      <c r="A775" t="s">
        <v>191</v>
      </c>
      <c r="B775">
        <v>135881</v>
      </c>
      <c r="C775" s="4">
        <v>225</v>
      </c>
      <c r="D775" s="1">
        <v>44361</v>
      </c>
      <c r="E775" t="str">
        <f>"202105263422"</f>
        <v>202105263422</v>
      </c>
      <c r="F775" t="str">
        <f>"REIMBURSEMENT/L&amp;NM CON. INC."</f>
        <v>REIMBURSEMENT/L&amp;NM CON. INC.</v>
      </c>
      <c r="G775" s="4">
        <v>225</v>
      </c>
      <c r="H775" t="str">
        <f>"REIMBURSEMENT/L&amp;NM CON. INC."</f>
        <v>REIMBURSEMENT/L&amp;NM CON. INC.</v>
      </c>
    </row>
    <row r="776" spans="1:8" x14ac:dyDescent="0.25">
      <c r="A776" t="s">
        <v>191</v>
      </c>
      <c r="B776">
        <v>136045</v>
      </c>
      <c r="C776" s="4">
        <v>565</v>
      </c>
      <c r="D776" s="1">
        <v>44375</v>
      </c>
      <c r="E776" t="str">
        <f>"202106224140"</f>
        <v>202106224140</v>
      </c>
      <c r="F776" t="str">
        <f>"REIMBURSE/ L&amp;NM CONSTRUCTION"</f>
        <v>REIMBURSE/ L&amp;NM CONSTRUCTION</v>
      </c>
      <c r="G776" s="4">
        <v>565</v>
      </c>
      <c r="H776" t="str">
        <f>"REIMBURSE/ L&amp;NM CONSTRUCTION"</f>
        <v>REIMBURSE/ L&amp;NM CONSTRUCTION</v>
      </c>
    </row>
    <row r="777" spans="1:8" x14ac:dyDescent="0.25">
      <c r="A777" t="s">
        <v>192</v>
      </c>
      <c r="B777">
        <v>135882</v>
      </c>
      <c r="C777" s="4">
        <v>2049.84</v>
      </c>
      <c r="D777" s="1">
        <v>44361</v>
      </c>
      <c r="E777" t="str">
        <f>"202106043697"</f>
        <v>202106043697</v>
      </c>
      <c r="F777" t="str">
        <f>"ACCT#1590/ANIMAL CONTROL"</f>
        <v>ACCT#1590/ANIMAL CONTROL</v>
      </c>
      <c r="G777" s="4">
        <v>316.16000000000003</v>
      </c>
      <c r="H777" t="str">
        <f>"ACCT#1590/ANIMAL CONTROL"</f>
        <v>ACCT#1590/ANIMAL CONTROL</v>
      </c>
    </row>
    <row r="778" spans="1:8" x14ac:dyDescent="0.25">
      <c r="E778" t="str">
        <f>"205079681"</f>
        <v>205079681</v>
      </c>
      <c r="F778" t="str">
        <f>"ACCT#1645/WILDFIRE"</f>
        <v>ACCT#1645/WILDFIRE</v>
      </c>
      <c r="G778" s="4">
        <v>667.45</v>
      </c>
      <c r="H778" t="str">
        <f>"ACCT#1645/WILDFIRE"</f>
        <v>ACCT#1645/WILDFIRE</v>
      </c>
    </row>
    <row r="779" spans="1:8" x14ac:dyDescent="0.25">
      <c r="E779" t="str">
        <f>"205079686"</f>
        <v>205079686</v>
      </c>
      <c r="F779" t="str">
        <f>"ACCT#1650/PCT#1"</f>
        <v>ACCT#1650/PCT#1</v>
      </c>
      <c r="G779" s="4">
        <v>281.83</v>
      </c>
      <c r="H779" t="str">
        <f>"ACCT#1650/PCT#1"</f>
        <v>ACCT#1650/PCT#1</v>
      </c>
    </row>
    <row r="780" spans="1:8" x14ac:dyDescent="0.25">
      <c r="E780" t="str">
        <f>"205079689"</f>
        <v>205079689</v>
      </c>
      <c r="F780" t="str">
        <f>"ACCT#1700/PCT#2"</f>
        <v>ACCT#1700/PCT#2</v>
      </c>
      <c r="G780" s="4">
        <v>143.9</v>
      </c>
      <c r="H780" t="str">
        <f>"ACCT#1700/PCT#2"</f>
        <v>ACCT#1700/PCT#2</v>
      </c>
    </row>
    <row r="781" spans="1:8" x14ac:dyDescent="0.25">
      <c r="E781" t="str">
        <f>"205079708"</f>
        <v>205079708</v>
      </c>
      <c r="F781" t="str">
        <f>"ACCT#1750/PCT#3"</f>
        <v>ACCT#1750/PCT#3</v>
      </c>
      <c r="G781" s="4">
        <v>122.36</v>
      </c>
      <c r="H781" t="str">
        <f>"ACCT#1750/PCT#3"</f>
        <v>ACCT#1750/PCT#3</v>
      </c>
    </row>
    <row r="782" spans="1:8" x14ac:dyDescent="0.25">
      <c r="E782" t="str">
        <f>"205079716"</f>
        <v>205079716</v>
      </c>
      <c r="F782" t="str">
        <f>"ACCT#1800/PCT#4"</f>
        <v>ACCT#1800/PCT#4</v>
      </c>
      <c r="G782" s="4">
        <v>518.14</v>
      </c>
      <c r="H782" t="str">
        <f>"ACCT#1800/PCT#4"</f>
        <v>ACCT#1800/PCT#4</v>
      </c>
    </row>
    <row r="783" spans="1:8" x14ac:dyDescent="0.25">
      <c r="A783" t="s">
        <v>193</v>
      </c>
      <c r="B783">
        <v>4557</v>
      </c>
      <c r="C783" s="4">
        <v>2685.46</v>
      </c>
      <c r="D783" s="1">
        <v>44362</v>
      </c>
      <c r="E783" t="str">
        <f>"05193894"</f>
        <v>05193894</v>
      </c>
      <c r="F783" t="str">
        <f>"INV 05193894  05261316  0"</f>
        <v>INV 05193894  05261316  0</v>
      </c>
      <c r="G783" s="4">
        <v>2685.46</v>
      </c>
      <c r="H783" t="str">
        <f>"INV 05193894"</f>
        <v>INV 05193894</v>
      </c>
    </row>
    <row r="784" spans="1:8" x14ac:dyDescent="0.25">
      <c r="E784" t="str">
        <f>""</f>
        <v/>
      </c>
      <c r="F784" t="str">
        <f>""</f>
        <v/>
      </c>
      <c r="H784" t="str">
        <f>"INV 05261316"</f>
        <v>INV 05261316</v>
      </c>
    </row>
    <row r="785" spans="1:8" x14ac:dyDescent="0.25">
      <c r="E785" t="str">
        <f>""</f>
        <v/>
      </c>
      <c r="F785" t="str">
        <f>""</f>
        <v/>
      </c>
      <c r="H785" t="str">
        <f>"INV 06025016"</f>
        <v>INV 06025016</v>
      </c>
    </row>
    <row r="786" spans="1:8" x14ac:dyDescent="0.25">
      <c r="A786" t="s">
        <v>193</v>
      </c>
      <c r="B786">
        <v>4640</v>
      </c>
      <c r="C786" s="4">
        <v>2064.42</v>
      </c>
      <c r="D786" s="1">
        <v>44376</v>
      </c>
      <c r="E786" t="str">
        <f>"06098772"</f>
        <v>06098772</v>
      </c>
      <c r="F786" t="str">
        <f>"INV 06098772  06161646"</f>
        <v>INV 06098772  06161646</v>
      </c>
      <c r="G786" s="4">
        <v>2064.42</v>
      </c>
      <c r="H786" t="str">
        <f>"INV 06098772"</f>
        <v>INV 06098772</v>
      </c>
    </row>
    <row r="787" spans="1:8" x14ac:dyDescent="0.25">
      <c r="E787" t="str">
        <f>""</f>
        <v/>
      </c>
      <c r="F787" t="str">
        <f>""</f>
        <v/>
      </c>
      <c r="H787" t="str">
        <f>"INV 06161646"</f>
        <v>INV 06161646</v>
      </c>
    </row>
    <row r="788" spans="1:8" x14ac:dyDescent="0.25">
      <c r="A788" t="s">
        <v>194</v>
      </c>
      <c r="B788">
        <v>136046</v>
      </c>
      <c r="C788" s="4">
        <v>300</v>
      </c>
      <c r="D788" s="1">
        <v>44375</v>
      </c>
      <c r="E788" t="str">
        <f>"F08947"</f>
        <v>F08947</v>
      </c>
      <c r="F788" t="str">
        <f>"Fee"</f>
        <v>Fee</v>
      </c>
      <c r="G788" s="4">
        <v>300</v>
      </c>
      <c r="H788" t="str">
        <f>"Goodbuy Fee"</f>
        <v>Goodbuy Fee</v>
      </c>
    </row>
    <row r="789" spans="1:8" x14ac:dyDescent="0.25">
      <c r="A789" t="s">
        <v>195</v>
      </c>
      <c r="B789">
        <v>4587</v>
      </c>
      <c r="C789" s="4">
        <v>150</v>
      </c>
      <c r="D789" s="1">
        <v>44362</v>
      </c>
      <c r="E789" t="str">
        <f>"156916"</f>
        <v>156916</v>
      </c>
      <c r="F789" t="str">
        <f>"CLEANING/LAURA ROBERTSON/PCT#2"</f>
        <v>CLEANING/LAURA ROBERTSON/PCT#2</v>
      </c>
      <c r="G789" s="4">
        <v>150</v>
      </c>
      <c r="H789" t="str">
        <f>"CLEANING/LAURA ROBERTSON/PCT#2"</f>
        <v>CLEANING/LAURA ROBERTSON/PCT#2</v>
      </c>
    </row>
    <row r="790" spans="1:8" x14ac:dyDescent="0.25">
      <c r="A790" t="s">
        <v>195</v>
      </c>
      <c r="B790">
        <v>4668</v>
      </c>
      <c r="C790" s="4">
        <v>150</v>
      </c>
      <c r="D790" s="1">
        <v>44376</v>
      </c>
      <c r="E790" t="str">
        <f>"202106174052"</f>
        <v>202106174052</v>
      </c>
      <c r="F790" t="str">
        <f>"CLEANING/LAURA ROBERTSON"</f>
        <v>CLEANING/LAURA ROBERTSON</v>
      </c>
      <c r="G790" s="4">
        <v>150</v>
      </c>
      <c r="H790" t="str">
        <f>"CLEANING/LAURA ROBERTSON"</f>
        <v>CLEANING/LAURA ROBERTSON</v>
      </c>
    </row>
    <row r="791" spans="1:8" x14ac:dyDescent="0.25">
      <c r="A791" t="s">
        <v>196</v>
      </c>
      <c r="B791">
        <v>135748</v>
      </c>
      <c r="C791" s="4">
        <v>50.25</v>
      </c>
      <c r="D791" s="1">
        <v>44356</v>
      </c>
      <c r="E791" t="str">
        <f>"202106083782"</f>
        <v>202106083782</v>
      </c>
      <c r="F791" t="str">
        <f>"ACCT#1-09-00072-02 1 /05312021"</f>
        <v>ACCT#1-09-00072-02 1 /05312021</v>
      </c>
      <c r="G791" s="4">
        <v>50.25</v>
      </c>
      <c r="H791" t="str">
        <f>"ACCT#1-09-00072-02 1 /05312021"</f>
        <v>ACCT#1-09-00072-02 1 /05312021</v>
      </c>
    </row>
    <row r="792" spans="1:8" x14ac:dyDescent="0.25">
      <c r="A792" t="s">
        <v>197</v>
      </c>
      <c r="B792">
        <v>135883</v>
      </c>
      <c r="C792" s="4">
        <v>510.16</v>
      </c>
      <c r="D792" s="1">
        <v>44361</v>
      </c>
      <c r="E792" t="str">
        <f>"561647360"</f>
        <v>561647360</v>
      </c>
      <c r="F792" t="str">
        <f>"INV 561647360"</f>
        <v>INV 561647360</v>
      </c>
      <c r="G792" s="4">
        <v>83.7</v>
      </c>
      <c r="H792" t="str">
        <f>"INV 561647360"</f>
        <v>INV 561647360</v>
      </c>
    </row>
    <row r="793" spans="1:8" x14ac:dyDescent="0.25">
      <c r="E793" t="str">
        <f>"561734049"</f>
        <v>561734049</v>
      </c>
      <c r="F793" t="str">
        <f>"INV 561734049  561734050"</f>
        <v>INV 561734049  561734050</v>
      </c>
      <c r="G793" s="4">
        <v>426.46</v>
      </c>
      <c r="H793" t="str">
        <f>"INV 561734049"</f>
        <v>INV 561734049</v>
      </c>
    </row>
    <row r="794" spans="1:8" x14ac:dyDescent="0.25">
      <c r="E794" t="str">
        <f>""</f>
        <v/>
      </c>
      <c r="F794" t="str">
        <f>""</f>
        <v/>
      </c>
      <c r="H794" t="str">
        <f>"INV 561734050"</f>
        <v>INV 561734050</v>
      </c>
    </row>
    <row r="795" spans="1:8" x14ac:dyDescent="0.25">
      <c r="A795" t="s">
        <v>197</v>
      </c>
      <c r="B795">
        <v>136047</v>
      </c>
      <c r="C795" s="4">
        <v>2245.35</v>
      </c>
      <c r="D795" s="1">
        <v>44375</v>
      </c>
      <c r="E795" t="str">
        <f>"0562043396"</f>
        <v>0562043396</v>
      </c>
      <c r="F795" t="str">
        <f>"INV 0562043396"</f>
        <v>INV 0562043396</v>
      </c>
      <c r="G795" s="4">
        <v>1188.3499999999999</v>
      </c>
      <c r="H795" t="str">
        <f>"INV 0562043396"</f>
        <v>INV 0562043396</v>
      </c>
    </row>
    <row r="796" spans="1:8" x14ac:dyDescent="0.25">
      <c r="E796" t="str">
        <f>"0562085461"</f>
        <v>0562085461</v>
      </c>
      <c r="F796" t="str">
        <f>"INV 0562085461  056208546"</f>
        <v>INV 0562085461  056208546</v>
      </c>
      <c r="G796" s="4">
        <v>1057</v>
      </c>
      <c r="H796" t="str">
        <f>"INV 0562085461"</f>
        <v>INV 0562085461</v>
      </c>
    </row>
    <row r="797" spans="1:8" x14ac:dyDescent="0.25">
      <c r="E797" t="str">
        <f>""</f>
        <v/>
      </c>
      <c r="F797" t="str">
        <f>""</f>
        <v/>
      </c>
      <c r="H797" t="str">
        <f>"INV 0562085462"</f>
        <v>INV 0562085462</v>
      </c>
    </row>
    <row r="798" spans="1:8" x14ac:dyDescent="0.25">
      <c r="A798" t="s">
        <v>198</v>
      </c>
      <c r="B798">
        <v>136048</v>
      </c>
      <c r="C798" s="4">
        <v>225</v>
      </c>
      <c r="D798" s="1">
        <v>44375</v>
      </c>
      <c r="E798" t="str">
        <f>"202106214111"</f>
        <v>202106214111</v>
      </c>
      <c r="F798" t="str">
        <f>"CAUSE NO.1SC-0002-21"</f>
        <v>CAUSE NO.1SC-0002-21</v>
      </c>
      <c r="G798" s="4">
        <v>225</v>
      </c>
      <c r="H798" t="str">
        <f>"CAUSE NO.1SC-0002-21"</f>
        <v>CAUSE NO.1SC-0002-21</v>
      </c>
    </row>
    <row r="799" spans="1:8" x14ac:dyDescent="0.25">
      <c r="A799" t="s">
        <v>199</v>
      </c>
      <c r="B799">
        <v>135884</v>
      </c>
      <c r="C799" s="4">
        <v>225.75</v>
      </c>
      <c r="D799" s="1">
        <v>44361</v>
      </c>
      <c r="E799" t="str">
        <f>"1211621-20210531"</f>
        <v>1211621-20210531</v>
      </c>
      <c r="F799" t="str">
        <f>"BILL#1211621/HEALTH SVCS"</f>
        <v>BILL#1211621/HEALTH SVCS</v>
      </c>
      <c r="G799" s="4">
        <v>125.75</v>
      </c>
      <c r="H799" t="str">
        <f>"BILL#1211621/HEALTH SVCS"</f>
        <v>BILL#1211621/HEALTH SVCS</v>
      </c>
    </row>
    <row r="800" spans="1:8" x14ac:dyDescent="0.25">
      <c r="E800" t="str">
        <f>"1394645-20210531"</f>
        <v>1394645-20210531</v>
      </c>
      <c r="F800" t="str">
        <f>"BILL#1394645/COUNTY CLERK"</f>
        <v>BILL#1394645/COUNTY CLERK</v>
      </c>
      <c r="G800" s="4">
        <v>50</v>
      </c>
      <c r="H800" t="str">
        <f>"BILL#1394645/COUNTY CLERK"</f>
        <v>BILL#1394645/COUNTY CLERK</v>
      </c>
    </row>
    <row r="801" spans="1:8" x14ac:dyDescent="0.25">
      <c r="E801" t="str">
        <f>"1489870-20210531"</f>
        <v>1489870-20210531</v>
      </c>
      <c r="F801" t="str">
        <f>"ACCT#1489870/DISTRICT CLERK"</f>
        <v>ACCT#1489870/DISTRICT CLERK</v>
      </c>
      <c r="G801" s="4">
        <v>50</v>
      </c>
      <c r="H801" t="str">
        <f>"ACCT#1489870/DISTRICT CLERK"</f>
        <v>ACCT#1489870/DISTRICT CLERK</v>
      </c>
    </row>
    <row r="802" spans="1:8" x14ac:dyDescent="0.25">
      <c r="A802" t="s">
        <v>200</v>
      </c>
      <c r="B802">
        <v>4660</v>
      </c>
      <c r="C802" s="4">
        <v>23785.61</v>
      </c>
      <c r="D802" s="1">
        <v>44376</v>
      </c>
      <c r="E802" t="str">
        <f>"202106163998"</f>
        <v>202106163998</v>
      </c>
      <c r="F802" t="str">
        <f>"APRIL/ HOME VISIT GRANT"</f>
        <v>APRIL/ HOME VISIT GRANT</v>
      </c>
      <c r="G802" s="4">
        <v>23785.61</v>
      </c>
      <c r="H802" t="str">
        <f>"APRIL/ HOME VISIT GRANT"</f>
        <v>APRIL/ HOME VISIT GRANT</v>
      </c>
    </row>
    <row r="803" spans="1:8" x14ac:dyDescent="0.25">
      <c r="A803" t="s">
        <v>201</v>
      </c>
      <c r="B803">
        <v>4658</v>
      </c>
      <c r="C803" s="4">
        <v>918</v>
      </c>
      <c r="D803" s="1">
        <v>44376</v>
      </c>
      <c r="E803" t="str">
        <f>"591369"</f>
        <v>591369</v>
      </c>
      <c r="F803" t="str">
        <f>"INV 591369"</f>
        <v>INV 591369</v>
      </c>
      <c r="G803" s="4">
        <v>379</v>
      </c>
      <c r="H803" t="str">
        <f>"INV 591369"</f>
        <v>INV 591369</v>
      </c>
    </row>
    <row r="804" spans="1:8" x14ac:dyDescent="0.25">
      <c r="E804" t="str">
        <f>"591400"</f>
        <v>591400</v>
      </c>
      <c r="F804" t="str">
        <f>"INV 591400"</f>
        <v>INV 591400</v>
      </c>
      <c r="G804" s="4">
        <v>539</v>
      </c>
      <c r="H804" t="str">
        <f>"INV 591400"</f>
        <v>INV 591400</v>
      </c>
    </row>
    <row r="805" spans="1:8" x14ac:dyDescent="0.25">
      <c r="A805" t="s">
        <v>202</v>
      </c>
      <c r="B805">
        <v>4584</v>
      </c>
      <c r="C805" s="4">
        <v>988</v>
      </c>
      <c r="D805" s="1">
        <v>44362</v>
      </c>
      <c r="E805" t="str">
        <f>"202106083812"</f>
        <v>202106083812</v>
      </c>
      <c r="F805" t="str">
        <f>"TRASH REMOVAL 5/24-5/31/2021"</f>
        <v>TRASH REMOVAL 5/24-5/31/2021</v>
      </c>
      <c r="G805" s="4">
        <v>260</v>
      </c>
      <c r="H805" t="str">
        <f>"TRASH REMOVAL 5/24-5/31/2021"</f>
        <v>TRASH REMOVAL 5/24-5/31/2021</v>
      </c>
    </row>
    <row r="806" spans="1:8" x14ac:dyDescent="0.25">
      <c r="E806" t="str">
        <f>"202106083813"</f>
        <v>202106083813</v>
      </c>
      <c r="F806" t="str">
        <f>"TRASH REMOVAL 06/01-06/13/2021"</f>
        <v>TRASH REMOVAL 06/01-06/13/2021</v>
      </c>
      <c r="G806" s="4">
        <v>728</v>
      </c>
      <c r="H806" t="str">
        <f>"TRASH REMOVAL 06/01-06/13/2021"</f>
        <v>TRASH REMOVAL 06/01-06/13/2021</v>
      </c>
    </row>
    <row r="807" spans="1:8" x14ac:dyDescent="0.25">
      <c r="A807" t="s">
        <v>202</v>
      </c>
      <c r="B807">
        <v>4664</v>
      </c>
      <c r="C807" s="4">
        <v>884</v>
      </c>
      <c r="D807" s="1">
        <v>44376</v>
      </c>
      <c r="E807" t="str">
        <f>"202106234160"</f>
        <v>202106234160</v>
      </c>
      <c r="F807" t="str">
        <f>"TRASH/LONNIE LAWRENCE DAVIS JR"</f>
        <v>TRASH/LONNIE LAWRENCE DAVIS JR</v>
      </c>
      <c r="G807" s="4">
        <v>884</v>
      </c>
      <c r="H807" t="str">
        <f>"TRASH/LONNIE LAWRENCE DAVIS JR"</f>
        <v>TRASH/LONNIE LAWRENCE DAVIS JR</v>
      </c>
    </row>
    <row r="808" spans="1:8" x14ac:dyDescent="0.25">
      <c r="A808" t="s">
        <v>203</v>
      </c>
      <c r="B808">
        <v>4612</v>
      </c>
      <c r="C808" s="4">
        <v>30</v>
      </c>
      <c r="D808" s="1">
        <v>44362</v>
      </c>
      <c r="E808" t="str">
        <f>"21-27638"</f>
        <v>21-27638</v>
      </c>
      <c r="F808" t="str">
        <f>"INV 10-0118662"</f>
        <v>INV 10-0118662</v>
      </c>
      <c r="G808" s="4">
        <v>30</v>
      </c>
      <c r="H808" t="str">
        <f>"INV 10-0118662"</f>
        <v>INV 10-0118662</v>
      </c>
    </row>
    <row r="809" spans="1:8" x14ac:dyDescent="0.25">
      <c r="A809" t="s">
        <v>204</v>
      </c>
      <c r="B809">
        <v>1099</v>
      </c>
      <c r="C809" s="4">
        <v>0</v>
      </c>
      <c r="D809" s="1">
        <v>44362</v>
      </c>
      <c r="E809" t="str">
        <f>"202106153957"</f>
        <v>202106153957</v>
      </c>
      <c r="F809" t="str">
        <f>"ACCT# 72-56313 / 06032021"</f>
        <v>ACCT# 72-56313 / 06032021</v>
      </c>
      <c r="G809" s="4">
        <v>-90.88</v>
      </c>
      <c r="H809" t="str">
        <f>"ACCT# 72-56313 / 06032021"</f>
        <v>ACCT# 72-56313 / 06032021</v>
      </c>
    </row>
    <row r="810" spans="1:8" x14ac:dyDescent="0.25">
      <c r="E810" t="str">
        <f>"202106143916"</f>
        <v>202106143916</v>
      </c>
      <c r="F810" t="str">
        <f>"ACCT #72-56313 / 06/03/2021"</f>
        <v>ACCT #72-56313 / 06/03/2021</v>
      </c>
      <c r="G810" s="4">
        <v>90.88</v>
      </c>
      <c r="H810" t="str">
        <f>"ACCT #72-56313 / 06/03/2021"</f>
        <v>ACCT #72-56313 / 06/03/2021</v>
      </c>
    </row>
    <row r="811" spans="1:8" x14ac:dyDescent="0.25">
      <c r="A811" t="s">
        <v>205</v>
      </c>
      <c r="B811">
        <v>135885</v>
      </c>
      <c r="C811" s="4">
        <v>140.34</v>
      </c>
      <c r="D811" s="1">
        <v>44361</v>
      </c>
      <c r="E811" t="str">
        <f>"INV001948881"</f>
        <v>INV001948881</v>
      </c>
      <c r="F811" t="str">
        <f>"INV001948881"</f>
        <v>INV001948881</v>
      </c>
      <c r="G811" s="4">
        <v>140.34</v>
      </c>
      <c r="H811" t="str">
        <f>"INV001948881"</f>
        <v>INV001948881</v>
      </c>
    </row>
    <row r="812" spans="1:8" x14ac:dyDescent="0.25">
      <c r="A812" t="s">
        <v>205</v>
      </c>
      <c r="B812">
        <v>136049</v>
      </c>
      <c r="C812" s="4">
        <v>505.76</v>
      </c>
      <c r="D812" s="1">
        <v>44375</v>
      </c>
      <c r="E812" t="str">
        <f>"INV001953022"</f>
        <v>INV001953022</v>
      </c>
      <c r="F812" t="str">
        <f>"INV001953022"</f>
        <v>INV001953022</v>
      </c>
      <c r="G812" s="4">
        <v>505.76</v>
      </c>
      <c r="H812" t="str">
        <f>"INV001953022"</f>
        <v>INV001953022</v>
      </c>
    </row>
    <row r="813" spans="1:8" x14ac:dyDescent="0.25">
      <c r="A813" t="s">
        <v>206</v>
      </c>
      <c r="B813">
        <v>4577</v>
      </c>
      <c r="C813" s="4">
        <v>1868.75</v>
      </c>
      <c r="D813" s="1">
        <v>44362</v>
      </c>
      <c r="E813" t="str">
        <f>"202105253408"</f>
        <v>202105253408</v>
      </c>
      <c r="F813" t="str">
        <f>"20-20482"</f>
        <v>20-20482</v>
      </c>
      <c r="G813" s="4">
        <v>100</v>
      </c>
      <c r="H813" t="str">
        <f>"20-20482"</f>
        <v>20-20482</v>
      </c>
    </row>
    <row r="814" spans="1:8" x14ac:dyDescent="0.25">
      <c r="E814" t="str">
        <f>"202105253409"</f>
        <v>202105253409</v>
      </c>
      <c r="F814" t="str">
        <f>"20-20482"</f>
        <v>20-20482</v>
      </c>
      <c r="G814" s="4">
        <v>100</v>
      </c>
      <c r="H814" t="str">
        <f>"20-20482"</f>
        <v>20-20482</v>
      </c>
    </row>
    <row r="815" spans="1:8" x14ac:dyDescent="0.25">
      <c r="E815" t="str">
        <f>"202105253410"</f>
        <v>202105253410</v>
      </c>
      <c r="F815" t="str">
        <f>"11-14860"</f>
        <v>11-14860</v>
      </c>
      <c r="G815" s="4">
        <v>525</v>
      </c>
      <c r="H815" t="str">
        <f>"11-14860"</f>
        <v>11-14860</v>
      </c>
    </row>
    <row r="816" spans="1:8" x14ac:dyDescent="0.25">
      <c r="E816" t="str">
        <f>"202105253411"</f>
        <v>202105253411</v>
      </c>
      <c r="F816" t="str">
        <f>"40127201"</f>
        <v>40127201</v>
      </c>
      <c r="G816" s="4">
        <v>250</v>
      </c>
      <c r="H816" t="str">
        <f>"40127201"</f>
        <v>40127201</v>
      </c>
    </row>
    <row r="817" spans="1:8" x14ac:dyDescent="0.25">
      <c r="E817" t="str">
        <f>"202106033499"</f>
        <v>202106033499</v>
      </c>
      <c r="F817" t="str">
        <f>"21-20627"</f>
        <v>21-20627</v>
      </c>
      <c r="G817" s="4">
        <v>643.75</v>
      </c>
      <c r="H817" t="str">
        <f>"21-20627"</f>
        <v>21-20627</v>
      </c>
    </row>
    <row r="818" spans="1:8" x14ac:dyDescent="0.25">
      <c r="E818" t="str">
        <f>"202106033511"</f>
        <v>202106033511</v>
      </c>
      <c r="F818" t="str">
        <f>"57-152"</f>
        <v>57-152</v>
      </c>
      <c r="G818" s="4">
        <v>250</v>
      </c>
      <c r="H818" t="str">
        <f>"57-152"</f>
        <v>57-152</v>
      </c>
    </row>
    <row r="819" spans="1:8" x14ac:dyDescent="0.25">
      <c r="A819" t="s">
        <v>206</v>
      </c>
      <c r="B819">
        <v>4656</v>
      </c>
      <c r="C819" s="4">
        <v>250</v>
      </c>
      <c r="D819" s="1">
        <v>44376</v>
      </c>
      <c r="E819" t="str">
        <f>"202106174062"</f>
        <v>202106174062</v>
      </c>
      <c r="F819" t="str">
        <f>"57-653"</f>
        <v>57-653</v>
      </c>
      <c r="G819" s="4">
        <v>250</v>
      </c>
      <c r="H819" t="str">
        <f>"57-653"</f>
        <v>57-653</v>
      </c>
    </row>
    <row r="820" spans="1:8" x14ac:dyDescent="0.25">
      <c r="A820" t="s">
        <v>207</v>
      </c>
      <c r="B820">
        <v>135886</v>
      </c>
      <c r="C820" s="4">
        <v>209.73</v>
      </c>
      <c r="D820" s="1">
        <v>44361</v>
      </c>
      <c r="E820" t="str">
        <f>"0023487910"</f>
        <v>0023487910</v>
      </c>
      <c r="F820" t="str">
        <f>"ACCT#41472/PCT#1"</f>
        <v>ACCT#41472/PCT#1</v>
      </c>
      <c r="G820" s="4">
        <v>29.73</v>
      </c>
      <c r="H820" t="str">
        <f>"ACCT#41472/PCT#1"</f>
        <v>ACCT#41472/PCT#1</v>
      </c>
    </row>
    <row r="821" spans="1:8" x14ac:dyDescent="0.25">
      <c r="E821" t="str">
        <f>"0023494954"</f>
        <v>0023494954</v>
      </c>
      <c r="F821" t="str">
        <f>"ACCT#S9549/PCT#1"</f>
        <v>ACCT#S9549/PCT#1</v>
      </c>
      <c r="G821" s="4">
        <v>180</v>
      </c>
      <c r="H821" t="str">
        <f>"ACCT#S9549/PCT#1"</f>
        <v>ACCT#S9549/PCT#1</v>
      </c>
    </row>
    <row r="822" spans="1:8" x14ac:dyDescent="0.25">
      <c r="A822" t="s">
        <v>207</v>
      </c>
      <c r="B822">
        <v>136050</v>
      </c>
      <c r="C822" s="4">
        <v>329.08</v>
      </c>
      <c r="D822" s="1">
        <v>44375</v>
      </c>
      <c r="E822" t="str">
        <f>"0023637666"</f>
        <v>0023637666</v>
      </c>
      <c r="F822" t="str">
        <f>"ACCT#41472/PCT#1"</f>
        <v>ACCT#41472/PCT#1</v>
      </c>
      <c r="G822" s="4">
        <v>29.73</v>
      </c>
      <c r="H822" t="str">
        <f>"ACCT#41472/PCT#1"</f>
        <v>ACCT#41472/PCT#1</v>
      </c>
    </row>
    <row r="823" spans="1:8" x14ac:dyDescent="0.25">
      <c r="E823" t="str">
        <f>"0023637730"</f>
        <v>0023637730</v>
      </c>
      <c r="F823" t="str">
        <f>"ACCT#45057/PCT#4"</f>
        <v>ACCT#45057/PCT#4</v>
      </c>
      <c r="G823" s="4">
        <v>54.73</v>
      </c>
      <c r="H823" t="str">
        <f>"ACCT#45057/PCT#4"</f>
        <v>ACCT#45057/PCT#4</v>
      </c>
    </row>
    <row r="824" spans="1:8" x14ac:dyDescent="0.25">
      <c r="E824" t="str">
        <f>"0023637775"</f>
        <v>0023637775</v>
      </c>
      <c r="F824" t="str">
        <f>"INV 0023637775"</f>
        <v>INV 0023637775</v>
      </c>
      <c r="G824" s="4">
        <v>64.62</v>
      </c>
      <c r="H824" t="str">
        <f>"INV 0023637775"</f>
        <v>INV 0023637775</v>
      </c>
    </row>
    <row r="825" spans="1:8" x14ac:dyDescent="0.25">
      <c r="E825" t="str">
        <f>"0023644639"</f>
        <v>0023644639</v>
      </c>
      <c r="F825" t="str">
        <f>"ACCT#S9549/PCT#1"</f>
        <v>ACCT#S9549/PCT#1</v>
      </c>
      <c r="G825" s="4">
        <v>180</v>
      </c>
      <c r="H825" t="str">
        <f>"ACCT#S9549/PCT#1"</f>
        <v>ACCT#S9549/PCT#1</v>
      </c>
    </row>
    <row r="826" spans="1:8" x14ac:dyDescent="0.25">
      <c r="A826" t="s">
        <v>208</v>
      </c>
      <c r="B826">
        <v>135887</v>
      </c>
      <c r="C826" s="4">
        <v>1680</v>
      </c>
      <c r="D826" s="1">
        <v>44361</v>
      </c>
      <c r="E826" t="str">
        <f>"202106043681"</f>
        <v>202106043681</v>
      </c>
      <c r="F826" t="str">
        <f>"17 282"</f>
        <v>17 282</v>
      </c>
      <c r="G826" s="4">
        <v>1680</v>
      </c>
      <c r="H826" t="str">
        <f>"17 282"</f>
        <v>17 282</v>
      </c>
    </row>
    <row r="827" spans="1:8" x14ac:dyDescent="0.25">
      <c r="A827" t="s">
        <v>209</v>
      </c>
      <c r="B827">
        <v>135888</v>
      </c>
      <c r="C827" s="4">
        <v>125</v>
      </c>
      <c r="D827" s="1">
        <v>44361</v>
      </c>
      <c r="E827" t="str">
        <f>"202106093816"</f>
        <v>202106093816</v>
      </c>
      <c r="F827" t="str">
        <f>"PER DIEM FOR TRAINING"</f>
        <v>PER DIEM FOR TRAINING</v>
      </c>
      <c r="G827" s="4">
        <v>125</v>
      </c>
      <c r="H827" t="str">
        <f>"PER DIEM FOR TRAINING"</f>
        <v>PER DIEM FOR TRAINING</v>
      </c>
    </row>
    <row r="828" spans="1:8" x14ac:dyDescent="0.25">
      <c r="A828" t="s">
        <v>210</v>
      </c>
      <c r="B828">
        <v>4604</v>
      </c>
      <c r="C828" s="4">
        <v>36.65</v>
      </c>
      <c r="D828" s="1">
        <v>44362</v>
      </c>
      <c r="E828" t="str">
        <f>"6-00608090"</f>
        <v>6-00608090</v>
      </c>
      <c r="F828" t="str">
        <f>"ACCT#900-98011130 001"</f>
        <v>ACCT#900-98011130 001</v>
      </c>
      <c r="G828" s="4">
        <v>36.65</v>
      </c>
      <c r="H828" t="str">
        <f>"ACCT#900-98011130 001"</f>
        <v>ACCT#900-98011130 001</v>
      </c>
    </row>
    <row r="829" spans="1:8" x14ac:dyDescent="0.25">
      <c r="A829" t="s">
        <v>211</v>
      </c>
      <c r="B829">
        <v>135889</v>
      </c>
      <c r="C829" s="4">
        <v>18010.900000000001</v>
      </c>
      <c r="D829" s="1">
        <v>44361</v>
      </c>
      <c r="E829" t="str">
        <f>"11378 3-29-21"</f>
        <v>11378 3-29-21</v>
      </c>
      <c r="F829" t="str">
        <f>"ABST FEE/ SERVICE FEE"</f>
        <v>ABST FEE/ SERVICE FEE</v>
      </c>
      <c r="G829" s="4">
        <v>175</v>
      </c>
      <c r="H829" t="str">
        <f>"ABST FEE/ SERVICE FEE"</f>
        <v>ABST FEE/ SERVICE FEE</v>
      </c>
    </row>
    <row r="830" spans="1:8" x14ac:dyDescent="0.25">
      <c r="E830" t="str">
        <f>"12285"</f>
        <v>12285</v>
      </c>
      <c r="F830" t="str">
        <f t="shared" ref="F830:F852" si="23">"ABST FEE"</f>
        <v>ABST FEE</v>
      </c>
      <c r="G830" s="4">
        <v>175</v>
      </c>
      <c r="H830" t="str">
        <f t="shared" ref="H830:H852" si="24">"ABST FEE"</f>
        <v>ABST FEE</v>
      </c>
    </row>
    <row r="831" spans="1:8" x14ac:dyDescent="0.25">
      <c r="E831" t="str">
        <f>"12815"</f>
        <v>12815</v>
      </c>
      <c r="F831" t="str">
        <f t="shared" si="23"/>
        <v>ABST FEE</v>
      </c>
      <c r="G831" s="4">
        <v>95</v>
      </c>
      <c r="H831" t="str">
        <f t="shared" si="24"/>
        <v>ABST FEE</v>
      </c>
    </row>
    <row r="832" spans="1:8" x14ac:dyDescent="0.25">
      <c r="E832" t="str">
        <f>"12940 4-5-21"</f>
        <v>12940 4-5-21</v>
      </c>
      <c r="F832" t="str">
        <f t="shared" si="23"/>
        <v>ABST FEE</v>
      </c>
      <c r="G832" s="4">
        <v>50</v>
      </c>
      <c r="H832" t="str">
        <f t="shared" si="24"/>
        <v>ABST FEE</v>
      </c>
    </row>
    <row r="833" spans="5:8" x14ac:dyDescent="0.25">
      <c r="E833" t="str">
        <f>"13126"</f>
        <v>13126</v>
      </c>
      <c r="F833" t="str">
        <f t="shared" si="23"/>
        <v>ABST FEE</v>
      </c>
      <c r="G833" s="4">
        <v>225</v>
      </c>
      <c r="H833" t="str">
        <f t="shared" si="24"/>
        <v>ABST FEE</v>
      </c>
    </row>
    <row r="834" spans="5:8" x14ac:dyDescent="0.25">
      <c r="E834" t="str">
        <f>"13220"</f>
        <v>13220</v>
      </c>
      <c r="F834" t="str">
        <f t="shared" si="23"/>
        <v>ABST FEE</v>
      </c>
      <c r="G834" s="4">
        <v>225</v>
      </c>
      <c r="H834" t="str">
        <f t="shared" si="24"/>
        <v>ABST FEE</v>
      </c>
    </row>
    <row r="835" spans="5:8" x14ac:dyDescent="0.25">
      <c r="E835" t="str">
        <f>"13301"</f>
        <v>13301</v>
      </c>
      <c r="F835" t="str">
        <f t="shared" si="23"/>
        <v>ABST FEE</v>
      </c>
      <c r="G835" s="4">
        <v>218</v>
      </c>
      <c r="H835" t="str">
        <f t="shared" si="24"/>
        <v>ABST FEE</v>
      </c>
    </row>
    <row r="836" spans="5:8" x14ac:dyDescent="0.25">
      <c r="E836" t="str">
        <f>"13310"</f>
        <v>13310</v>
      </c>
      <c r="F836" t="str">
        <f t="shared" si="23"/>
        <v>ABST FEE</v>
      </c>
      <c r="G836" s="4">
        <v>225</v>
      </c>
      <c r="H836" t="str">
        <f t="shared" si="24"/>
        <v>ABST FEE</v>
      </c>
    </row>
    <row r="837" spans="5:8" x14ac:dyDescent="0.25">
      <c r="E837" t="str">
        <f>"13385"</f>
        <v>13385</v>
      </c>
      <c r="F837" t="str">
        <f t="shared" si="23"/>
        <v>ABST FEE</v>
      </c>
      <c r="G837" s="4">
        <v>225</v>
      </c>
      <c r="H837" t="str">
        <f t="shared" si="24"/>
        <v>ABST FEE</v>
      </c>
    </row>
    <row r="838" spans="5:8" x14ac:dyDescent="0.25">
      <c r="E838" t="str">
        <f>"13394 4-5-21"</f>
        <v>13394 4-5-21</v>
      </c>
      <c r="F838" t="str">
        <f t="shared" si="23"/>
        <v>ABST FEE</v>
      </c>
      <c r="G838" s="4">
        <v>40</v>
      </c>
      <c r="H838" t="str">
        <f t="shared" si="24"/>
        <v>ABST FEE</v>
      </c>
    </row>
    <row r="839" spans="5:8" x14ac:dyDescent="0.25">
      <c r="E839" t="str">
        <f>"13403 3-30-21"</f>
        <v>13403 3-30-21</v>
      </c>
      <c r="F839" t="str">
        <f t="shared" si="23"/>
        <v>ABST FEE</v>
      </c>
      <c r="G839" s="4">
        <v>141</v>
      </c>
      <c r="H839" t="str">
        <f t="shared" si="24"/>
        <v>ABST FEE</v>
      </c>
    </row>
    <row r="840" spans="5:8" x14ac:dyDescent="0.25">
      <c r="E840" t="str">
        <f>"13463 4-6-21"</f>
        <v>13463 4-6-21</v>
      </c>
      <c r="F840" t="str">
        <f t="shared" si="23"/>
        <v>ABST FEE</v>
      </c>
      <c r="G840" s="4">
        <v>80</v>
      </c>
      <c r="H840" t="str">
        <f t="shared" si="24"/>
        <v>ABST FEE</v>
      </c>
    </row>
    <row r="841" spans="5:8" x14ac:dyDescent="0.25">
      <c r="E841" t="str">
        <f>"13464"</f>
        <v>13464</v>
      </c>
      <c r="F841" t="str">
        <f t="shared" si="23"/>
        <v>ABST FEE</v>
      </c>
      <c r="G841" s="4">
        <v>50</v>
      </c>
      <c r="H841" t="str">
        <f t="shared" si="24"/>
        <v>ABST FEE</v>
      </c>
    </row>
    <row r="842" spans="5:8" x14ac:dyDescent="0.25">
      <c r="E842" t="str">
        <f>"13469"</f>
        <v>13469</v>
      </c>
      <c r="F842" t="str">
        <f t="shared" si="23"/>
        <v>ABST FEE</v>
      </c>
      <c r="G842" s="4">
        <v>225</v>
      </c>
      <c r="H842" t="str">
        <f t="shared" si="24"/>
        <v>ABST FEE</v>
      </c>
    </row>
    <row r="843" spans="5:8" x14ac:dyDescent="0.25">
      <c r="E843" t="str">
        <f>"13508 3-29-21"</f>
        <v>13508 3-29-21</v>
      </c>
      <c r="F843" t="str">
        <f t="shared" si="23"/>
        <v>ABST FEE</v>
      </c>
      <c r="G843" s="4">
        <v>216</v>
      </c>
      <c r="H843" t="str">
        <f t="shared" si="24"/>
        <v>ABST FEE</v>
      </c>
    </row>
    <row r="844" spans="5:8" x14ac:dyDescent="0.25">
      <c r="E844" t="str">
        <f>"13519"</f>
        <v>13519</v>
      </c>
      <c r="F844" t="str">
        <f t="shared" si="23"/>
        <v>ABST FEE</v>
      </c>
      <c r="G844" s="4">
        <v>225</v>
      </c>
      <c r="H844" t="str">
        <f t="shared" si="24"/>
        <v>ABST FEE</v>
      </c>
    </row>
    <row r="845" spans="5:8" x14ac:dyDescent="0.25">
      <c r="E845" t="str">
        <f>"13563"</f>
        <v>13563</v>
      </c>
      <c r="F845" t="str">
        <f t="shared" si="23"/>
        <v>ABST FEE</v>
      </c>
      <c r="G845" s="4">
        <v>225</v>
      </c>
      <c r="H845" t="str">
        <f t="shared" si="24"/>
        <v>ABST FEE</v>
      </c>
    </row>
    <row r="846" spans="5:8" x14ac:dyDescent="0.25">
      <c r="E846" t="str">
        <f>"13603"</f>
        <v>13603</v>
      </c>
      <c r="F846" t="str">
        <f t="shared" si="23"/>
        <v>ABST FEE</v>
      </c>
      <c r="G846" s="4">
        <v>62</v>
      </c>
      <c r="H846" t="str">
        <f t="shared" si="24"/>
        <v>ABST FEE</v>
      </c>
    </row>
    <row r="847" spans="5:8" x14ac:dyDescent="0.25">
      <c r="E847" t="str">
        <f>"13611"</f>
        <v>13611</v>
      </c>
      <c r="F847" t="str">
        <f t="shared" si="23"/>
        <v>ABST FEE</v>
      </c>
      <c r="G847" s="4">
        <v>2</v>
      </c>
      <c r="H847" t="str">
        <f t="shared" si="24"/>
        <v>ABST FEE</v>
      </c>
    </row>
    <row r="848" spans="5:8" x14ac:dyDescent="0.25">
      <c r="E848" t="str">
        <f>"13645"</f>
        <v>13645</v>
      </c>
      <c r="F848" t="str">
        <f t="shared" si="23"/>
        <v>ABST FEE</v>
      </c>
      <c r="G848" s="4">
        <v>225</v>
      </c>
      <c r="H848" t="str">
        <f t="shared" si="24"/>
        <v>ABST FEE</v>
      </c>
    </row>
    <row r="849" spans="1:8" x14ac:dyDescent="0.25">
      <c r="E849" t="str">
        <f>"13659"</f>
        <v>13659</v>
      </c>
      <c r="F849" t="str">
        <f t="shared" si="23"/>
        <v>ABST FEE</v>
      </c>
      <c r="G849" s="4">
        <v>225</v>
      </c>
      <c r="H849" t="str">
        <f t="shared" si="24"/>
        <v>ABST FEE</v>
      </c>
    </row>
    <row r="850" spans="1:8" x14ac:dyDescent="0.25">
      <c r="E850" t="str">
        <f>"13670"</f>
        <v>13670</v>
      </c>
      <c r="F850" t="str">
        <f t="shared" si="23"/>
        <v>ABST FEE</v>
      </c>
      <c r="G850" s="4">
        <v>225</v>
      </c>
      <c r="H850" t="str">
        <f t="shared" si="24"/>
        <v>ABST FEE</v>
      </c>
    </row>
    <row r="851" spans="1:8" x14ac:dyDescent="0.25">
      <c r="E851" t="str">
        <f>"13674"</f>
        <v>13674</v>
      </c>
      <c r="F851" t="str">
        <f t="shared" si="23"/>
        <v>ABST FEE</v>
      </c>
      <c r="G851" s="4">
        <v>225</v>
      </c>
      <c r="H851" t="str">
        <f t="shared" si="24"/>
        <v>ABST FEE</v>
      </c>
    </row>
    <row r="852" spans="1:8" x14ac:dyDescent="0.25">
      <c r="E852" t="str">
        <f>"13697"</f>
        <v>13697</v>
      </c>
      <c r="F852" t="str">
        <f t="shared" si="23"/>
        <v>ABST FEE</v>
      </c>
      <c r="G852" s="4">
        <v>225</v>
      </c>
      <c r="H852" t="str">
        <f t="shared" si="24"/>
        <v>ABST FEE</v>
      </c>
    </row>
    <row r="853" spans="1:8" x14ac:dyDescent="0.25">
      <c r="E853" t="str">
        <f>"202106083772"</f>
        <v>202106083772</v>
      </c>
      <c r="F853" t="str">
        <f>"ATTORNEY FEES DELINQ TAXES-MAY"</f>
        <v>ATTORNEY FEES DELINQ TAXES-MAY</v>
      </c>
      <c r="G853" s="4">
        <v>14006.9</v>
      </c>
      <c r="H853" t="str">
        <f>"ATTORNEY FEES DELINQ TAXES-MAY"</f>
        <v>ATTORNEY FEES DELINQ TAXES-MAY</v>
      </c>
    </row>
    <row r="854" spans="1:8" x14ac:dyDescent="0.25">
      <c r="A854" t="s">
        <v>211</v>
      </c>
      <c r="B854">
        <v>136051</v>
      </c>
      <c r="C854" s="4">
        <v>3805</v>
      </c>
      <c r="D854" s="1">
        <v>44375</v>
      </c>
      <c r="E854" t="str">
        <f>"13022"</f>
        <v>13022</v>
      </c>
      <c r="F854" t="str">
        <f>"ABST FFE"</f>
        <v>ABST FFE</v>
      </c>
      <c r="G854" s="4">
        <v>225</v>
      </c>
      <c r="H854" t="str">
        <f>"ABST FFE"</f>
        <v>ABST FFE</v>
      </c>
    </row>
    <row r="855" spans="1:8" x14ac:dyDescent="0.25">
      <c r="E855" t="str">
        <f>"13101"</f>
        <v>13101</v>
      </c>
      <c r="F855" t="str">
        <f>"$225 ABST FEE $55 SERVICE 4521"</f>
        <v>$225 ABST FEE $55 SERVICE 4521</v>
      </c>
      <c r="G855" s="4">
        <v>280</v>
      </c>
      <c r="H855" t="str">
        <f>"$225 ABST FEE $55 SERVICE 4521"</f>
        <v>$225 ABST FEE $55 SERVICE 4521</v>
      </c>
    </row>
    <row r="856" spans="1:8" x14ac:dyDescent="0.25">
      <c r="E856" t="str">
        <f>"13133"</f>
        <v>13133</v>
      </c>
      <c r="F856" t="str">
        <f>"ABST FEE"</f>
        <v>ABST FEE</v>
      </c>
      <c r="G856" s="4">
        <v>225</v>
      </c>
      <c r="H856" t="str">
        <f t="shared" ref="H856:H862" si="25">"ABST FEE"</f>
        <v>ABST FEE</v>
      </c>
    </row>
    <row r="857" spans="1:8" x14ac:dyDescent="0.25">
      <c r="E857" t="str">
        <f>"13159"</f>
        <v>13159</v>
      </c>
      <c r="F857" t="str">
        <f>"ABST FEE 04/05/2021"</f>
        <v>ABST FEE 04/05/2021</v>
      </c>
      <c r="G857" s="4">
        <v>150</v>
      </c>
      <c r="H857" t="str">
        <f t="shared" si="25"/>
        <v>ABST FEE</v>
      </c>
    </row>
    <row r="858" spans="1:8" x14ac:dyDescent="0.25">
      <c r="E858" t="str">
        <f>"13187"</f>
        <v>13187</v>
      </c>
      <c r="F858" t="str">
        <f>"ABST FEE"</f>
        <v>ABST FEE</v>
      </c>
      <c r="G858" s="4">
        <v>225</v>
      </c>
      <c r="H858" t="str">
        <f t="shared" si="25"/>
        <v>ABST FEE</v>
      </c>
    </row>
    <row r="859" spans="1:8" x14ac:dyDescent="0.25">
      <c r="E859" t="str">
        <f>"13189"</f>
        <v>13189</v>
      </c>
      <c r="F859" t="str">
        <f>"ABST FEE"</f>
        <v>ABST FEE</v>
      </c>
      <c r="G859" s="4">
        <v>225</v>
      </c>
      <c r="H859" t="str">
        <f t="shared" si="25"/>
        <v>ABST FEE</v>
      </c>
    </row>
    <row r="860" spans="1:8" x14ac:dyDescent="0.25">
      <c r="E860" t="str">
        <f>"13221"</f>
        <v>13221</v>
      </c>
      <c r="F860" t="str">
        <f>"ABST FEE"</f>
        <v>ABST FEE</v>
      </c>
      <c r="G860" s="4">
        <v>225</v>
      </c>
      <c r="H860" t="str">
        <f t="shared" si="25"/>
        <v>ABST FEE</v>
      </c>
    </row>
    <row r="861" spans="1:8" x14ac:dyDescent="0.25">
      <c r="E861" t="str">
        <f>"13236"</f>
        <v>13236</v>
      </c>
      <c r="F861" t="str">
        <f>"ABST FEE"</f>
        <v>ABST FEE</v>
      </c>
      <c r="G861" s="4">
        <v>225</v>
      </c>
      <c r="H861" t="str">
        <f t="shared" si="25"/>
        <v>ABST FEE</v>
      </c>
    </row>
    <row r="862" spans="1:8" x14ac:dyDescent="0.25">
      <c r="E862" t="str">
        <f>"13237"</f>
        <v>13237</v>
      </c>
      <c r="F862" t="str">
        <f>"ABST FEE"</f>
        <v>ABST FEE</v>
      </c>
      <c r="G862" s="4">
        <v>225</v>
      </c>
      <c r="H862" t="str">
        <f t="shared" si="25"/>
        <v>ABST FEE</v>
      </c>
    </row>
    <row r="863" spans="1:8" x14ac:dyDescent="0.25">
      <c r="E863" t="str">
        <f>"13254"</f>
        <v>13254</v>
      </c>
      <c r="F863" t="str">
        <f>"ABST FEE 04/05/2021"</f>
        <v>ABST FEE 04/05/2021</v>
      </c>
      <c r="G863" s="4">
        <v>225</v>
      </c>
      <c r="H863" t="str">
        <f>"ABST FEE 04/05/2021"</f>
        <v>ABST FEE 04/05/2021</v>
      </c>
    </row>
    <row r="864" spans="1:8" x14ac:dyDescent="0.25">
      <c r="E864" t="str">
        <f>"13297"</f>
        <v>13297</v>
      </c>
      <c r="F864" t="str">
        <f>"ABST FEE"</f>
        <v>ABST FEE</v>
      </c>
      <c r="G864" s="4">
        <v>225</v>
      </c>
      <c r="H864" t="str">
        <f>"ABST FEE"</f>
        <v>ABST FEE</v>
      </c>
    </row>
    <row r="865" spans="1:8" x14ac:dyDescent="0.25">
      <c r="E865" t="str">
        <f>"13315"</f>
        <v>13315</v>
      </c>
      <c r="F865" t="str">
        <f>"ABST FEE"</f>
        <v>ABST FEE</v>
      </c>
      <c r="G865" s="4">
        <v>225</v>
      </c>
      <c r="H865" t="str">
        <f>"ABST FEE"</f>
        <v>ABST FEE</v>
      </c>
    </row>
    <row r="866" spans="1:8" x14ac:dyDescent="0.25">
      <c r="E866" t="str">
        <f>"13345"</f>
        <v>13345</v>
      </c>
      <c r="F866" t="str">
        <f>"ABST FEE"</f>
        <v>ABST FEE</v>
      </c>
      <c r="G866" s="4">
        <v>225</v>
      </c>
      <c r="H866" t="str">
        <f>"ABST FEE"</f>
        <v>ABST FEE</v>
      </c>
    </row>
    <row r="867" spans="1:8" x14ac:dyDescent="0.25">
      <c r="E867" t="str">
        <f>"13704"</f>
        <v>13704</v>
      </c>
      <c r="F867" t="str">
        <f>"ABST FEE  05/05/2021"</f>
        <v>ABST FEE  05/05/2021</v>
      </c>
      <c r="G867" s="4">
        <v>225</v>
      </c>
      <c r="H867" t="str">
        <f>"ABST FEE  05/05/2021"</f>
        <v>ABST FEE  05/05/2021</v>
      </c>
    </row>
    <row r="868" spans="1:8" x14ac:dyDescent="0.25">
      <c r="E868" t="str">
        <f>"202106164045"</f>
        <v>202106164045</v>
      </c>
      <c r="F868" t="str">
        <f>"ABST FEE"</f>
        <v>ABST FEE</v>
      </c>
      <c r="G868" s="4">
        <v>225</v>
      </c>
      <c r="H868" t="str">
        <f>"ABST FEE"</f>
        <v>ABST FEE</v>
      </c>
    </row>
    <row r="869" spans="1:8" x14ac:dyDescent="0.25">
      <c r="E869" t="str">
        <f>"202106164046"</f>
        <v>202106164046</v>
      </c>
      <c r="F869" t="str">
        <f>"ABST FEE"</f>
        <v>ABST FEE</v>
      </c>
      <c r="G869" s="4">
        <v>225</v>
      </c>
      <c r="H869" t="str">
        <f>"ABST FEE"</f>
        <v>ABST FEE</v>
      </c>
    </row>
    <row r="870" spans="1:8" x14ac:dyDescent="0.25">
      <c r="E870" t="str">
        <f>"202106164047"</f>
        <v>202106164047</v>
      </c>
      <c r="F870" t="str">
        <f>"ABST FEE"</f>
        <v>ABST FEE</v>
      </c>
      <c r="G870" s="4">
        <v>225</v>
      </c>
      <c r="H870" t="str">
        <f>"ABST FEE"</f>
        <v>ABST FEE</v>
      </c>
    </row>
    <row r="871" spans="1:8" x14ac:dyDescent="0.25">
      <c r="A871" t="s">
        <v>212</v>
      </c>
      <c r="B871">
        <v>135890</v>
      </c>
      <c r="C871" s="4">
        <v>176.13</v>
      </c>
      <c r="D871" s="1">
        <v>44361</v>
      </c>
      <c r="E871" t="str">
        <f>"18189071"</f>
        <v>18189071</v>
      </c>
      <c r="F871" t="str">
        <f>"INV 18189071"</f>
        <v>INV 18189071</v>
      </c>
      <c r="G871" s="4">
        <v>176.13</v>
      </c>
      <c r="H871" t="str">
        <f>"INV 18189071"</f>
        <v>INV 18189071</v>
      </c>
    </row>
    <row r="872" spans="1:8" x14ac:dyDescent="0.25">
      <c r="A872" t="s">
        <v>212</v>
      </c>
      <c r="B872">
        <v>136052</v>
      </c>
      <c r="C872" s="4">
        <v>1905.1</v>
      </c>
      <c r="D872" s="1">
        <v>44375</v>
      </c>
      <c r="E872" t="str">
        <f>"18180152"</f>
        <v>18180152</v>
      </c>
      <c r="F872" t="str">
        <f>"INV 18180152  18226160"</f>
        <v>INV 18180152  18226160</v>
      </c>
      <c r="G872" s="4">
        <v>1905.1</v>
      </c>
      <c r="H872" t="str">
        <f>"INV 18180152"</f>
        <v>INV 18180152</v>
      </c>
    </row>
    <row r="873" spans="1:8" x14ac:dyDescent="0.25">
      <c r="E873" t="str">
        <f>""</f>
        <v/>
      </c>
      <c r="F873" t="str">
        <f>""</f>
        <v/>
      </c>
      <c r="H873" t="str">
        <f>"INV 18226160"</f>
        <v>INV 18226160</v>
      </c>
    </row>
    <row r="874" spans="1:8" x14ac:dyDescent="0.25">
      <c r="A874" t="s">
        <v>213</v>
      </c>
      <c r="B874">
        <v>135891</v>
      </c>
      <c r="C874" s="4">
        <v>100</v>
      </c>
      <c r="D874" s="1">
        <v>44361</v>
      </c>
      <c r="E874" t="str">
        <f>"242292363"</f>
        <v>242292363</v>
      </c>
      <c r="F874" t="str">
        <f>"CUST#10004926/ORD#1109465994"</f>
        <v>CUST#10004926/ORD#1109465994</v>
      </c>
      <c r="G874" s="4">
        <v>100</v>
      </c>
      <c r="H874" t="str">
        <f>"CUST#10004926/ORD#1109465994"</f>
        <v>CUST#10004926/ORD#1109465994</v>
      </c>
    </row>
    <row r="875" spans="1:8" x14ac:dyDescent="0.25">
      <c r="A875" t="s">
        <v>213</v>
      </c>
      <c r="B875">
        <v>136053</v>
      </c>
      <c r="C875" s="4">
        <v>1245</v>
      </c>
      <c r="D875" s="1">
        <v>44375</v>
      </c>
      <c r="E875" t="str">
        <f>"242308051"</f>
        <v>242308051</v>
      </c>
      <c r="F875" t="str">
        <f>"CUST#10004926/ANIMAL SHELTER"</f>
        <v>CUST#10004926/ANIMAL SHELTER</v>
      </c>
      <c r="G875" s="4">
        <v>1245</v>
      </c>
      <c r="H875" t="str">
        <f>"CUST#10004926/ANIMAL SHELTER"</f>
        <v>CUST#10004926/ANIMAL SHELTER</v>
      </c>
    </row>
    <row r="876" spans="1:8" x14ac:dyDescent="0.25">
      <c r="A876" t="s">
        <v>214</v>
      </c>
      <c r="B876">
        <v>4680</v>
      </c>
      <c r="C876" s="4">
        <v>114</v>
      </c>
      <c r="D876" s="1">
        <v>44376</v>
      </c>
      <c r="E876" t="str">
        <f>"202106164032"</f>
        <v>202106164032</v>
      </c>
      <c r="F876" t="str">
        <f>"CAUSE NO. 1766-21"</f>
        <v>CAUSE NO. 1766-21</v>
      </c>
      <c r="G876" s="4">
        <v>114</v>
      </c>
      <c r="H876" t="str">
        <f>"CAUSE NO. 1766-21"</f>
        <v>CAUSE NO. 1766-21</v>
      </c>
    </row>
    <row r="877" spans="1:8" x14ac:dyDescent="0.25">
      <c r="A877" t="s">
        <v>215</v>
      </c>
      <c r="B877">
        <v>4563</v>
      </c>
      <c r="C877" s="4">
        <v>2980.25</v>
      </c>
      <c r="D877" s="1">
        <v>44362</v>
      </c>
      <c r="E877" t="str">
        <f>"24698"</f>
        <v>24698</v>
      </c>
      <c r="F877" t="str">
        <f>"FREIGHT SALES/PCT#2"</f>
        <v>FREIGHT SALES/PCT#2</v>
      </c>
      <c r="G877" s="4">
        <v>240.5</v>
      </c>
      <c r="H877" t="str">
        <f>"FREIGHT SALES/PCT#2"</f>
        <v>FREIGHT SALES/PCT#2</v>
      </c>
    </row>
    <row r="878" spans="1:8" x14ac:dyDescent="0.25">
      <c r="E878" t="str">
        <f>"24747"</f>
        <v>24747</v>
      </c>
      <c r="F878" t="str">
        <f>"FREIGHT SALES/PCT#2"</f>
        <v>FREIGHT SALES/PCT#2</v>
      </c>
      <c r="G878" s="4">
        <v>1545.8</v>
      </c>
      <c r="H878" t="str">
        <f>"FREIGHT SALES/PCT#2"</f>
        <v>FREIGHT SALES/PCT#2</v>
      </c>
    </row>
    <row r="879" spans="1:8" x14ac:dyDescent="0.25">
      <c r="E879" t="str">
        <f>"24779"</f>
        <v>24779</v>
      </c>
      <c r="F879" t="str">
        <f>"FREIGHT SALES/PCT#2"</f>
        <v>FREIGHT SALES/PCT#2</v>
      </c>
      <c r="G879" s="4">
        <v>1193.95</v>
      </c>
      <c r="H879" t="str">
        <f>"FREIGHT SALES/PCT#2"</f>
        <v>FREIGHT SALES/PCT#2</v>
      </c>
    </row>
    <row r="880" spans="1:8" x14ac:dyDescent="0.25">
      <c r="A880" t="s">
        <v>215</v>
      </c>
      <c r="B880">
        <v>4647</v>
      </c>
      <c r="C880" s="4">
        <v>1783.55</v>
      </c>
      <c r="D880" s="1">
        <v>44376</v>
      </c>
      <c r="E880" t="str">
        <f>"24822"</f>
        <v>24822</v>
      </c>
      <c r="F880" t="str">
        <f>"FREIGHT SALES/PCT#2"</f>
        <v>FREIGHT SALES/PCT#2</v>
      </c>
      <c r="G880" s="4">
        <v>958.95</v>
      </c>
      <c r="H880" t="str">
        <f>"FREIGHT SALES/PCT#2"</f>
        <v>FREIGHT SALES/PCT#2</v>
      </c>
    </row>
    <row r="881" spans="1:8" x14ac:dyDescent="0.25">
      <c r="E881" t="str">
        <f>"24859"</f>
        <v>24859</v>
      </c>
      <c r="F881" t="str">
        <f>"FREIGHT SALES/PCT#2"</f>
        <v>FREIGHT SALES/PCT#2</v>
      </c>
      <c r="G881" s="4">
        <v>824.6</v>
      </c>
      <c r="H881" t="str">
        <f>"FREIGHT SALES/PCT#2"</f>
        <v>FREIGHT SALES/PCT#2</v>
      </c>
    </row>
    <row r="882" spans="1:8" x14ac:dyDescent="0.25">
      <c r="A882" t="s">
        <v>216</v>
      </c>
      <c r="B882">
        <v>135892</v>
      </c>
      <c r="C882" s="4">
        <v>141.75</v>
      </c>
      <c r="D882" s="1">
        <v>44361</v>
      </c>
      <c r="E882" t="str">
        <f>"202106083784"</f>
        <v>202106083784</v>
      </c>
      <c r="F882" t="str">
        <f>"CUST ID:TX-C004092/ANIMAL SVCS"</f>
        <v>CUST ID:TX-C004092/ANIMAL SVCS</v>
      </c>
      <c r="G882" s="4">
        <v>141.75</v>
      </c>
      <c r="H882" t="str">
        <f>"CUST ID:TX-C004092/ANIMAL SVCS"</f>
        <v>CUST ID:TX-C004092/ANIMAL SVCS</v>
      </c>
    </row>
    <row r="883" spans="1:8" x14ac:dyDescent="0.25">
      <c r="A883" t="s">
        <v>216</v>
      </c>
      <c r="B883">
        <v>136054</v>
      </c>
      <c r="C883" s="4">
        <v>221.64</v>
      </c>
      <c r="D883" s="1">
        <v>44375</v>
      </c>
      <c r="E883" t="str">
        <f>"TX069342"</f>
        <v>TX069342</v>
      </c>
      <c r="F883" t="str">
        <f>"CUST#TX-C004092/AMIMAL SHELTER"</f>
        <v>CUST#TX-C004092/AMIMAL SHELTER</v>
      </c>
      <c r="G883" s="4">
        <v>32.68</v>
      </c>
      <c r="H883" t="str">
        <f>"CUST#TX-C004092/AMIMAL SHELTER"</f>
        <v>CUST#TX-C004092/AMIMAL SHELTER</v>
      </c>
    </row>
    <row r="884" spans="1:8" x14ac:dyDescent="0.25">
      <c r="E884" t="str">
        <f>"TX069561"</f>
        <v>TX069561</v>
      </c>
      <c r="F884" t="str">
        <f>"CUST#TX-C004092/AMIMAL SHELTER"</f>
        <v>CUST#TX-C004092/AMIMAL SHELTER</v>
      </c>
      <c r="G884" s="4">
        <v>48.96</v>
      </c>
      <c r="H884" t="str">
        <f>"CUST#TX-C004092/AMIMAL SHELTER"</f>
        <v>CUST#TX-C004092/AMIMAL SHELTER</v>
      </c>
    </row>
    <row r="885" spans="1:8" x14ac:dyDescent="0.25">
      <c r="E885" t="str">
        <f>"TX069810"</f>
        <v>TX069810</v>
      </c>
      <c r="F885" t="str">
        <f>"CUST#TX-C004092/AMIMAL SHELTER"</f>
        <v>CUST#TX-C004092/AMIMAL SHELTER</v>
      </c>
      <c r="G885" s="4">
        <v>140</v>
      </c>
      <c r="H885" t="str">
        <f>"CUST#TX-C004092/AMIMAL SHELTER"</f>
        <v>CUST#TX-C004092/AMIMAL SHELTER</v>
      </c>
    </row>
    <row r="886" spans="1:8" x14ac:dyDescent="0.25">
      <c r="A886" t="s">
        <v>217</v>
      </c>
      <c r="B886">
        <v>135735</v>
      </c>
      <c r="C886" s="4">
        <v>40</v>
      </c>
      <c r="D886" s="1">
        <v>44354</v>
      </c>
      <c r="E886" t="str">
        <f>"202106073703"</f>
        <v>202106073703</v>
      </c>
      <c r="F886" t="str">
        <f>"Miscel"</f>
        <v>Miscel</v>
      </c>
      <c r="G886" s="4">
        <v>40</v>
      </c>
      <c r="H886" t="str">
        <f>"GREGORY N BICKWERMERT"</f>
        <v>GREGORY N BICKWERMERT</v>
      </c>
    </row>
    <row r="887" spans="1:8" x14ac:dyDescent="0.25">
      <c r="A887" t="s">
        <v>218</v>
      </c>
      <c r="B887">
        <v>135736</v>
      </c>
      <c r="C887" s="4">
        <v>40</v>
      </c>
      <c r="D887" s="1">
        <v>44354</v>
      </c>
      <c r="E887" t="str">
        <f>"202106073704"</f>
        <v>202106073704</v>
      </c>
      <c r="F887" t="str">
        <f>"Miscel"</f>
        <v>Miscel</v>
      </c>
      <c r="G887" s="4">
        <v>40</v>
      </c>
      <c r="H887" t="str">
        <f>"JEANNIE MARIE RICHTER"</f>
        <v>JEANNIE MARIE RICHTER</v>
      </c>
    </row>
    <row r="888" spans="1:8" x14ac:dyDescent="0.25">
      <c r="A888" t="s">
        <v>219</v>
      </c>
      <c r="B888">
        <v>135737</v>
      </c>
      <c r="C888" s="4">
        <v>40</v>
      </c>
      <c r="D888" s="1">
        <v>44354</v>
      </c>
      <c r="E888" t="str">
        <f>"202106073705"</f>
        <v>202106073705</v>
      </c>
      <c r="F888" t="str">
        <f>"Miscell"</f>
        <v>Miscell</v>
      </c>
      <c r="G888" s="4">
        <v>40</v>
      </c>
      <c r="H888" t="str">
        <f>"BRAD MARTIN LINDGREN"</f>
        <v>BRAD MARTIN LINDGREN</v>
      </c>
    </row>
    <row r="889" spans="1:8" x14ac:dyDescent="0.25">
      <c r="A889" t="s">
        <v>220</v>
      </c>
      <c r="B889">
        <v>135738</v>
      </c>
      <c r="C889" s="4">
        <v>40</v>
      </c>
      <c r="D889" s="1">
        <v>44354</v>
      </c>
      <c r="E889" t="str">
        <f>"202106073706"</f>
        <v>202106073706</v>
      </c>
      <c r="F889" t="str">
        <f>"Miscellane"</f>
        <v>Miscellane</v>
      </c>
      <c r="G889" s="4">
        <v>40</v>
      </c>
      <c r="H889" t="str">
        <f>"CINDY LEE VASQUEZ"</f>
        <v>CINDY LEE VASQUEZ</v>
      </c>
    </row>
    <row r="890" spans="1:8" x14ac:dyDescent="0.25">
      <c r="A890" t="s">
        <v>221</v>
      </c>
      <c r="B890">
        <v>135739</v>
      </c>
      <c r="C890" s="4">
        <v>40</v>
      </c>
      <c r="D890" s="1">
        <v>44354</v>
      </c>
      <c r="E890" t="str">
        <f>"202106073707"</f>
        <v>202106073707</v>
      </c>
      <c r="F890" t="str">
        <f>"Miscel"</f>
        <v>Miscel</v>
      </c>
      <c r="G890" s="4">
        <v>40</v>
      </c>
      <c r="H890" t="str">
        <f>"RONALD DWAYNE DANIELS"</f>
        <v>RONALD DWAYNE DANIELS</v>
      </c>
    </row>
    <row r="891" spans="1:8" x14ac:dyDescent="0.25">
      <c r="A891" t="s">
        <v>222</v>
      </c>
      <c r="B891">
        <v>135740</v>
      </c>
      <c r="C891" s="4">
        <v>40</v>
      </c>
      <c r="D891" s="1">
        <v>44354</v>
      </c>
      <c r="E891" t="str">
        <f>"202106073708"</f>
        <v>202106073708</v>
      </c>
      <c r="F891" t="str">
        <f>"Miscel"</f>
        <v>Miscel</v>
      </c>
      <c r="G891" s="4">
        <v>40</v>
      </c>
      <c r="H891" t="str">
        <f>"RONALD DALE BLACKMORE"</f>
        <v>RONALD DALE BLACKMORE</v>
      </c>
    </row>
    <row r="892" spans="1:8" x14ac:dyDescent="0.25">
      <c r="A892" t="s">
        <v>223</v>
      </c>
      <c r="B892">
        <v>135741</v>
      </c>
      <c r="C892" s="4">
        <v>40</v>
      </c>
      <c r="D892" s="1">
        <v>44354</v>
      </c>
      <c r="E892" t="str">
        <f>"202106073709"</f>
        <v>202106073709</v>
      </c>
      <c r="F892" t="str">
        <f>"Miscel"</f>
        <v>Miscel</v>
      </c>
      <c r="G892" s="4">
        <v>40</v>
      </c>
      <c r="H892" t="str">
        <f>"RONA MICHELLE SHEERAN"</f>
        <v>RONA MICHELLE SHEERAN</v>
      </c>
    </row>
    <row r="893" spans="1:8" x14ac:dyDescent="0.25">
      <c r="A893" t="s">
        <v>224</v>
      </c>
      <c r="B893">
        <v>135742</v>
      </c>
      <c r="C893" s="4">
        <v>40</v>
      </c>
      <c r="D893" s="1">
        <v>44354</v>
      </c>
      <c r="E893" t="str">
        <f>"202106073710"</f>
        <v>202106073710</v>
      </c>
      <c r="F893" t="str">
        <f>"Mi"</f>
        <v>Mi</v>
      </c>
      <c r="G893" s="4">
        <v>40</v>
      </c>
      <c r="H893" t="str">
        <f>"SAMELLA THOMPSON WILLIAMS"</f>
        <v>SAMELLA THOMPSON WILLIAMS</v>
      </c>
    </row>
    <row r="894" spans="1:8" x14ac:dyDescent="0.25">
      <c r="A894" t="s">
        <v>225</v>
      </c>
      <c r="B894">
        <v>135743</v>
      </c>
      <c r="C894" s="4">
        <v>40</v>
      </c>
      <c r="D894" s="1">
        <v>44354</v>
      </c>
      <c r="E894" t="str">
        <f>"202106073711"</f>
        <v>202106073711</v>
      </c>
      <c r="F894" t="str">
        <f>"Miscel"</f>
        <v>Miscel</v>
      </c>
      <c r="G894" s="4">
        <v>40</v>
      </c>
      <c r="H894" t="str">
        <f>"STEVE RAY CHAMBERLAIN"</f>
        <v>STEVE RAY CHAMBERLAIN</v>
      </c>
    </row>
    <row r="895" spans="1:8" x14ac:dyDescent="0.25">
      <c r="A895" t="s">
        <v>226</v>
      </c>
      <c r="B895">
        <v>135756</v>
      </c>
      <c r="C895" s="4">
        <v>238</v>
      </c>
      <c r="D895" s="1">
        <v>44361</v>
      </c>
      <c r="E895" t="str">
        <f>"202106143867"</f>
        <v>202106143867</v>
      </c>
      <c r="F895" t="str">
        <f>"M"</f>
        <v>M</v>
      </c>
      <c r="G895" s="4">
        <v>238</v>
      </c>
      <c r="H895" t="str">
        <f>"Children's Advocacy Center"</f>
        <v>Children's Advocacy Center</v>
      </c>
    </row>
    <row r="896" spans="1:8" x14ac:dyDescent="0.25">
      <c r="A896" t="s">
        <v>227</v>
      </c>
      <c r="B896">
        <v>135757</v>
      </c>
      <c r="C896" s="4">
        <v>170</v>
      </c>
      <c r="D896" s="1">
        <v>44361</v>
      </c>
      <c r="E896" t="str">
        <f>"202106143868"</f>
        <v>202106143868</v>
      </c>
      <c r="F896" t="str">
        <f>"Miscell"</f>
        <v>Miscell</v>
      </c>
      <c r="G896" s="4">
        <v>170</v>
      </c>
      <c r="H896" t="str">
        <f>"Family Crisis Center"</f>
        <v>Family Crisis Center</v>
      </c>
    </row>
    <row r="897" spans="1:8" x14ac:dyDescent="0.25">
      <c r="A897" t="s">
        <v>228</v>
      </c>
      <c r="B897">
        <v>135758</v>
      </c>
      <c r="C897" s="4">
        <v>140</v>
      </c>
      <c r="D897" s="1">
        <v>44361</v>
      </c>
      <c r="E897" t="str">
        <f>"202106143869"</f>
        <v>202106143869</v>
      </c>
      <c r="F897" t="str">
        <f>"Mi"</f>
        <v>Mi</v>
      </c>
      <c r="G897" s="4">
        <v>140</v>
      </c>
      <c r="H897" t="str">
        <f>"Child Protective Services"</f>
        <v>Child Protective Services</v>
      </c>
    </row>
    <row r="898" spans="1:8" x14ac:dyDescent="0.25">
      <c r="A898" t="s">
        <v>229</v>
      </c>
      <c r="B898">
        <v>135759</v>
      </c>
      <c r="C898" s="4">
        <v>122</v>
      </c>
      <c r="D898" s="1">
        <v>44361</v>
      </c>
      <c r="E898" t="str">
        <f>"202106143870"</f>
        <v>202106143870</v>
      </c>
      <c r="F898" t="str">
        <f>""</f>
        <v/>
      </c>
      <c r="G898" s="4">
        <v>122</v>
      </c>
      <c r="H898" t="str">
        <f>"COURT APPOINTED SPECIAL ADVOCA"</f>
        <v>COURT APPOINTED SPECIAL ADVOCA</v>
      </c>
    </row>
    <row r="899" spans="1:8" x14ac:dyDescent="0.25">
      <c r="A899" t="s">
        <v>230</v>
      </c>
      <c r="B899">
        <v>135760</v>
      </c>
      <c r="C899" s="4">
        <v>6</v>
      </c>
      <c r="D899" s="1">
        <v>44361</v>
      </c>
      <c r="E899" t="str">
        <f>"202106143871"</f>
        <v>202106143871</v>
      </c>
      <c r="F899" t="str">
        <f>"Mi"</f>
        <v>Mi</v>
      </c>
      <c r="G899" s="4">
        <v>6</v>
      </c>
      <c r="H899" t="str">
        <f>"KENNETH WAYNE ANDERSON SR"</f>
        <v>KENNETH WAYNE ANDERSON SR</v>
      </c>
    </row>
    <row r="900" spans="1:8" x14ac:dyDescent="0.25">
      <c r="A900" t="s">
        <v>231</v>
      </c>
      <c r="B900">
        <v>135761</v>
      </c>
      <c r="C900" s="4">
        <v>6</v>
      </c>
      <c r="D900" s="1">
        <v>44361</v>
      </c>
      <c r="E900" t="str">
        <f>"202106143872"</f>
        <v>202106143872</v>
      </c>
      <c r="F900" t="str">
        <f>"Miscella"</f>
        <v>Miscella</v>
      </c>
      <c r="G900" s="4">
        <v>6</v>
      </c>
      <c r="H900" t="str">
        <f>"PENELOPE RUTH JONES"</f>
        <v>PENELOPE RUTH JONES</v>
      </c>
    </row>
    <row r="901" spans="1:8" x14ac:dyDescent="0.25">
      <c r="A901" t="s">
        <v>232</v>
      </c>
      <c r="B901">
        <v>135762</v>
      </c>
      <c r="C901" s="4">
        <v>6</v>
      </c>
      <c r="D901" s="1">
        <v>44361</v>
      </c>
      <c r="E901" t="str">
        <f>"202106143873"</f>
        <v>202106143873</v>
      </c>
      <c r="F901" t="str">
        <f>"Miscel"</f>
        <v>Miscel</v>
      </c>
      <c r="G901" s="4">
        <v>6</v>
      </c>
      <c r="H901" t="str">
        <f>"MELINDA GAYLENE OLSON"</f>
        <v>MELINDA GAYLENE OLSON</v>
      </c>
    </row>
    <row r="902" spans="1:8" x14ac:dyDescent="0.25">
      <c r="A902" t="s">
        <v>233</v>
      </c>
      <c r="B902">
        <v>135763</v>
      </c>
      <c r="C902" s="4">
        <v>6</v>
      </c>
      <c r="D902" s="1">
        <v>44361</v>
      </c>
      <c r="E902" t="str">
        <f>"202106143874"</f>
        <v>202106143874</v>
      </c>
      <c r="F902" t="str">
        <f>"Misce"</f>
        <v>Misce</v>
      </c>
      <c r="G902" s="4">
        <v>6</v>
      </c>
      <c r="H902" t="str">
        <f>"JENNIFER BAKER RICHTER"</f>
        <v>JENNIFER BAKER RICHTER</v>
      </c>
    </row>
    <row r="903" spans="1:8" x14ac:dyDescent="0.25">
      <c r="A903" t="s">
        <v>234</v>
      </c>
      <c r="B903">
        <v>135764</v>
      </c>
      <c r="C903" s="4">
        <v>6</v>
      </c>
      <c r="D903" s="1">
        <v>44361</v>
      </c>
      <c r="E903" t="str">
        <f>"202106143875"</f>
        <v>202106143875</v>
      </c>
      <c r="F903" t="str">
        <f>"Miscellan"</f>
        <v>Miscellan</v>
      </c>
      <c r="G903" s="4">
        <v>6</v>
      </c>
      <c r="H903" t="str">
        <f>"KAREN SUE PRIMEAUX"</f>
        <v>KAREN SUE PRIMEAUX</v>
      </c>
    </row>
    <row r="904" spans="1:8" x14ac:dyDescent="0.25">
      <c r="A904" t="s">
        <v>235</v>
      </c>
      <c r="B904">
        <v>135765</v>
      </c>
      <c r="C904" s="4">
        <v>6</v>
      </c>
      <c r="D904" s="1">
        <v>44361</v>
      </c>
      <c r="E904" t="str">
        <f>"202106143876"</f>
        <v>202106143876</v>
      </c>
      <c r="F904" t="str">
        <f>"Mi"</f>
        <v>Mi</v>
      </c>
      <c r="G904" s="4">
        <v>6</v>
      </c>
      <c r="H904" t="str">
        <f>"JAMES LESTER WILKINSON JR"</f>
        <v>JAMES LESTER WILKINSON JR</v>
      </c>
    </row>
    <row r="905" spans="1:8" x14ac:dyDescent="0.25">
      <c r="A905" t="s">
        <v>236</v>
      </c>
      <c r="B905">
        <v>135766</v>
      </c>
      <c r="C905" s="4">
        <v>6</v>
      </c>
      <c r="D905" s="1">
        <v>44361</v>
      </c>
      <c r="E905" t="str">
        <f>"202106143877"</f>
        <v>202106143877</v>
      </c>
      <c r="F905" t="str">
        <f>"Miscellaneou"</f>
        <v>Miscellaneou</v>
      </c>
      <c r="G905" s="4">
        <v>6</v>
      </c>
      <c r="H905" t="str">
        <f>"MARK AARON MOKE"</f>
        <v>MARK AARON MOKE</v>
      </c>
    </row>
    <row r="906" spans="1:8" x14ac:dyDescent="0.25">
      <c r="A906" t="s">
        <v>237</v>
      </c>
      <c r="B906">
        <v>135767</v>
      </c>
      <c r="C906" s="4">
        <v>6</v>
      </c>
      <c r="D906" s="1">
        <v>44361</v>
      </c>
      <c r="E906" t="str">
        <f>"202106143878"</f>
        <v>202106143878</v>
      </c>
      <c r="F906" t="str">
        <f>"Miscellan"</f>
        <v>Miscellan</v>
      </c>
      <c r="G906" s="4">
        <v>6</v>
      </c>
      <c r="H906" t="str">
        <f>"ERIN TAYLOR EARLEY"</f>
        <v>ERIN TAYLOR EARLEY</v>
      </c>
    </row>
    <row r="907" spans="1:8" x14ac:dyDescent="0.25">
      <c r="A907" t="s">
        <v>238</v>
      </c>
      <c r="B907">
        <v>135768</v>
      </c>
      <c r="C907" s="4">
        <v>6</v>
      </c>
      <c r="D907" s="1">
        <v>44361</v>
      </c>
      <c r="E907" t="str">
        <f>"202106143879"</f>
        <v>202106143879</v>
      </c>
      <c r="F907" t="str">
        <f>"Misc"</f>
        <v>Misc</v>
      </c>
      <c r="G907" s="4">
        <v>6</v>
      </c>
      <c r="H907" t="str">
        <f>"VICTORIA KELSEY HANSHEW"</f>
        <v>VICTORIA KELSEY HANSHEW</v>
      </c>
    </row>
    <row r="908" spans="1:8" x14ac:dyDescent="0.25">
      <c r="A908" t="s">
        <v>239</v>
      </c>
      <c r="B908">
        <v>135769</v>
      </c>
      <c r="C908" s="4">
        <v>6</v>
      </c>
      <c r="D908" s="1">
        <v>44361</v>
      </c>
      <c r="E908" t="str">
        <f>"202106143880"</f>
        <v>202106143880</v>
      </c>
      <c r="F908" t="str">
        <f>"Miscellaneou"</f>
        <v>Miscellaneou</v>
      </c>
      <c r="G908" s="4">
        <v>6</v>
      </c>
      <c r="H908" t="str">
        <f>"ARTEM SKVORTSOV"</f>
        <v>ARTEM SKVORTSOV</v>
      </c>
    </row>
    <row r="909" spans="1:8" x14ac:dyDescent="0.25">
      <c r="A909" t="s">
        <v>240</v>
      </c>
      <c r="B909">
        <v>135770</v>
      </c>
      <c r="C909" s="4">
        <v>6</v>
      </c>
      <c r="D909" s="1">
        <v>44361</v>
      </c>
      <c r="E909" t="str">
        <f>"202106143881"</f>
        <v>202106143881</v>
      </c>
      <c r="F909" t="str">
        <f>"Miscellaneou"</f>
        <v>Miscellaneou</v>
      </c>
      <c r="G909" s="4">
        <v>6</v>
      </c>
      <c r="H909" t="str">
        <f>"MONTY LEE CEDER"</f>
        <v>MONTY LEE CEDER</v>
      </c>
    </row>
    <row r="910" spans="1:8" x14ac:dyDescent="0.25">
      <c r="A910" t="s">
        <v>241</v>
      </c>
      <c r="B910">
        <v>135771</v>
      </c>
      <c r="C910" s="4">
        <v>6</v>
      </c>
      <c r="D910" s="1">
        <v>44361</v>
      </c>
      <c r="E910" t="str">
        <f>"202106143882"</f>
        <v>202106143882</v>
      </c>
      <c r="F910" t="str">
        <f>"Misc"</f>
        <v>Misc</v>
      </c>
      <c r="G910" s="4">
        <v>6</v>
      </c>
      <c r="H910" t="str">
        <f>"JOSE ESTEBAN VILLARREAL"</f>
        <v>JOSE ESTEBAN VILLARREAL</v>
      </c>
    </row>
    <row r="911" spans="1:8" x14ac:dyDescent="0.25">
      <c r="A911" t="s">
        <v>242</v>
      </c>
      <c r="B911">
        <v>135772</v>
      </c>
      <c r="C911" s="4">
        <v>6</v>
      </c>
      <c r="D911" s="1">
        <v>44361</v>
      </c>
      <c r="E911" t="str">
        <f>"202106143883"</f>
        <v>202106143883</v>
      </c>
      <c r="F911" t="str">
        <f>"Misce"</f>
        <v>Misce</v>
      </c>
      <c r="G911" s="4">
        <v>6</v>
      </c>
      <c r="H911" t="str">
        <f>"TYLER EDWARD SYNATSCHK"</f>
        <v>TYLER EDWARD SYNATSCHK</v>
      </c>
    </row>
    <row r="912" spans="1:8" x14ac:dyDescent="0.25">
      <c r="A912" t="s">
        <v>243</v>
      </c>
      <c r="B912">
        <v>135773</v>
      </c>
      <c r="C912" s="4">
        <v>86</v>
      </c>
      <c r="D912" s="1">
        <v>44361</v>
      </c>
      <c r="E912" t="str">
        <f>"202106143884"</f>
        <v>202106143884</v>
      </c>
      <c r="F912" t="str">
        <f>"Miscellaneo"</f>
        <v>Miscellaneo</v>
      </c>
      <c r="G912" s="4">
        <v>86</v>
      </c>
      <c r="H912" t="str">
        <f>"CRYSTAL RAE HALL"</f>
        <v>CRYSTAL RAE HALL</v>
      </c>
    </row>
    <row r="913" spans="1:8" x14ac:dyDescent="0.25">
      <c r="A913" t="s">
        <v>244</v>
      </c>
      <c r="B913">
        <v>135774</v>
      </c>
      <c r="C913" s="4">
        <v>86</v>
      </c>
      <c r="D913" s="1">
        <v>44361</v>
      </c>
      <c r="E913" t="str">
        <f>"202106143885"</f>
        <v>202106143885</v>
      </c>
      <c r="F913" t="str">
        <f>"Misc"</f>
        <v>Misc</v>
      </c>
      <c r="G913" s="4">
        <v>86</v>
      </c>
      <c r="H913" t="str">
        <f>"RHOMMIELLE LYNDON BUADO"</f>
        <v>RHOMMIELLE LYNDON BUADO</v>
      </c>
    </row>
    <row r="914" spans="1:8" x14ac:dyDescent="0.25">
      <c r="A914" t="s">
        <v>245</v>
      </c>
      <c r="B914">
        <v>135775</v>
      </c>
      <c r="C914" s="4">
        <v>86</v>
      </c>
      <c r="D914" s="1">
        <v>44361</v>
      </c>
      <c r="E914" t="str">
        <f>"202106143886"</f>
        <v>202106143886</v>
      </c>
      <c r="F914" t="str">
        <f>"Miscell"</f>
        <v>Miscell</v>
      </c>
      <c r="G914" s="4">
        <v>86</v>
      </c>
      <c r="H914" t="str">
        <f>"THOMAS CLINTON SMITH"</f>
        <v>THOMAS CLINTON SMITH</v>
      </c>
    </row>
    <row r="915" spans="1:8" x14ac:dyDescent="0.25">
      <c r="A915" t="s">
        <v>246</v>
      </c>
      <c r="B915">
        <v>135776</v>
      </c>
      <c r="C915" s="4">
        <v>86</v>
      </c>
      <c r="D915" s="1">
        <v>44361</v>
      </c>
      <c r="E915" t="str">
        <f>"202106143887"</f>
        <v>202106143887</v>
      </c>
      <c r="F915" t="str">
        <f>"Miscellan"</f>
        <v>Miscellan</v>
      </c>
      <c r="G915" s="4">
        <v>86</v>
      </c>
      <c r="H915" t="str">
        <f>"CYLE RICHARD JONES"</f>
        <v>CYLE RICHARD JONES</v>
      </c>
    </row>
    <row r="916" spans="1:8" x14ac:dyDescent="0.25">
      <c r="A916" t="s">
        <v>247</v>
      </c>
      <c r="B916">
        <v>135777</v>
      </c>
      <c r="C916" s="4">
        <v>86</v>
      </c>
      <c r="D916" s="1">
        <v>44361</v>
      </c>
      <c r="E916" t="str">
        <f>"202106143888"</f>
        <v>202106143888</v>
      </c>
      <c r="F916" t="str">
        <f>"Miscella"</f>
        <v>Miscella</v>
      </c>
      <c r="G916" s="4">
        <v>86</v>
      </c>
      <c r="H916" t="str">
        <f>"JUSTIN LOGAN BRYANT"</f>
        <v>JUSTIN LOGAN BRYANT</v>
      </c>
    </row>
    <row r="917" spans="1:8" x14ac:dyDescent="0.25">
      <c r="A917" t="s">
        <v>248</v>
      </c>
      <c r="B917">
        <v>135778</v>
      </c>
      <c r="C917" s="4">
        <v>86</v>
      </c>
      <c r="D917" s="1">
        <v>44361</v>
      </c>
      <c r="E917" t="str">
        <f>"202106143889"</f>
        <v>202106143889</v>
      </c>
      <c r="F917" t="str">
        <f>"Miscella"</f>
        <v>Miscella</v>
      </c>
      <c r="G917" s="4">
        <v>86</v>
      </c>
      <c r="H917" t="str">
        <f>"DAIGA LIUIJA STROUD"</f>
        <v>DAIGA LIUIJA STROUD</v>
      </c>
    </row>
    <row r="918" spans="1:8" x14ac:dyDescent="0.25">
      <c r="A918" t="s">
        <v>249</v>
      </c>
      <c r="B918">
        <v>135779</v>
      </c>
      <c r="C918" s="4">
        <v>86</v>
      </c>
      <c r="D918" s="1">
        <v>44361</v>
      </c>
      <c r="E918" t="str">
        <f>"202106143890"</f>
        <v>202106143890</v>
      </c>
      <c r="F918" t="str">
        <f>"Miscella"</f>
        <v>Miscella</v>
      </c>
      <c r="G918" s="4">
        <v>86</v>
      </c>
      <c r="H918" t="str">
        <f>"DUSTIN JAMES BOLING"</f>
        <v>DUSTIN JAMES BOLING</v>
      </c>
    </row>
    <row r="919" spans="1:8" x14ac:dyDescent="0.25">
      <c r="A919" t="s">
        <v>250</v>
      </c>
      <c r="B919">
        <v>135780</v>
      </c>
      <c r="C919" s="4">
        <v>6</v>
      </c>
      <c r="D919" s="1">
        <v>44361</v>
      </c>
      <c r="E919" t="str">
        <f>"202106143891"</f>
        <v>202106143891</v>
      </c>
      <c r="F919" t="str">
        <f>"Miscell"</f>
        <v>Miscell</v>
      </c>
      <c r="G919" s="4">
        <v>6</v>
      </c>
      <c r="H919" t="str">
        <f>"HELEN LUCILE HAMRICK"</f>
        <v>HELEN LUCILE HAMRICK</v>
      </c>
    </row>
    <row r="920" spans="1:8" x14ac:dyDescent="0.25">
      <c r="A920" t="s">
        <v>251</v>
      </c>
      <c r="B920">
        <v>135781</v>
      </c>
      <c r="C920" s="4">
        <v>6</v>
      </c>
      <c r="D920" s="1">
        <v>44361</v>
      </c>
      <c r="E920" t="str">
        <f>"202106143892"</f>
        <v>202106143892</v>
      </c>
      <c r="F920" t="str">
        <f>"Mis"</f>
        <v>Mis</v>
      </c>
      <c r="G920" s="4">
        <v>6</v>
      </c>
      <c r="H920" t="str">
        <f>"MITCHELL WAYNE BLACKWELL"</f>
        <v>MITCHELL WAYNE BLACKWELL</v>
      </c>
    </row>
    <row r="921" spans="1:8" x14ac:dyDescent="0.25">
      <c r="A921" t="s">
        <v>252</v>
      </c>
      <c r="B921">
        <v>135782</v>
      </c>
      <c r="C921" s="4">
        <v>6</v>
      </c>
      <c r="D921" s="1">
        <v>44361</v>
      </c>
      <c r="E921" t="str">
        <f>"202106143893"</f>
        <v>202106143893</v>
      </c>
      <c r="F921" t="str">
        <f>"Miscella"</f>
        <v>Miscella</v>
      </c>
      <c r="G921" s="4">
        <v>6</v>
      </c>
      <c r="H921" t="str">
        <f>"JACOB THOMAS HAYNES"</f>
        <v>JACOB THOMAS HAYNES</v>
      </c>
    </row>
    <row r="922" spans="1:8" x14ac:dyDescent="0.25">
      <c r="A922" t="s">
        <v>253</v>
      </c>
      <c r="B922">
        <v>135783</v>
      </c>
      <c r="C922" s="4">
        <v>6</v>
      </c>
      <c r="D922" s="1">
        <v>44361</v>
      </c>
      <c r="E922" t="str">
        <f>"202106143894"</f>
        <v>202106143894</v>
      </c>
      <c r="F922" t="str">
        <f>"Miscella"</f>
        <v>Miscella</v>
      </c>
      <c r="G922" s="4">
        <v>6</v>
      </c>
      <c r="H922" t="str">
        <f>"JORGE ARTURO ARROYO"</f>
        <v>JORGE ARTURO ARROYO</v>
      </c>
    </row>
    <row r="923" spans="1:8" x14ac:dyDescent="0.25">
      <c r="A923" t="s">
        <v>254</v>
      </c>
      <c r="B923">
        <v>135784</v>
      </c>
      <c r="C923" s="4">
        <v>6</v>
      </c>
      <c r="D923" s="1">
        <v>44361</v>
      </c>
      <c r="E923" t="str">
        <f>"202106143895"</f>
        <v>202106143895</v>
      </c>
      <c r="F923" t="str">
        <f>"Miscel"</f>
        <v>Miscel</v>
      </c>
      <c r="G923" s="4">
        <v>6</v>
      </c>
      <c r="H923" t="str">
        <f>"GOVINDA STEVENS HOUGH"</f>
        <v>GOVINDA STEVENS HOUGH</v>
      </c>
    </row>
    <row r="924" spans="1:8" x14ac:dyDescent="0.25">
      <c r="A924" t="s">
        <v>255</v>
      </c>
      <c r="B924">
        <v>135785</v>
      </c>
      <c r="C924" s="4">
        <v>6</v>
      </c>
      <c r="D924" s="1">
        <v>44361</v>
      </c>
      <c r="E924" t="str">
        <f>"202106143896"</f>
        <v>202106143896</v>
      </c>
      <c r="F924" t="str">
        <f>"Miscell"</f>
        <v>Miscell</v>
      </c>
      <c r="G924" s="4">
        <v>6</v>
      </c>
      <c r="H924" t="str">
        <f>"KIRK FREDRICK HOEFER"</f>
        <v>KIRK FREDRICK HOEFER</v>
      </c>
    </row>
    <row r="925" spans="1:8" x14ac:dyDescent="0.25">
      <c r="A925" t="s">
        <v>256</v>
      </c>
      <c r="B925">
        <v>135786</v>
      </c>
      <c r="C925" s="4">
        <v>6</v>
      </c>
      <c r="D925" s="1">
        <v>44361</v>
      </c>
      <c r="E925" t="str">
        <f>"202106143897"</f>
        <v>202106143897</v>
      </c>
      <c r="F925" t="str">
        <f>"Miscellaneous"</f>
        <v>Miscellaneous</v>
      </c>
      <c r="G925" s="4">
        <v>6</v>
      </c>
      <c r="H925" t="str">
        <f>"JOANNA L WOOD"</f>
        <v>JOANNA L WOOD</v>
      </c>
    </row>
    <row r="926" spans="1:8" x14ac:dyDescent="0.25">
      <c r="A926" t="s">
        <v>257</v>
      </c>
      <c r="B926">
        <v>135787</v>
      </c>
      <c r="C926" s="4">
        <v>6</v>
      </c>
      <c r="D926" s="1">
        <v>44361</v>
      </c>
      <c r="E926" t="str">
        <f>"202106143898"</f>
        <v>202106143898</v>
      </c>
      <c r="F926" t="str">
        <f>"Miscellan"</f>
        <v>Miscellan</v>
      </c>
      <c r="G926" s="4">
        <v>6</v>
      </c>
      <c r="H926" t="str">
        <f>"BRIAN EDWARD COMER"</f>
        <v>BRIAN EDWARD COMER</v>
      </c>
    </row>
    <row r="927" spans="1:8" x14ac:dyDescent="0.25">
      <c r="A927" t="s">
        <v>258</v>
      </c>
      <c r="B927">
        <v>135788</v>
      </c>
      <c r="C927" s="4">
        <v>6</v>
      </c>
      <c r="D927" s="1">
        <v>44361</v>
      </c>
      <c r="E927" t="str">
        <f>"202106143899"</f>
        <v>202106143899</v>
      </c>
      <c r="F927" t="str">
        <f>"Misce"</f>
        <v>Misce</v>
      </c>
      <c r="G927" s="4">
        <v>6</v>
      </c>
      <c r="H927" t="str">
        <f>"TAMARA L SCOTT-STENGER"</f>
        <v>TAMARA L SCOTT-STENGER</v>
      </c>
    </row>
    <row r="928" spans="1:8" x14ac:dyDescent="0.25">
      <c r="A928" t="s">
        <v>259</v>
      </c>
      <c r="B928">
        <v>135789</v>
      </c>
      <c r="C928" s="4">
        <v>6</v>
      </c>
      <c r="D928" s="1">
        <v>44361</v>
      </c>
      <c r="E928" t="str">
        <f>"202106143900"</f>
        <v>202106143900</v>
      </c>
      <c r="F928" t="str">
        <f>"M"</f>
        <v>M</v>
      </c>
      <c r="G928" s="4">
        <v>6</v>
      </c>
      <c r="H928" t="str">
        <f>"CYNTHIA MICHELLE CAMARILLO"</f>
        <v>CYNTHIA MICHELLE CAMARILLO</v>
      </c>
    </row>
    <row r="929" spans="1:8" x14ac:dyDescent="0.25">
      <c r="A929" t="s">
        <v>260</v>
      </c>
      <c r="B929">
        <v>135790</v>
      </c>
      <c r="C929" s="4">
        <v>6</v>
      </c>
      <c r="D929" s="1">
        <v>44361</v>
      </c>
      <c r="E929" t="str">
        <f>"202106143901"</f>
        <v>202106143901</v>
      </c>
      <c r="F929" t="str">
        <f>"Miscellaneous"</f>
        <v>Miscellaneous</v>
      </c>
      <c r="G929" s="4">
        <v>6</v>
      </c>
      <c r="H929" t="str">
        <f>"PAUL SILVEIRA"</f>
        <v>PAUL SILVEIRA</v>
      </c>
    </row>
    <row r="930" spans="1:8" x14ac:dyDescent="0.25">
      <c r="A930" t="s">
        <v>261</v>
      </c>
      <c r="B930">
        <v>135791</v>
      </c>
      <c r="C930" s="4">
        <v>6</v>
      </c>
      <c r="D930" s="1">
        <v>44361</v>
      </c>
      <c r="E930" t="str">
        <f>"202106143902"</f>
        <v>202106143902</v>
      </c>
      <c r="F930" t="str">
        <f>"Miscella"</f>
        <v>Miscella</v>
      </c>
      <c r="G930" s="4">
        <v>6</v>
      </c>
      <c r="H930" t="str">
        <f>"MARIA ROSARIO OWENS"</f>
        <v>MARIA ROSARIO OWENS</v>
      </c>
    </row>
    <row r="931" spans="1:8" x14ac:dyDescent="0.25">
      <c r="A931" t="s">
        <v>262</v>
      </c>
      <c r="B931">
        <v>135792</v>
      </c>
      <c r="C931" s="4">
        <v>6</v>
      </c>
      <c r="D931" s="1">
        <v>44361</v>
      </c>
      <c r="E931" t="str">
        <f>"202106143903"</f>
        <v>202106143903</v>
      </c>
      <c r="F931" t="str">
        <f>"Miscell"</f>
        <v>Miscell</v>
      </c>
      <c r="G931" s="4">
        <v>6</v>
      </c>
      <c r="H931" t="str">
        <f>"RILEY JOSEPH MUSHILL"</f>
        <v>RILEY JOSEPH MUSHILL</v>
      </c>
    </row>
    <row r="932" spans="1:8" x14ac:dyDescent="0.25">
      <c r="A932" t="s">
        <v>263</v>
      </c>
      <c r="B932">
        <v>135793</v>
      </c>
      <c r="C932" s="4">
        <v>6</v>
      </c>
      <c r="D932" s="1">
        <v>44361</v>
      </c>
      <c r="E932" t="str">
        <f>"202106143904"</f>
        <v>202106143904</v>
      </c>
      <c r="F932" t="str">
        <f>""</f>
        <v/>
      </c>
      <c r="G932" s="4">
        <v>6</v>
      </c>
      <c r="H932" t="str">
        <f>"ANA CRISTINA PAGAN MARTINEZ"</f>
        <v>ANA CRISTINA PAGAN MARTINEZ</v>
      </c>
    </row>
    <row r="933" spans="1:8" x14ac:dyDescent="0.25">
      <c r="A933" t="s">
        <v>264</v>
      </c>
      <c r="B933">
        <v>135794</v>
      </c>
      <c r="C933" s="4">
        <v>6</v>
      </c>
      <c r="D933" s="1">
        <v>44361</v>
      </c>
      <c r="E933" t="str">
        <f>"202106143905"</f>
        <v>202106143905</v>
      </c>
      <c r="F933" t="str">
        <f>"Miscella"</f>
        <v>Miscella</v>
      </c>
      <c r="G933" s="4">
        <v>6</v>
      </c>
      <c r="H933" t="str">
        <f>"TYLER JOSEPH FENDER"</f>
        <v>TYLER JOSEPH FENDER</v>
      </c>
    </row>
    <row r="934" spans="1:8" x14ac:dyDescent="0.25">
      <c r="A934" t="s">
        <v>265</v>
      </c>
      <c r="B934">
        <v>135795</v>
      </c>
      <c r="C934" s="4">
        <v>6</v>
      </c>
      <c r="D934" s="1">
        <v>44361</v>
      </c>
      <c r="E934" t="str">
        <f>"202106143906"</f>
        <v>202106143906</v>
      </c>
      <c r="F934" t="str">
        <f>"Miscella"</f>
        <v>Miscella</v>
      </c>
      <c r="G934" s="4">
        <v>6</v>
      </c>
      <c r="H934" t="str">
        <f>"LUIS ENRIQUE CORONA"</f>
        <v>LUIS ENRIQUE CORONA</v>
      </c>
    </row>
    <row r="935" spans="1:8" x14ac:dyDescent="0.25">
      <c r="A935" t="s">
        <v>266</v>
      </c>
      <c r="B935">
        <v>135796</v>
      </c>
      <c r="C935" s="4">
        <v>6</v>
      </c>
      <c r="D935" s="1">
        <v>44361</v>
      </c>
      <c r="E935" t="str">
        <f>"202106143907"</f>
        <v>202106143907</v>
      </c>
      <c r="F935" t="str">
        <f>"Miscella"</f>
        <v>Miscella</v>
      </c>
      <c r="G935" s="4">
        <v>6</v>
      </c>
      <c r="H935" t="str">
        <f>"TASHA LUCILLE BYLER"</f>
        <v>TASHA LUCILLE BYLER</v>
      </c>
    </row>
    <row r="936" spans="1:8" x14ac:dyDescent="0.25">
      <c r="A936" t="s">
        <v>267</v>
      </c>
      <c r="B936">
        <v>135797</v>
      </c>
      <c r="C936" s="4">
        <v>6</v>
      </c>
      <c r="D936" s="1">
        <v>44361</v>
      </c>
      <c r="E936" t="str">
        <f>"202106143908"</f>
        <v>202106143908</v>
      </c>
      <c r="F936" t="str">
        <f>"Misce"</f>
        <v>Misce</v>
      </c>
      <c r="G936" s="4">
        <v>6</v>
      </c>
      <c r="H936" t="str">
        <f>"PAULINO MATA HERNANDEZ"</f>
        <v>PAULINO MATA HERNANDEZ</v>
      </c>
    </row>
    <row r="937" spans="1:8" x14ac:dyDescent="0.25">
      <c r="A937" t="s">
        <v>268</v>
      </c>
      <c r="B937">
        <v>135798</v>
      </c>
      <c r="C937" s="4">
        <v>6</v>
      </c>
      <c r="D937" s="1">
        <v>44361</v>
      </c>
      <c r="E937" t="str">
        <f>"202106143909"</f>
        <v>202106143909</v>
      </c>
      <c r="F937" t="str">
        <f>"Miscell"</f>
        <v>Miscell</v>
      </c>
      <c r="G937" s="4">
        <v>6</v>
      </c>
      <c r="H937" t="str">
        <f>"JOSHUA NATHAN HOEFER"</f>
        <v>JOSHUA NATHAN HOEFER</v>
      </c>
    </row>
    <row r="938" spans="1:8" x14ac:dyDescent="0.25">
      <c r="A938" t="s">
        <v>269</v>
      </c>
      <c r="B938">
        <v>135799</v>
      </c>
      <c r="C938" s="4">
        <v>6</v>
      </c>
      <c r="D938" s="1">
        <v>44361</v>
      </c>
      <c r="E938" t="str">
        <f>"202106143910"</f>
        <v>202106143910</v>
      </c>
      <c r="F938" t="str">
        <f>"Misce"</f>
        <v>Misce</v>
      </c>
      <c r="G938" s="4">
        <v>6</v>
      </c>
      <c r="H938" t="str">
        <f>"LILLIAN MEREDITH YOUNT"</f>
        <v>LILLIAN MEREDITH YOUNT</v>
      </c>
    </row>
    <row r="939" spans="1:8" x14ac:dyDescent="0.25">
      <c r="A939" t="s">
        <v>270</v>
      </c>
      <c r="B939">
        <v>135800</v>
      </c>
      <c r="C939" s="4">
        <v>6</v>
      </c>
      <c r="D939" s="1">
        <v>44361</v>
      </c>
      <c r="E939" t="str">
        <f>"202106143911"</f>
        <v>202106143911</v>
      </c>
      <c r="F939" t="str">
        <f>"Mi"</f>
        <v>Mi</v>
      </c>
      <c r="G939" s="4">
        <v>6</v>
      </c>
      <c r="H939" t="str">
        <f>"KATHRYN KIMBERLY GASSAWAY"</f>
        <v>KATHRYN KIMBERLY GASSAWAY</v>
      </c>
    </row>
    <row r="940" spans="1:8" x14ac:dyDescent="0.25">
      <c r="A940" t="s">
        <v>271</v>
      </c>
      <c r="B940">
        <v>135801</v>
      </c>
      <c r="C940" s="4">
        <v>6</v>
      </c>
      <c r="D940" s="1">
        <v>44361</v>
      </c>
      <c r="E940" t="str">
        <f>"202106143912"</f>
        <v>202106143912</v>
      </c>
      <c r="F940" t="str">
        <f>"Misc"</f>
        <v>Misc</v>
      </c>
      <c r="G940" s="4">
        <v>6</v>
      </c>
      <c r="H940" t="str">
        <f>"CHARLES CURTIS ERVIN IV"</f>
        <v>CHARLES CURTIS ERVIN IV</v>
      </c>
    </row>
    <row r="941" spans="1:8" x14ac:dyDescent="0.25">
      <c r="A941" t="s">
        <v>272</v>
      </c>
      <c r="B941">
        <v>135802</v>
      </c>
      <c r="C941" s="4">
        <v>86</v>
      </c>
      <c r="D941" s="1">
        <v>44361</v>
      </c>
      <c r="E941" t="str">
        <f>"202106143913"</f>
        <v>202106143913</v>
      </c>
      <c r="F941" t="str">
        <f>"Miscellaneous"</f>
        <v>Miscellaneous</v>
      </c>
      <c r="G941" s="4">
        <v>86</v>
      </c>
      <c r="H941" t="str">
        <f>"DENA JOI ZIZZO"</f>
        <v>DENA JOI ZIZZO</v>
      </c>
    </row>
    <row r="942" spans="1:8" x14ac:dyDescent="0.25">
      <c r="A942" t="s">
        <v>273</v>
      </c>
      <c r="B942">
        <v>135803</v>
      </c>
      <c r="C942" s="4">
        <v>6</v>
      </c>
      <c r="D942" s="1">
        <v>44361</v>
      </c>
      <c r="E942" t="str">
        <f>"202106143914"</f>
        <v>202106143914</v>
      </c>
      <c r="F942" t="str">
        <f>"Mi"</f>
        <v>Mi</v>
      </c>
      <c r="G942" s="4">
        <v>6</v>
      </c>
      <c r="H942" t="str">
        <f>"ROY ANDRE VANERMELSCHERER"</f>
        <v>ROY ANDRE VANERMELSCHERER</v>
      </c>
    </row>
    <row r="943" spans="1:8" x14ac:dyDescent="0.25">
      <c r="A943" t="s">
        <v>274</v>
      </c>
      <c r="B943">
        <v>135804</v>
      </c>
      <c r="C943" s="4">
        <v>86</v>
      </c>
      <c r="D943" s="1">
        <v>44361</v>
      </c>
      <c r="E943" t="str">
        <f>"202106143915"</f>
        <v>202106143915</v>
      </c>
      <c r="F943" t="str">
        <f>"Miscellan"</f>
        <v>Miscellan</v>
      </c>
      <c r="G943" s="4">
        <v>86</v>
      </c>
      <c r="H943" t="str">
        <f>"LAYLA ALIA EMERSON"</f>
        <v>LAYLA ALIA EMERSON</v>
      </c>
    </row>
    <row r="944" spans="1:8" x14ac:dyDescent="0.25">
      <c r="A944" t="s">
        <v>275</v>
      </c>
      <c r="B944">
        <v>136055</v>
      </c>
      <c r="C944" s="4">
        <v>80</v>
      </c>
      <c r="D944" s="1">
        <v>44375</v>
      </c>
      <c r="E944" t="str">
        <f>"202106164013"</f>
        <v>202106164013</v>
      </c>
      <c r="F944" t="str">
        <f>"RESTITUTION/OMAR CABALLERO"</f>
        <v>RESTITUTION/OMAR CABALLERO</v>
      </c>
      <c r="G944" s="4">
        <v>80</v>
      </c>
      <c r="H944" t="str">
        <f>"RESTITUTION/OMAR CABALLERO"</f>
        <v>RESTITUTION/OMAR CABALLERO</v>
      </c>
    </row>
    <row r="945" spans="1:8" x14ac:dyDescent="0.25">
      <c r="A945" t="s">
        <v>276</v>
      </c>
      <c r="B945">
        <v>136056</v>
      </c>
      <c r="C945" s="4">
        <v>75</v>
      </c>
      <c r="D945" s="1">
        <v>44375</v>
      </c>
      <c r="E945" t="str">
        <f>"13022"</f>
        <v>13022</v>
      </c>
      <c r="F945" t="str">
        <f>"SERVICE"</f>
        <v>SERVICE</v>
      </c>
      <c r="G945" s="4">
        <v>75</v>
      </c>
      <c r="H945" t="str">
        <f>"SERVICE"</f>
        <v>SERVICE</v>
      </c>
    </row>
    <row r="946" spans="1:8" x14ac:dyDescent="0.25">
      <c r="A946" t="s">
        <v>277</v>
      </c>
      <c r="B946">
        <v>135893</v>
      </c>
      <c r="C946" s="4">
        <v>14526.61</v>
      </c>
      <c r="D946" s="1">
        <v>44361</v>
      </c>
      <c r="E946" t="str">
        <f>"1187052237"</f>
        <v>1187052237</v>
      </c>
      <c r="F946" t="str">
        <f>"TRANS #1187052237"</f>
        <v>TRANS #1187052237</v>
      </c>
      <c r="G946" s="4">
        <v>4785</v>
      </c>
      <c r="H946" t="str">
        <f>"TRANS #1187052237"</f>
        <v>TRANS #1187052237</v>
      </c>
    </row>
    <row r="947" spans="1:8" x14ac:dyDescent="0.25">
      <c r="E947" t="str">
        <f>"23378"</f>
        <v>23378</v>
      </c>
      <c r="F947" t="str">
        <f>"Radios for Code Enf Offic"</f>
        <v>Radios for Code Enf Offic</v>
      </c>
      <c r="G947" s="4">
        <v>9741.61</v>
      </c>
      <c r="H947" t="str">
        <f>"APX6000 700/800"</f>
        <v>APX6000 700/800</v>
      </c>
    </row>
    <row r="948" spans="1:8" x14ac:dyDescent="0.25">
      <c r="E948" t="str">
        <f>""</f>
        <v/>
      </c>
      <c r="F948" t="str">
        <f>""</f>
        <v/>
      </c>
      <c r="H948" t="str">
        <f>"APX6500 7/800"</f>
        <v>APX6500 7/800</v>
      </c>
    </row>
    <row r="949" spans="1:8" x14ac:dyDescent="0.25">
      <c r="A949" t="s">
        <v>277</v>
      </c>
      <c r="B949">
        <v>136057</v>
      </c>
      <c r="C949" s="4">
        <v>20769.169999999998</v>
      </c>
      <c r="D949" s="1">
        <v>44375</v>
      </c>
      <c r="E949" t="str">
        <f>"8230326306"</f>
        <v>8230326306</v>
      </c>
      <c r="F949" t="str">
        <f>"CUST#1036215277"</f>
        <v>CUST#1036215277</v>
      </c>
      <c r="G949" s="4">
        <v>20769.169999999998</v>
      </c>
      <c r="H949" t="str">
        <f>"CUST#1036215277"</f>
        <v>CUST#1036215277</v>
      </c>
    </row>
    <row r="950" spans="1:8" x14ac:dyDescent="0.25">
      <c r="A950" t="s">
        <v>278</v>
      </c>
      <c r="B950">
        <v>136058</v>
      </c>
      <c r="C950" s="4">
        <v>45</v>
      </c>
      <c r="D950" s="1">
        <v>44375</v>
      </c>
      <c r="E950" t="str">
        <f>"202106164016"</f>
        <v>202106164016</v>
      </c>
      <c r="F950" t="str">
        <f>"REIMBURSE #23964 #23945"</f>
        <v>REIMBURSE #23964 #23945</v>
      </c>
      <c r="G950" s="4">
        <v>45</v>
      </c>
      <c r="H950" t="str">
        <f>"REIMBURSE #23964 #23945"</f>
        <v>REIMBURSE #23964 #23945</v>
      </c>
    </row>
    <row r="951" spans="1:8" x14ac:dyDescent="0.25">
      <c r="A951" t="s">
        <v>279</v>
      </c>
      <c r="B951">
        <v>135894</v>
      </c>
      <c r="C951" s="4">
        <v>957.12</v>
      </c>
      <c r="D951" s="1">
        <v>44361</v>
      </c>
      <c r="E951" t="str">
        <f>"6670069406"</f>
        <v>6670069406</v>
      </c>
      <c r="F951" t="str">
        <f>"PAYER#150344157"</f>
        <v>PAYER#150344157</v>
      </c>
      <c r="G951" s="4">
        <v>957.12</v>
      </c>
      <c r="H951" t="str">
        <f>"PAYER#150344157"</f>
        <v>PAYER#150344157</v>
      </c>
    </row>
    <row r="952" spans="1:8" x14ac:dyDescent="0.25">
      <c r="A952" t="s">
        <v>279</v>
      </c>
      <c r="B952">
        <v>136059</v>
      </c>
      <c r="C952" s="4">
        <v>957.12</v>
      </c>
      <c r="D952" s="1">
        <v>44375</v>
      </c>
      <c r="E952" t="str">
        <f>"6670084779"</f>
        <v>6670084779</v>
      </c>
      <c r="F952" t="str">
        <f>"CUST#500095240"</f>
        <v>CUST#500095240</v>
      </c>
      <c r="G952" s="4">
        <v>957.12</v>
      </c>
      <c r="H952" t="str">
        <f>"CUST#500095240"</f>
        <v>CUST#500095240</v>
      </c>
    </row>
    <row r="953" spans="1:8" x14ac:dyDescent="0.25">
      <c r="A953" t="s">
        <v>280</v>
      </c>
      <c r="B953">
        <v>4553</v>
      </c>
      <c r="C953" s="4">
        <v>7062.65</v>
      </c>
      <c r="D953" s="1">
        <v>44362</v>
      </c>
      <c r="E953" t="str">
        <f>"IN0859965"</f>
        <v>IN0859965</v>
      </c>
      <c r="F953" t="str">
        <f>"INV IN0859965"</f>
        <v>INV IN0859965</v>
      </c>
      <c r="G953" s="4">
        <v>7062.65</v>
      </c>
      <c r="H953" t="str">
        <f>"INV IN0859965"</f>
        <v>INV IN0859965</v>
      </c>
    </row>
    <row r="954" spans="1:8" x14ac:dyDescent="0.25">
      <c r="A954" t="s">
        <v>280</v>
      </c>
      <c r="B954">
        <v>4634</v>
      </c>
      <c r="C954" s="4">
        <v>4796.96</v>
      </c>
      <c r="D954" s="1">
        <v>44376</v>
      </c>
      <c r="E954" t="str">
        <f>"INV0860072"</f>
        <v>INV0860072</v>
      </c>
      <c r="F954" t="str">
        <f>"INV IN0860072"</f>
        <v>INV IN0860072</v>
      </c>
      <c r="G954" s="4">
        <v>4796.96</v>
      </c>
      <c r="H954" t="str">
        <f>"INV IN0860072"</f>
        <v>INV IN0860072</v>
      </c>
    </row>
    <row r="955" spans="1:8" x14ac:dyDescent="0.25">
      <c r="A955" t="s">
        <v>281</v>
      </c>
      <c r="B955">
        <v>1109</v>
      </c>
      <c r="C955" s="4">
        <v>0</v>
      </c>
      <c r="D955" s="1">
        <v>44362</v>
      </c>
      <c r="E955" t="str">
        <f>"202106153958"</f>
        <v>202106153958</v>
      </c>
      <c r="F955" t="str">
        <f>"ACCT# 72-56313 / 06032021"</f>
        <v>ACCT# 72-56313 / 06032021</v>
      </c>
      <c r="G955" s="4">
        <v>-3020</v>
      </c>
      <c r="H955" t="str">
        <f>"ACCT# 72-56313 / 06032021"</f>
        <v>ACCT# 72-56313 / 06032021</v>
      </c>
    </row>
    <row r="956" spans="1:8" x14ac:dyDescent="0.25">
      <c r="E956" t="str">
        <f>"202106143926"</f>
        <v>202106143926</v>
      </c>
      <c r="F956" t="str">
        <f>"ACCT #72-56313 / 06/03/2021"</f>
        <v>ACCT #72-56313 / 06/03/2021</v>
      </c>
      <c r="G956" s="4">
        <v>3020</v>
      </c>
      <c r="H956" t="str">
        <f>"ACCT #72-56313 / 06/03/2021"</f>
        <v>ACCT #72-56313 / 06/03/2021</v>
      </c>
    </row>
    <row r="957" spans="1:8" x14ac:dyDescent="0.25">
      <c r="A957" t="s">
        <v>282</v>
      </c>
      <c r="B957">
        <v>136060</v>
      </c>
      <c r="C957" s="4">
        <v>487.1</v>
      </c>
      <c r="D957" s="1">
        <v>44375</v>
      </c>
      <c r="E957" t="str">
        <f>"404903S"</f>
        <v>404903S</v>
      </c>
      <c r="F957" t="str">
        <f>"CUST#38859/PCT#1"</f>
        <v>CUST#38859/PCT#1</v>
      </c>
      <c r="G957" s="4">
        <v>243.55</v>
      </c>
      <c r="H957" t="str">
        <f>"CUST#38859/PCT#1"</f>
        <v>CUST#38859/PCT#1</v>
      </c>
    </row>
    <row r="958" spans="1:8" x14ac:dyDescent="0.25">
      <c r="E958" t="str">
        <f>"404903S-1"</f>
        <v>404903S-1</v>
      </c>
      <c r="F958" t="str">
        <f>"CUST#38859/PCT#2"</f>
        <v>CUST#38859/PCT#2</v>
      </c>
      <c r="G958" s="4">
        <v>243.55</v>
      </c>
      <c r="H958" t="str">
        <f>"CUST#38859/PCT#2"</f>
        <v>CUST#38859/PCT#2</v>
      </c>
    </row>
    <row r="959" spans="1:8" x14ac:dyDescent="0.25">
      <c r="A959" t="s">
        <v>283</v>
      </c>
      <c r="B959">
        <v>4620</v>
      </c>
      <c r="C959" s="4">
        <v>53.61</v>
      </c>
      <c r="D959" s="1">
        <v>44362</v>
      </c>
      <c r="E959" t="str">
        <f>"202106073750"</f>
        <v>202106073750</v>
      </c>
      <c r="F959" t="str">
        <f>"CUST#99088/PCT#4"</f>
        <v>CUST#99088/PCT#4</v>
      </c>
      <c r="G959" s="4">
        <v>53.61</v>
      </c>
      <c r="H959" t="str">
        <f>"CUST#99088/PCT#4"</f>
        <v>CUST#99088/PCT#4</v>
      </c>
    </row>
    <row r="960" spans="1:8" x14ac:dyDescent="0.25">
      <c r="A960" t="s">
        <v>283</v>
      </c>
      <c r="B960">
        <v>4691</v>
      </c>
      <c r="C960" s="4">
        <v>6.77</v>
      </c>
      <c r="D960" s="1">
        <v>44376</v>
      </c>
      <c r="E960" t="str">
        <f>"0581-298166"</f>
        <v>0581-298166</v>
      </c>
      <c r="F960" t="str">
        <f>"INV 0581-298166"</f>
        <v>INV 0581-298166</v>
      </c>
      <c r="G960" s="4">
        <v>6.77</v>
      </c>
      <c r="H960" t="str">
        <f>"INV 0581-298166"</f>
        <v>INV 0581-298166</v>
      </c>
    </row>
    <row r="961" spans="1:8" x14ac:dyDescent="0.25">
      <c r="A961" t="s">
        <v>284</v>
      </c>
      <c r="B961">
        <v>135895</v>
      </c>
      <c r="C961" s="4">
        <v>8919.82</v>
      </c>
      <c r="D961" s="1">
        <v>44361</v>
      </c>
      <c r="E961" t="str">
        <f>"18366875"</f>
        <v>18366875</v>
      </c>
      <c r="F961" t="str">
        <f>"Statement"</f>
        <v>Statement</v>
      </c>
      <c r="G961" s="4">
        <v>2458.7800000000002</v>
      </c>
      <c r="H961" t="str">
        <f>"171362140001"</f>
        <v>171362140001</v>
      </c>
    </row>
    <row r="962" spans="1:8" x14ac:dyDescent="0.25">
      <c r="E962" t="str">
        <f>""</f>
        <v/>
      </c>
      <c r="F962" t="str">
        <f>""</f>
        <v/>
      </c>
      <c r="H962" t="str">
        <f>"171843469001"</f>
        <v>171843469001</v>
      </c>
    </row>
    <row r="963" spans="1:8" x14ac:dyDescent="0.25">
      <c r="E963" t="str">
        <f>""</f>
        <v/>
      </c>
      <c r="F963" t="str">
        <f>""</f>
        <v/>
      </c>
      <c r="H963" t="str">
        <f>"173724201001"</f>
        <v>173724201001</v>
      </c>
    </row>
    <row r="964" spans="1:8" x14ac:dyDescent="0.25">
      <c r="E964" t="str">
        <f>""</f>
        <v/>
      </c>
      <c r="F964" t="str">
        <f>""</f>
        <v/>
      </c>
      <c r="H964" t="str">
        <f>"173725670001"</f>
        <v>173725670001</v>
      </c>
    </row>
    <row r="965" spans="1:8" x14ac:dyDescent="0.25">
      <c r="E965" t="str">
        <f>""</f>
        <v/>
      </c>
      <c r="F965" t="str">
        <f>""</f>
        <v/>
      </c>
      <c r="H965" t="str">
        <f>"173725671001"</f>
        <v>173725671001</v>
      </c>
    </row>
    <row r="966" spans="1:8" x14ac:dyDescent="0.25">
      <c r="E966" t="str">
        <f>""</f>
        <v/>
      </c>
      <c r="F966" t="str">
        <f>""</f>
        <v/>
      </c>
      <c r="H966" t="str">
        <f>"171493675001"</f>
        <v>171493675001</v>
      </c>
    </row>
    <row r="967" spans="1:8" x14ac:dyDescent="0.25">
      <c r="E967" t="str">
        <f>""</f>
        <v/>
      </c>
      <c r="F967" t="str">
        <f>""</f>
        <v/>
      </c>
      <c r="H967" t="str">
        <f>"171512583001"</f>
        <v>171512583001</v>
      </c>
    </row>
    <row r="968" spans="1:8" x14ac:dyDescent="0.25">
      <c r="E968" t="str">
        <f>""</f>
        <v/>
      </c>
      <c r="F968" t="str">
        <f>""</f>
        <v/>
      </c>
      <c r="H968" t="str">
        <f>"171521760001"</f>
        <v>171521760001</v>
      </c>
    </row>
    <row r="969" spans="1:8" x14ac:dyDescent="0.25">
      <c r="E969" t="str">
        <f>""</f>
        <v/>
      </c>
      <c r="F969" t="str">
        <f>""</f>
        <v/>
      </c>
      <c r="H969" t="str">
        <f>"171522330001"</f>
        <v>171522330001</v>
      </c>
    </row>
    <row r="970" spans="1:8" x14ac:dyDescent="0.25">
      <c r="E970" t="str">
        <f>""</f>
        <v/>
      </c>
      <c r="F970" t="str">
        <f>""</f>
        <v/>
      </c>
      <c r="H970" t="str">
        <f>"171522335001"</f>
        <v>171522335001</v>
      </c>
    </row>
    <row r="971" spans="1:8" x14ac:dyDescent="0.25">
      <c r="E971" t="str">
        <f>""</f>
        <v/>
      </c>
      <c r="F971" t="str">
        <f>""</f>
        <v/>
      </c>
      <c r="H971" t="str">
        <f>"171522344001"</f>
        <v>171522344001</v>
      </c>
    </row>
    <row r="972" spans="1:8" x14ac:dyDescent="0.25">
      <c r="E972" t="str">
        <f>""</f>
        <v/>
      </c>
      <c r="F972" t="str">
        <f>""</f>
        <v/>
      </c>
      <c r="H972" t="str">
        <f>"171522345001"</f>
        <v>171522345001</v>
      </c>
    </row>
    <row r="973" spans="1:8" x14ac:dyDescent="0.25">
      <c r="E973" t="str">
        <f>""</f>
        <v/>
      </c>
      <c r="F973" t="str">
        <f>""</f>
        <v/>
      </c>
      <c r="H973" t="str">
        <f>"167030993002"</f>
        <v>167030993002</v>
      </c>
    </row>
    <row r="974" spans="1:8" x14ac:dyDescent="0.25">
      <c r="E974" t="str">
        <f>""</f>
        <v/>
      </c>
      <c r="F974" t="str">
        <f>""</f>
        <v/>
      </c>
      <c r="H974" t="str">
        <f>"169742913001"</f>
        <v>169742913001</v>
      </c>
    </row>
    <row r="975" spans="1:8" x14ac:dyDescent="0.25">
      <c r="E975" t="str">
        <f>""</f>
        <v/>
      </c>
      <c r="F975" t="str">
        <f>""</f>
        <v/>
      </c>
      <c r="H975" t="str">
        <f>"169252955003"</f>
        <v>169252955003</v>
      </c>
    </row>
    <row r="976" spans="1:8" x14ac:dyDescent="0.25">
      <c r="E976" t="str">
        <f>""</f>
        <v/>
      </c>
      <c r="F976" t="str">
        <f>""</f>
        <v/>
      </c>
      <c r="H976" t="str">
        <f>"173765189001"</f>
        <v>173765189001</v>
      </c>
    </row>
    <row r="977" spans="5:8" x14ac:dyDescent="0.25">
      <c r="E977" t="str">
        <f>""</f>
        <v/>
      </c>
      <c r="F977" t="str">
        <f>""</f>
        <v/>
      </c>
      <c r="H977" t="str">
        <f>"170414078001"</f>
        <v>170414078001</v>
      </c>
    </row>
    <row r="978" spans="5:8" x14ac:dyDescent="0.25">
      <c r="E978" t="str">
        <f>""</f>
        <v/>
      </c>
      <c r="F978" t="str">
        <f>""</f>
        <v/>
      </c>
      <c r="H978" t="str">
        <f>"170618902001"</f>
        <v>170618902001</v>
      </c>
    </row>
    <row r="979" spans="5:8" x14ac:dyDescent="0.25">
      <c r="E979" t="str">
        <f>""</f>
        <v/>
      </c>
      <c r="F979" t="str">
        <f>""</f>
        <v/>
      </c>
      <c r="H979" t="str">
        <f>"170618905001"</f>
        <v>170618905001</v>
      </c>
    </row>
    <row r="980" spans="5:8" x14ac:dyDescent="0.25">
      <c r="E980" t="str">
        <f>""</f>
        <v/>
      </c>
      <c r="F980" t="str">
        <f>""</f>
        <v/>
      </c>
      <c r="H980" t="str">
        <f>"173527172001"</f>
        <v>173527172001</v>
      </c>
    </row>
    <row r="981" spans="5:8" x14ac:dyDescent="0.25">
      <c r="E981" t="str">
        <f>""</f>
        <v/>
      </c>
      <c r="F981" t="str">
        <f>""</f>
        <v/>
      </c>
      <c r="H981" t="str">
        <f>"173532262001"</f>
        <v>173532262001</v>
      </c>
    </row>
    <row r="982" spans="5:8" x14ac:dyDescent="0.25">
      <c r="E982" t="str">
        <f>""</f>
        <v/>
      </c>
      <c r="F982" t="str">
        <f>""</f>
        <v/>
      </c>
      <c r="H982" t="str">
        <f>"173532263001"</f>
        <v>173532263001</v>
      </c>
    </row>
    <row r="983" spans="5:8" x14ac:dyDescent="0.25">
      <c r="E983" t="str">
        <f>""</f>
        <v/>
      </c>
      <c r="F983" t="str">
        <f>""</f>
        <v/>
      </c>
      <c r="H983" t="str">
        <f>"173532264001"</f>
        <v>173532264001</v>
      </c>
    </row>
    <row r="984" spans="5:8" x14ac:dyDescent="0.25">
      <c r="E984" t="str">
        <f>"18548793"</f>
        <v>18548793</v>
      </c>
      <c r="F984" t="str">
        <f>"Statement"</f>
        <v>Statement</v>
      </c>
      <c r="G984" s="4">
        <v>6461.04</v>
      </c>
      <c r="H984" t="str">
        <f>"175947219001"</f>
        <v>175947219001</v>
      </c>
    </row>
    <row r="985" spans="5:8" x14ac:dyDescent="0.25">
      <c r="E985" t="str">
        <f>""</f>
        <v/>
      </c>
      <c r="F985" t="str">
        <f>""</f>
        <v/>
      </c>
      <c r="H985" t="str">
        <f>"175949593001"</f>
        <v>175949593001</v>
      </c>
    </row>
    <row r="986" spans="5:8" x14ac:dyDescent="0.25">
      <c r="E986" t="str">
        <f>""</f>
        <v/>
      </c>
      <c r="F986" t="str">
        <f>""</f>
        <v/>
      </c>
      <c r="H986" t="str">
        <f>"173268071001"</f>
        <v>173268071001</v>
      </c>
    </row>
    <row r="987" spans="5:8" x14ac:dyDescent="0.25">
      <c r="E987" t="str">
        <f>""</f>
        <v/>
      </c>
      <c r="F987" t="str">
        <f>""</f>
        <v/>
      </c>
      <c r="H987" t="str">
        <f>"171522336001"</f>
        <v>171522336001</v>
      </c>
    </row>
    <row r="988" spans="5:8" x14ac:dyDescent="0.25">
      <c r="E988" t="str">
        <f>""</f>
        <v/>
      </c>
      <c r="F988" t="str">
        <f>""</f>
        <v/>
      </c>
      <c r="H988" t="str">
        <f>"173880386001"</f>
        <v>173880386001</v>
      </c>
    </row>
    <row r="989" spans="5:8" x14ac:dyDescent="0.25">
      <c r="E989" t="str">
        <f>""</f>
        <v/>
      </c>
      <c r="F989" t="str">
        <f>""</f>
        <v/>
      </c>
      <c r="H989" t="str">
        <f>"174197441001"</f>
        <v>174197441001</v>
      </c>
    </row>
    <row r="990" spans="5:8" x14ac:dyDescent="0.25">
      <c r="E990" t="str">
        <f>""</f>
        <v/>
      </c>
      <c r="F990" t="str">
        <f>""</f>
        <v/>
      </c>
      <c r="H990" t="str">
        <f>"174233138001"</f>
        <v>174233138001</v>
      </c>
    </row>
    <row r="991" spans="5:8" x14ac:dyDescent="0.25">
      <c r="E991" t="str">
        <f>""</f>
        <v/>
      </c>
      <c r="F991" t="str">
        <f>""</f>
        <v/>
      </c>
      <c r="H991" t="str">
        <f>"174233161001"</f>
        <v>174233161001</v>
      </c>
    </row>
    <row r="992" spans="5:8" x14ac:dyDescent="0.25">
      <c r="E992" t="str">
        <f>""</f>
        <v/>
      </c>
      <c r="F992" t="str">
        <f>""</f>
        <v/>
      </c>
      <c r="H992" t="str">
        <f>"175272102001"</f>
        <v>175272102001</v>
      </c>
    </row>
    <row r="993" spans="1:8" x14ac:dyDescent="0.25">
      <c r="E993" t="str">
        <f>""</f>
        <v/>
      </c>
      <c r="F993" t="str">
        <f>""</f>
        <v/>
      </c>
      <c r="H993" t="str">
        <f>"175274785001"</f>
        <v>175274785001</v>
      </c>
    </row>
    <row r="994" spans="1:8" x14ac:dyDescent="0.25">
      <c r="E994" t="str">
        <f>""</f>
        <v/>
      </c>
      <c r="F994" t="str">
        <f>""</f>
        <v/>
      </c>
      <c r="H994" t="str">
        <f>"175274787001"</f>
        <v>175274787001</v>
      </c>
    </row>
    <row r="995" spans="1:8" x14ac:dyDescent="0.25">
      <c r="E995" t="str">
        <f>""</f>
        <v/>
      </c>
      <c r="F995" t="str">
        <f>""</f>
        <v/>
      </c>
      <c r="H995" t="str">
        <f>"175248114001"</f>
        <v>175248114001</v>
      </c>
    </row>
    <row r="996" spans="1:8" x14ac:dyDescent="0.25">
      <c r="E996" t="str">
        <f>""</f>
        <v/>
      </c>
      <c r="F996" t="str">
        <f>""</f>
        <v/>
      </c>
      <c r="H996" t="str">
        <f>"175249957001"</f>
        <v>175249957001</v>
      </c>
    </row>
    <row r="997" spans="1:8" x14ac:dyDescent="0.25">
      <c r="E997" t="str">
        <f>""</f>
        <v/>
      </c>
      <c r="F997" t="str">
        <f>""</f>
        <v/>
      </c>
      <c r="H997" t="str">
        <f>"175685456001"</f>
        <v>175685456001</v>
      </c>
    </row>
    <row r="998" spans="1:8" x14ac:dyDescent="0.25">
      <c r="E998" t="str">
        <f>""</f>
        <v/>
      </c>
      <c r="F998" t="str">
        <f>""</f>
        <v/>
      </c>
      <c r="H998" t="str">
        <f>"175697357001"</f>
        <v>175697357001</v>
      </c>
    </row>
    <row r="999" spans="1:8" x14ac:dyDescent="0.25">
      <c r="E999" t="str">
        <f>""</f>
        <v/>
      </c>
      <c r="F999" t="str">
        <f>""</f>
        <v/>
      </c>
      <c r="H999" t="str">
        <f>"171442856001"</f>
        <v>171442856001</v>
      </c>
    </row>
    <row r="1000" spans="1:8" x14ac:dyDescent="0.25">
      <c r="E1000" t="str">
        <f>""</f>
        <v/>
      </c>
      <c r="F1000" t="str">
        <f>""</f>
        <v/>
      </c>
      <c r="H1000" t="str">
        <f>"172984576001"</f>
        <v>172984576001</v>
      </c>
    </row>
    <row r="1001" spans="1:8" x14ac:dyDescent="0.25">
      <c r="E1001" t="str">
        <f>""</f>
        <v/>
      </c>
      <c r="F1001" t="str">
        <f>""</f>
        <v/>
      </c>
      <c r="H1001" t="str">
        <f>"173020058001"</f>
        <v>173020058001</v>
      </c>
    </row>
    <row r="1002" spans="1:8" x14ac:dyDescent="0.25">
      <c r="E1002" t="str">
        <f>""</f>
        <v/>
      </c>
      <c r="F1002" t="str">
        <f>""</f>
        <v/>
      </c>
      <c r="H1002" t="str">
        <f>"173020059001"</f>
        <v>173020059001</v>
      </c>
    </row>
    <row r="1003" spans="1:8" x14ac:dyDescent="0.25">
      <c r="A1003" t="s">
        <v>284</v>
      </c>
      <c r="B1003">
        <v>136061</v>
      </c>
      <c r="C1003" s="4">
        <v>1437.32</v>
      </c>
      <c r="D1003" s="1">
        <v>44375</v>
      </c>
      <c r="E1003" t="str">
        <f>"18686802"</f>
        <v>18686802</v>
      </c>
      <c r="F1003" t="str">
        <f>"Statement"</f>
        <v>Statement</v>
      </c>
      <c r="G1003" s="4">
        <v>1116.8499999999999</v>
      </c>
      <c r="H1003" t="str">
        <f>"172549348001"</f>
        <v>172549348001</v>
      </c>
    </row>
    <row r="1004" spans="1:8" x14ac:dyDescent="0.25">
      <c r="E1004" t="str">
        <f>""</f>
        <v/>
      </c>
      <c r="F1004" t="str">
        <f>""</f>
        <v/>
      </c>
      <c r="H1004" t="str">
        <f>"172549348002"</f>
        <v>172549348002</v>
      </c>
    </row>
    <row r="1005" spans="1:8" x14ac:dyDescent="0.25">
      <c r="E1005" t="str">
        <f>""</f>
        <v/>
      </c>
      <c r="F1005" t="str">
        <f>""</f>
        <v/>
      </c>
      <c r="H1005" t="str">
        <f>"173017418001"</f>
        <v>173017418001</v>
      </c>
    </row>
    <row r="1006" spans="1:8" x14ac:dyDescent="0.25">
      <c r="E1006" t="str">
        <f>""</f>
        <v/>
      </c>
      <c r="F1006" t="str">
        <f>""</f>
        <v/>
      </c>
      <c r="H1006" t="str">
        <f>"173017469001"</f>
        <v>173017469001</v>
      </c>
    </row>
    <row r="1007" spans="1:8" x14ac:dyDescent="0.25">
      <c r="E1007" t="str">
        <f>""</f>
        <v/>
      </c>
      <c r="F1007" t="str">
        <f>""</f>
        <v/>
      </c>
      <c r="H1007" t="str">
        <f>"173017482001"</f>
        <v>173017482001</v>
      </c>
    </row>
    <row r="1008" spans="1:8" x14ac:dyDescent="0.25">
      <c r="E1008" t="str">
        <f>""</f>
        <v/>
      </c>
      <c r="F1008" t="str">
        <f>""</f>
        <v/>
      </c>
      <c r="H1008" t="str">
        <f>"179456416001"</f>
        <v>179456416001</v>
      </c>
    </row>
    <row r="1009" spans="1:8" x14ac:dyDescent="0.25">
      <c r="E1009" t="str">
        <f>""</f>
        <v/>
      </c>
      <c r="F1009" t="str">
        <f>""</f>
        <v/>
      </c>
      <c r="H1009" t="str">
        <f>"179463039001"</f>
        <v>179463039001</v>
      </c>
    </row>
    <row r="1010" spans="1:8" x14ac:dyDescent="0.25">
      <c r="E1010" t="str">
        <f>""</f>
        <v/>
      </c>
      <c r="F1010" t="str">
        <f>""</f>
        <v/>
      </c>
      <c r="H1010" t="str">
        <f>"178888601001"</f>
        <v>178888601001</v>
      </c>
    </row>
    <row r="1011" spans="1:8" x14ac:dyDescent="0.25">
      <c r="E1011" t="str">
        <f>""</f>
        <v/>
      </c>
      <c r="F1011" t="str">
        <f>""</f>
        <v/>
      </c>
      <c r="H1011" t="str">
        <f>"178890962001"</f>
        <v>178890962001</v>
      </c>
    </row>
    <row r="1012" spans="1:8" x14ac:dyDescent="0.25">
      <c r="E1012" t="str">
        <f>""</f>
        <v/>
      </c>
      <c r="F1012" t="str">
        <f>""</f>
        <v/>
      </c>
      <c r="H1012" t="str">
        <f>"173826900001"</f>
        <v>173826900001</v>
      </c>
    </row>
    <row r="1013" spans="1:8" x14ac:dyDescent="0.25">
      <c r="E1013" t="str">
        <f>""</f>
        <v/>
      </c>
      <c r="F1013" t="str">
        <f>""</f>
        <v/>
      </c>
      <c r="H1013" t="str">
        <f>"174197441002"</f>
        <v>174197441002</v>
      </c>
    </row>
    <row r="1014" spans="1:8" x14ac:dyDescent="0.25">
      <c r="E1014" t="str">
        <f>""</f>
        <v/>
      </c>
      <c r="F1014" t="str">
        <f>""</f>
        <v/>
      </c>
      <c r="H1014" t="str">
        <f>"174197441003"</f>
        <v>174197441003</v>
      </c>
    </row>
    <row r="1015" spans="1:8" x14ac:dyDescent="0.25">
      <c r="E1015" t="str">
        <f>""</f>
        <v/>
      </c>
      <c r="F1015" t="str">
        <f>""</f>
        <v/>
      </c>
      <c r="H1015" t="str">
        <f>"177286251001"</f>
        <v>177286251001</v>
      </c>
    </row>
    <row r="1016" spans="1:8" x14ac:dyDescent="0.25">
      <c r="E1016" t="str">
        <f>""</f>
        <v/>
      </c>
      <c r="F1016" t="str">
        <f>""</f>
        <v/>
      </c>
      <c r="H1016" t="str">
        <f>"178776035001"</f>
        <v>178776035001</v>
      </c>
    </row>
    <row r="1017" spans="1:8" x14ac:dyDescent="0.25">
      <c r="E1017" t="str">
        <f>""</f>
        <v/>
      </c>
      <c r="F1017" t="str">
        <f>""</f>
        <v/>
      </c>
      <c r="H1017" t="str">
        <f>"179742873001"</f>
        <v>179742873001</v>
      </c>
    </row>
    <row r="1018" spans="1:8" x14ac:dyDescent="0.25">
      <c r="E1018" t="str">
        <f>""</f>
        <v/>
      </c>
      <c r="F1018" t="str">
        <f>""</f>
        <v/>
      </c>
      <c r="H1018" t="str">
        <f>"179748466001"</f>
        <v>179748466001</v>
      </c>
    </row>
    <row r="1019" spans="1:8" x14ac:dyDescent="0.25">
      <c r="E1019" t="str">
        <f>""</f>
        <v/>
      </c>
      <c r="F1019" t="str">
        <f>""</f>
        <v/>
      </c>
      <c r="H1019" t="str">
        <f>"176615300001"</f>
        <v>176615300001</v>
      </c>
    </row>
    <row r="1020" spans="1:8" x14ac:dyDescent="0.25">
      <c r="E1020" t="str">
        <f>"202106224144"</f>
        <v>202106224144</v>
      </c>
      <c r="F1020" t="str">
        <f>"OFFICE DEPOT"</f>
        <v>OFFICE DEPOT</v>
      </c>
      <c r="G1020" s="4">
        <v>320.47000000000003</v>
      </c>
      <c r="H1020" t="str">
        <f>"Office Chair"</f>
        <v>Office Chair</v>
      </c>
    </row>
    <row r="1021" spans="1:8" x14ac:dyDescent="0.25">
      <c r="E1021" t="str">
        <f>""</f>
        <v/>
      </c>
      <c r="F1021" t="str">
        <f>""</f>
        <v/>
      </c>
      <c r="H1021" t="str">
        <f>"Freight"</f>
        <v>Freight</v>
      </c>
    </row>
    <row r="1022" spans="1:8" x14ac:dyDescent="0.25">
      <c r="A1022" t="s">
        <v>285</v>
      </c>
      <c r="B1022">
        <v>4616</v>
      </c>
      <c r="C1022" s="4">
        <v>1944</v>
      </c>
      <c r="D1022" s="1">
        <v>44362</v>
      </c>
      <c r="E1022" t="str">
        <f>"442788"</f>
        <v>442788</v>
      </c>
      <c r="F1022" t="str">
        <f>"Report"</f>
        <v>Report</v>
      </c>
      <c r="G1022" s="4">
        <v>1944</v>
      </c>
      <c r="H1022" t="str">
        <f>"inv #442788"</f>
        <v>inv #442788</v>
      </c>
    </row>
    <row r="1023" spans="1:8" x14ac:dyDescent="0.25">
      <c r="A1023" t="s">
        <v>286</v>
      </c>
      <c r="B1023">
        <v>135896</v>
      </c>
      <c r="C1023" s="4">
        <v>1500</v>
      </c>
      <c r="D1023" s="1">
        <v>44361</v>
      </c>
      <c r="E1023" t="str">
        <f>"210514-BECK"</f>
        <v>210514-BECK</v>
      </c>
      <c r="F1023" t="str">
        <f>"RIGHT OF WAY SURVEY/PCT#2"</f>
        <v>RIGHT OF WAY SURVEY/PCT#2</v>
      </c>
      <c r="G1023" s="4">
        <v>1500</v>
      </c>
      <c r="H1023" t="str">
        <f>"RIGHT OF WAY SURVEY/PCT#2"</f>
        <v>RIGHT OF WAY SURVEY/PCT#2</v>
      </c>
    </row>
    <row r="1024" spans="1:8" x14ac:dyDescent="0.25">
      <c r="A1024" t="s">
        <v>287</v>
      </c>
      <c r="B1024">
        <v>136062</v>
      </c>
      <c r="C1024" s="4">
        <v>48</v>
      </c>
      <c r="D1024" s="1">
        <v>44375</v>
      </c>
      <c r="E1024" t="str">
        <f>"202106244174"</f>
        <v>202106244174</v>
      </c>
      <c r="F1024" t="str">
        <f>"1ST QRT ACTIVITY 2021"</f>
        <v>1ST QRT ACTIVITY 2021</v>
      </c>
      <c r="G1024" s="4">
        <v>48</v>
      </c>
      <c r="H1024" t="str">
        <f>"1ST QRT ACTIVITY 2021"</f>
        <v>1ST QRT ACTIVITY 2021</v>
      </c>
    </row>
    <row r="1025" spans="1:8" x14ac:dyDescent="0.25">
      <c r="A1025" t="s">
        <v>288</v>
      </c>
      <c r="B1025">
        <v>135897</v>
      </c>
      <c r="C1025" s="4">
        <v>78.39</v>
      </c>
      <c r="D1025" s="1">
        <v>44361</v>
      </c>
      <c r="E1025" t="str">
        <f>"202106093860"</f>
        <v>202106093860</v>
      </c>
      <c r="F1025" t="str">
        <f>"JAIL MEDICAL"</f>
        <v>JAIL MEDICAL</v>
      </c>
      <c r="G1025" s="4">
        <v>78.39</v>
      </c>
      <c r="H1025" t="str">
        <f>"JAIL MEDICAL"</f>
        <v>JAIL MEDICAL</v>
      </c>
    </row>
    <row r="1026" spans="1:8" x14ac:dyDescent="0.25">
      <c r="A1026" t="s">
        <v>289</v>
      </c>
      <c r="B1026">
        <v>4682</v>
      </c>
      <c r="C1026" s="4">
        <v>440</v>
      </c>
      <c r="D1026" s="1">
        <v>44376</v>
      </c>
      <c r="E1026" t="str">
        <f>"3175"</f>
        <v>3175</v>
      </c>
      <c r="F1026" t="str">
        <f>"REPLACE COPPER TUBE/GENERAL S."</f>
        <v>REPLACE COPPER TUBE/GENERAL S.</v>
      </c>
      <c r="G1026" s="4">
        <v>440</v>
      </c>
      <c r="H1026" t="str">
        <f>"REPLACE COPPER TUBE/GENERAL S."</f>
        <v>REPLACE COPPER TUBE/GENERAL S.</v>
      </c>
    </row>
    <row r="1027" spans="1:8" x14ac:dyDescent="0.25">
      <c r="A1027" t="s">
        <v>290</v>
      </c>
      <c r="B1027">
        <v>135898</v>
      </c>
      <c r="C1027" s="4">
        <v>120</v>
      </c>
      <c r="D1027" s="1">
        <v>44361</v>
      </c>
      <c r="E1027" t="str">
        <f>"70157"</f>
        <v>70157</v>
      </c>
      <c r="F1027" t="str">
        <f>"4  X 4   delineators"</f>
        <v>4  X 4   delineators</v>
      </c>
      <c r="G1027" s="4">
        <v>120</v>
      </c>
      <c r="H1027" t="str">
        <f>"4  X 4  delineators"</f>
        <v>4  X 4  delineators</v>
      </c>
    </row>
    <row r="1028" spans="1:8" x14ac:dyDescent="0.25">
      <c r="A1028" t="s">
        <v>291</v>
      </c>
      <c r="B1028">
        <v>135899</v>
      </c>
      <c r="C1028" s="4">
        <v>12884</v>
      </c>
      <c r="D1028" s="1">
        <v>44361</v>
      </c>
      <c r="E1028" t="str">
        <f>"59114"</f>
        <v>59114</v>
      </c>
      <c r="F1028" t="str">
        <f>"AGREEMENT#200925-210925"</f>
        <v>AGREEMENT#200925-210925</v>
      </c>
      <c r="G1028" s="4">
        <v>12884</v>
      </c>
      <c r="H1028" t="str">
        <f>"AGREEMENT#200925-210925"</f>
        <v>AGREEMENT#200925-210925</v>
      </c>
    </row>
    <row r="1029" spans="1:8" x14ac:dyDescent="0.25">
      <c r="A1029" t="s">
        <v>292</v>
      </c>
      <c r="B1029">
        <v>135900</v>
      </c>
      <c r="C1029" s="4">
        <v>4074</v>
      </c>
      <c r="D1029" s="1">
        <v>44361</v>
      </c>
      <c r="E1029" t="str">
        <f>"11615"</f>
        <v>11615</v>
      </c>
      <c r="F1029" t="str">
        <f>"PAIGE TRACTORS INC"</f>
        <v>PAIGE TRACTORS INC</v>
      </c>
      <c r="G1029" s="4">
        <v>4074</v>
      </c>
      <c r="H1029" t="str">
        <f>"Kearney Trailer"</f>
        <v>Kearney Trailer</v>
      </c>
    </row>
    <row r="1030" spans="1:8" x14ac:dyDescent="0.25">
      <c r="A1030" t="s">
        <v>293</v>
      </c>
      <c r="B1030">
        <v>4591</v>
      </c>
      <c r="C1030" s="4">
        <v>145</v>
      </c>
      <c r="D1030" s="1">
        <v>44362</v>
      </c>
      <c r="E1030" t="str">
        <f>"0000057963"</f>
        <v>0000057963</v>
      </c>
      <c r="F1030" t="str">
        <f>"INV 0000057963"</f>
        <v>INV 0000057963</v>
      </c>
      <c r="G1030" s="4">
        <v>145</v>
      </c>
      <c r="H1030" t="str">
        <f>"INV 0000057963"</f>
        <v>INV 0000057963</v>
      </c>
    </row>
    <row r="1031" spans="1:8" x14ac:dyDescent="0.25">
      <c r="A1031" t="s">
        <v>294</v>
      </c>
      <c r="B1031">
        <v>135901</v>
      </c>
      <c r="C1031" s="4">
        <v>166.86</v>
      </c>
      <c r="D1031" s="1">
        <v>44361</v>
      </c>
      <c r="E1031" t="str">
        <f>"202106073749"</f>
        <v>202106073749</v>
      </c>
      <c r="F1031" t="str">
        <f>"CUST#PK001137/PCT#4"</f>
        <v>CUST#PK001137/PCT#4</v>
      </c>
      <c r="G1031" s="4">
        <v>166.86</v>
      </c>
      <c r="H1031" t="str">
        <f>"CUST#PK001137/PCT#4"</f>
        <v>CUST#PK001137/PCT#4</v>
      </c>
    </row>
    <row r="1032" spans="1:8" x14ac:dyDescent="0.25">
      <c r="A1032" t="s">
        <v>295</v>
      </c>
      <c r="B1032">
        <v>4565</v>
      </c>
      <c r="C1032" s="4">
        <v>1660.5</v>
      </c>
      <c r="D1032" s="1">
        <v>44362</v>
      </c>
      <c r="E1032" t="str">
        <f>"2008470"</f>
        <v>2008470</v>
      </c>
      <c r="F1032" t="str">
        <f>"BA-CNTY-01"</f>
        <v>BA-CNTY-01</v>
      </c>
      <c r="G1032" s="4">
        <v>691.6</v>
      </c>
      <c r="H1032" t="str">
        <f>"BA-CNTY-01"</f>
        <v>BA-CNTY-01</v>
      </c>
    </row>
    <row r="1033" spans="1:8" x14ac:dyDescent="0.25">
      <c r="E1033" t="str">
        <f>"2008473"</f>
        <v>2008473</v>
      </c>
      <c r="F1033" t="str">
        <f>"BA-CNTY-01"</f>
        <v>BA-CNTY-01</v>
      </c>
      <c r="G1033" s="4">
        <v>968.9</v>
      </c>
      <c r="H1033" t="str">
        <f>"BA-CNTY-01"</f>
        <v>BA-CNTY-01</v>
      </c>
    </row>
    <row r="1034" spans="1:8" x14ac:dyDescent="0.25">
      <c r="A1034" t="s">
        <v>296</v>
      </c>
      <c r="B1034">
        <v>4555</v>
      </c>
      <c r="C1034" s="4">
        <v>295</v>
      </c>
      <c r="D1034" s="1">
        <v>44362</v>
      </c>
      <c r="E1034" t="str">
        <f>"PWS576"</f>
        <v>PWS576</v>
      </c>
      <c r="F1034" t="str">
        <f>"INV PWS576"</f>
        <v>INV PWS576</v>
      </c>
      <c r="G1034" s="4">
        <v>295</v>
      </c>
      <c r="H1034" t="str">
        <f>"INV PWS576"</f>
        <v>INV PWS576</v>
      </c>
    </row>
    <row r="1035" spans="1:8" x14ac:dyDescent="0.25">
      <c r="A1035" t="s">
        <v>296</v>
      </c>
      <c r="B1035">
        <v>4638</v>
      </c>
      <c r="C1035" s="4">
        <v>295</v>
      </c>
      <c r="D1035" s="1">
        <v>44376</v>
      </c>
      <c r="E1035" t="str">
        <f>"6486"</f>
        <v>6486</v>
      </c>
      <c r="F1035" t="str">
        <f>"INV  UNIT#6486"</f>
        <v>INV  UNIT#6486</v>
      </c>
      <c r="G1035" s="4">
        <v>295</v>
      </c>
      <c r="H1035" t="str">
        <f>"INV  UNIT#6486"</f>
        <v>INV  UNIT#6486</v>
      </c>
    </row>
    <row r="1036" spans="1:8" x14ac:dyDescent="0.25">
      <c r="A1036" t="s">
        <v>297</v>
      </c>
      <c r="B1036">
        <v>135902</v>
      </c>
      <c r="C1036" s="4">
        <v>1932.81</v>
      </c>
      <c r="D1036" s="1">
        <v>44361</v>
      </c>
      <c r="E1036" t="str">
        <f>"202106083783"</f>
        <v>202106083783</v>
      </c>
      <c r="F1036" t="str">
        <f>"ACCT#200140783/ANIMAL CONTROL"</f>
        <v>ACCT#200140783/ANIMAL CONTROL</v>
      </c>
      <c r="G1036" s="4">
        <v>1932.81</v>
      </c>
      <c r="H1036" t="str">
        <f>"ACCT#200140783/ANIMAL CONTROL"</f>
        <v>ACCT#200140783/ANIMAL CONTROL</v>
      </c>
    </row>
    <row r="1037" spans="1:8" x14ac:dyDescent="0.25">
      <c r="E1037" t="str">
        <f>""</f>
        <v/>
      </c>
      <c r="F1037" t="str">
        <f>""</f>
        <v/>
      </c>
      <c r="H1037" t="str">
        <f>"ACCT#200140783/ANIMAL CONTROL"</f>
        <v>ACCT#200140783/ANIMAL CONTROL</v>
      </c>
    </row>
    <row r="1038" spans="1:8" x14ac:dyDescent="0.25">
      <c r="E1038" t="str">
        <f>""</f>
        <v/>
      </c>
      <c r="F1038" t="str">
        <f>""</f>
        <v/>
      </c>
      <c r="H1038" t="str">
        <f>"ACCT#200140783/ANIMAL CONTROL"</f>
        <v>ACCT#200140783/ANIMAL CONTROL</v>
      </c>
    </row>
    <row r="1039" spans="1:8" x14ac:dyDescent="0.25">
      <c r="A1039" t="s">
        <v>298</v>
      </c>
      <c r="B1039">
        <v>4559</v>
      </c>
      <c r="C1039" s="4">
        <v>715</v>
      </c>
      <c r="D1039" s="1">
        <v>44362</v>
      </c>
      <c r="E1039" t="str">
        <f>"202106073752"</f>
        <v>202106073752</v>
      </c>
      <c r="F1039" t="str">
        <f>"TRASH REMOVAL/PAUL GRANDO"</f>
        <v>TRASH REMOVAL/PAUL GRANDO</v>
      </c>
      <c r="G1039" s="4">
        <v>344.5</v>
      </c>
      <c r="H1039" t="str">
        <f>"TRASH REMOVAL/PAUL GRANDO"</f>
        <v>TRASH REMOVAL/PAUL GRANDO</v>
      </c>
    </row>
    <row r="1040" spans="1:8" x14ac:dyDescent="0.25">
      <c r="E1040" t="str">
        <f>"202106073753"</f>
        <v>202106073753</v>
      </c>
      <c r="F1040" t="str">
        <f>"TRASH REMOVAL/PAUL GRANADO"</f>
        <v>TRASH REMOVAL/PAUL GRANADO</v>
      </c>
      <c r="G1040" s="4">
        <v>370.5</v>
      </c>
      <c r="H1040" t="str">
        <f>"TRASH REMOVAL/PAUL GRANADO"</f>
        <v>TRASH REMOVAL/PAUL GRANADO</v>
      </c>
    </row>
    <row r="1041" spans="1:8" x14ac:dyDescent="0.25">
      <c r="A1041" t="s">
        <v>298</v>
      </c>
      <c r="B1041">
        <v>4641</v>
      </c>
      <c r="C1041" s="4">
        <v>481</v>
      </c>
      <c r="D1041" s="1">
        <v>44376</v>
      </c>
      <c r="E1041" t="str">
        <f>"202106234162"</f>
        <v>202106234162</v>
      </c>
      <c r="F1041" t="str">
        <f>"TRASH REMOVAL 061421-062421"</f>
        <v>TRASH REMOVAL 061421-062421</v>
      </c>
      <c r="G1041" s="4">
        <v>481</v>
      </c>
      <c r="H1041" t="str">
        <f>"TRASH REMOVAL 061421-062421"</f>
        <v>TRASH REMOVAL 061421-062421</v>
      </c>
    </row>
    <row r="1042" spans="1:8" x14ac:dyDescent="0.25">
      <c r="A1042" t="s">
        <v>299</v>
      </c>
      <c r="B1042">
        <v>136063</v>
      </c>
      <c r="C1042" s="4">
        <v>235</v>
      </c>
      <c r="D1042" s="1">
        <v>44375</v>
      </c>
      <c r="E1042" t="str">
        <f>"202106224120"</f>
        <v>202106224120</v>
      </c>
      <c r="F1042" t="str">
        <f>"REIMBURSE/PHILIP L HALL"</f>
        <v>REIMBURSE/PHILIP L HALL</v>
      </c>
      <c r="G1042" s="4">
        <v>235</v>
      </c>
      <c r="H1042" t="str">
        <f>"REIMBURSE/PHILIP L HALL"</f>
        <v>REIMBURSE/PHILIP L HALL</v>
      </c>
    </row>
    <row r="1043" spans="1:8" x14ac:dyDescent="0.25">
      <c r="A1043" t="s">
        <v>300</v>
      </c>
      <c r="B1043">
        <v>4606</v>
      </c>
      <c r="C1043" s="4">
        <v>1160</v>
      </c>
      <c r="D1043" s="1">
        <v>44362</v>
      </c>
      <c r="E1043" t="str">
        <f>"202106023494"</f>
        <v>202106023494</v>
      </c>
      <c r="F1043" t="str">
        <f>"JP101252021B"</f>
        <v>JP101252021B</v>
      </c>
      <c r="G1043" s="4">
        <v>250</v>
      </c>
      <c r="H1043" t="str">
        <f>"JP101252021B"</f>
        <v>JP101252021B</v>
      </c>
    </row>
    <row r="1044" spans="1:8" x14ac:dyDescent="0.25">
      <c r="E1044" t="str">
        <f>"202106023495"</f>
        <v>202106023495</v>
      </c>
      <c r="F1044" t="str">
        <f>"0209276"</f>
        <v>0209276</v>
      </c>
      <c r="G1044" s="4">
        <v>250</v>
      </c>
      <c r="H1044" t="str">
        <f>"0209276"</f>
        <v>0209276</v>
      </c>
    </row>
    <row r="1045" spans="1:8" x14ac:dyDescent="0.25">
      <c r="E1045" t="str">
        <f>"202106033502"</f>
        <v>202106033502</v>
      </c>
      <c r="F1045" t="str">
        <f>"20-20508"</f>
        <v>20-20508</v>
      </c>
      <c r="G1045" s="4">
        <v>235</v>
      </c>
      <c r="H1045" t="str">
        <f>"20-20508"</f>
        <v>20-20508</v>
      </c>
    </row>
    <row r="1046" spans="1:8" x14ac:dyDescent="0.25">
      <c r="E1046" t="str">
        <f>"202106043699"</f>
        <v>202106043699</v>
      </c>
      <c r="F1046" t="str">
        <f>"21-20635"</f>
        <v>21-20635</v>
      </c>
      <c r="G1046" s="4">
        <v>175</v>
      </c>
      <c r="H1046" t="str">
        <f>"21-20635"</f>
        <v>21-20635</v>
      </c>
    </row>
    <row r="1047" spans="1:8" x14ac:dyDescent="0.25">
      <c r="E1047" t="str">
        <f>"202106093838"</f>
        <v>202106093838</v>
      </c>
      <c r="F1047" t="str">
        <f>"02.0801.4"</f>
        <v>02.0801.4</v>
      </c>
      <c r="G1047" s="4">
        <v>250</v>
      </c>
      <c r="H1047" t="str">
        <f>"02.0801.4"</f>
        <v>02.0801.4</v>
      </c>
    </row>
    <row r="1048" spans="1:8" x14ac:dyDescent="0.25">
      <c r="A1048" t="s">
        <v>300</v>
      </c>
      <c r="B1048">
        <v>4683</v>
      </c>
      <c r="C1048" s="4">
        <v>2307.5</v>
      </c>
      <c r="D1048" s="1">
        <v>44376</v>
      </c>
      <c r="E1048" t="str">
        <f>"202106164033"</f>
        <v>202106164033</v>
      </c>
      <c r="F1048" t="str">
        <f>"57-697"</f>
        <v>57-697</v>
      </c>
      <c r="G1048" s="4">
        <v>250</v>
      </c>
      <c r="H1048" t="str">
        <f>"57-697"</f>
        <v>57-697</v>
      </c>
    </row>
    <row r="1049" spans="1:8" x14ac:dyDescent="0.25">
      <c r="E1049" t="str">
        <f>"202106164035"</f>
        <v>202106164035</v>
      </c>
      <c r="F1049" t="str">
        <f>"C190113 C20020"</f>
        <v>C190113 C20020</v>
      </c>
      <c r="G1049" s="4">
        <v>375</v>
      </c>
      <c r="H1049" t="str">
        <f>"C190113 C20020"</f>
        <v>C190113 C20020</v>
      </c>
    </row>
    <row r="1050" spans="1:8" x14ac:dyDescent="0.25">
      <c r="E1050" t="str">
        <f>"202106164036"</f>
        <v>202106164036</v>
      </c>
      <c r="F1050" t="str">
        <f>"404275-9"</f>
        <v>404275-9</v>
      </c>
      <c r="G1050" s="4">
        <v>250</v>
      </c>
      <c r="H1050" t="str">
        <f>"404275-9"</f>
        <v>404275-9</v>
      </c>
    </row>
    <row r="1051" spans="1:8" x14ac:dyDescent="0.25">
      <c r="E1051" t="str">
        <f>"202106174059"</f>
        <v>202106174059</v>
      </c>
      <c r="F1051" t="str">
        <f>"57-621"</f>
        <v>57-621</v>
      </c>
      <c r="G1051" s="4">
        <v>250</v>
      </c>
      <c r="H1051" t="str">
        <f>"57-621"</f>
        <v>57-621</v>
      </c>
    </row>
    <row r="1052" spans="1:8" x14ac:dyDescent="0.25">
      <c r="E1052" t="str">
        <f>"202106174060"</f>
        <v>202106174060</v>
      </c>
      <c r="F1052" t="str">
        <f>"20-20110"</f>
        <v>20-20110</v>
      </c>
      <c r="G1052" s="4">
        <v>325</v>
      </c>
      <c r="H1052" t="str">
        <f>"20-20110"</f>
        <v>20-20110</v>
      </c>
    </row>
    <row r="1053" spans="1:8" x14ac:dyDescent="0.25">
      <c r="E1053" t="str">
        <f>"202106174061"</f>
        <v>202106174061</v>
      </c>
      <c r="F1053" t="str">
        <f>"20-20527"</f>
        <v>20-20527</v>
      </c>
      <c r="G1053" s="4">
        <v>175</v>
      </c>
      <c r="H1053" t="str">
        <f>"20-20527"</f>
        <v>20-20527</v>
      </c>
    </row>
    <row r="1054" spans="1:8" x14ac:dyDescent="0.25">
      <c r="E1054" t="str">
        <f>"202106234155"</f>
        <v>202106234155</v>
      </c>
      <c r="F1054" t="str">
        <f>"20-20377"</f>
        <v>20-20377</v>
      </c>
      <c r="G1054" s="4">
        <v>220</v>
      </c>
      <c r="H1054" t="str">
        <f>"20-20377"</f>
        <v>20-20377</v>
      </c>
    </row>
    <row r="1055" spans="1:8" x14ac:dyDescent="0.25">
      <c r="E1055" t="str">
        <f>"202106234156"</f>
        <v>202106234156</v>
      </c>
      <c r="F1055" t="str">
        <f>"21-20677"</f>
        <v>21-20677</v>
      </c>
      <c r="G1055" s="4">
        <v>212.5</v>
      </c>
      <c r="H1055" t="str">
        <f>"21-20677"</f>
        <v>21-20677</v>
      </c>
    </row>
    <row r="1056" spans="1:8" x14ac:dyDescent="0.25">
      <c r="E1056" t="str">
        <f>"202106234157"</f>
        <v>202106234157</v>
      </c>
      <c r="F1056" t="str">
        <f>"J-3213"</f>
        <v>J-3213</v>
      </c>
      <c r="G1056" s="4">
        <v>250</v>
      </c>
      <c r="H1056" t="str">
        <f>"J-3213"</f>
        <v>J-3213</v>
      </c>
    </row>
    <row r="1057" spans="1:8" x14ac:dyDescent="0.25">
      <c r="A1057" t="s">
        <v>301</v>
      </c>
      <c r="B1057">
        <v>135903</v>
      </c>
      <c r="C1057" s="4">
        <v>250</v>
      </c>
      <c r="D1057" s="1">
        <v>44361</v>
      </c>
      <c r="E1057" t="str">
        <f>"202106043678"</f>
        <v>202106043678</v>
      </c>
      <c r="F1057" t="str">
        <f>"BC20210125"</f>
        <v>BC20210125</v>
      </c>
      <c r="G1057" s="4">
        <v>250</v>
      </c>
      <c r="H1057" t="str">
        <f>"BC20210125"</f>
        <v>BC20210125</v>
      </c>
    </row>
    <row r="1058" spans="1:8" x14ac:dyDescent="0.25">
      <c r="A1058" t="s">
        <v>302</v>
      </c>
      <c r="B1058">
        <v>135904</v>
      </c>
      <c r="C1058" s="4">
        <v>294</v>
      </c>
      <c r="D1058" s="1">
        <v>44361</v>
      </c>
      <c r="E1058" t="str">
        <f>"003209"</f>
        <v>003209</v>
      </c>
      <c r="F1058" t="str">
        <f>"STATE INSPECTIONS/PCT#4"</f>
        <v>STATE INSPECTIONS/PCT#4</v>
      </c>
      <c r="G1058" s="4">
        <v>287</v>
      </c>
      <c r="H1058" t="str">
        <f>"STATE INSPECTIONS/PCT#4"</f>
        <v>STATE INSPECTIONS/PCT#4</v>
      </c>
    </row>
    <row r="1059" spans="1:8" x14ac:dyDescent="0.25">
      <c r="E1059" t="str">
        <f>"003209-1"</f>
        <v>003209-1</v>
      </c>
      <c r="F1059" t="str">
        <f>"INSPECTIONS/ CLYDE HAYWOOD SR"</f>
        <v>INSPECTIONS/ CLYDE HAYWOOD SR</v>
      </c>
      <c r="G1059" s="4">
        <v>7</v>
      </c>
      <c r="H1059" t="str">
        <f>"INSPECTIONS/ CLYDE HAYWOOD SR"</f>
        <v>INSPECTIONS/ CLYDE HAYWOOD SR</v>
      </c>
    </row>
    <row r="1060" spans="1:8" x14ac:dyDescent="0.25">
      <c r="A1060" t="s">
        <v>303</v>
      </c>
      <c r="B1060">
        <v>4605</v>
      </c>
      <c r="C1060" s="4">
        <v>608.25</v>
      </c>
      <c r="D1060" s="1">
        <v>44362</v>
      </c>
      <c r="E1060" t="str">
        <f>"0010366024"</f>
        <v>0010366024</v>
      </c>
      <c r="F1060" t="str">
        <f>"ACCT#0010366024"</f>
        <v>ACCT#0010366024</v>
      </c>
      <c r="G1060" s="4">
        <v>195.96</v>
      </c>
      <c r="H1060" t="str">
        <f>"ACCT#0010366024"</f>
        <v>ACCT#0010366024</v>
      </c>
    </row>
    <row r="1061" spans="1:8" x14ac:dyDescent="0.25">
      <c r="E1061" t="str">
        <f>"3313555391"</f>
        <v>3313555391</v>
      </c>
      <c r="F1061" t="str">
        <f>"INV 3313555391"</f>
        <v>INV 3313555391</v>
      </c>
      <c r="G1061" s="4">
        <v>412.29</v>
      </c>
      <c r="H1061" t="str">
        <f>"INV 3313555391"</f>
        <v>INV 3313555391</v>
      </c>
    </row>
    <row r="1062" spans="1:8" x14ac:dyDescent="0.25">
      <c r="A1062" t="s">
        <v>304</v>
      </c>
      <c r="B1062">
        <v>4569</v>
      </c>
      <c r="C1062" s="4">
        <v>7020</v>
      </c>
      <c r="D1062" s="1">
        <v>44362</v>
      </c>
      <c r="E1062" t="str">
        <f>"20-20169"</f>
        <v>20-20169</v>
      </c>
      <c r="F1062" t="str">
        <f>"20-20169"</f>
        <v>20-20169</v>
      </c>
      <c r="G1062" s="4">
        <v>445</v>
      </c>
      <c r="H1062" t="str">
        <f>"20-20169"</f>
        <v>20-20169</v>
      </c>
    </row>
    <row r="1063" spans="1:8" x14ac:dyDescent="0.25">
      <c r="E1063" t="str">
        <f>"202105253398"</f>
        <v>202105253398</v>
      </c>
      <c r="F1063" t="str">
        <f>"20-20448"</f>
        <v>20-20448</v>
      </c>
      <c r="G1063" s="4">
        <v>1065</v>
      </c>
      <c r="H1063" t="str">
        <f>"20-20448"</f>
        <v>20-20448</v>
      </c>
    </row>
    <row r="1064" spans="1:8" x14ac:dyDescent="0.25">
      <c r="E1064" t="str">
        <f>"202105253399"</f>
        <v>202105253399</v>
      </c>
      <c r="F1064" t="str">
        <f>"20-20508"</f>
        <v>20-20508</v>
      </c>
      <c r="G1064" s="4">
        <v>1065</v>
      </c>
      <c r="H1064" t="str">
        <f>"20-20508"</f>
        <v>20-20508</v>
      </c>
    </row>
    <row r="1065" spans="1:8" x14ac:dyDescent="0.25">
      <c r="E1065" t="str">
        <f>"202105253401"</f>
        <v>202105253401</v>
      </c>
      <c r="F1065" t="str">
        <f>"20-20216"</f>
        <v>20-20216</v>
      </c>
      <c r="G1065" s="4">
        <v>1065</v>
      </c>
      <c r="H1065" t="str">
        <f>"20-20216"</f>
        <v>20-20216</v>
      </c>
    </row>
    <row r="1066" spans="1:8" x14ac:dyDescent="0.25">
      <c r="E1066" t="str">
        <f>"202105263425"</f>
        <v>202105263425</v>
      </c>
      <c r="F1066" t="str">
        <f>"19-19684"</f>
        <v>19-19684</v>
      </c>
      <c r="G1066" s="4">
        <v>620</v>
      </c>
      <c r="H1066" t="str">
        <f>"19-19684"</f>
        <v>19-19684</v>
      </c>
    </row>
    <row r="1067" spans="1:8" x14ac:dyDescent="0.25">
      <c r="E1067" t="str">
        <f>"202105263426"</f>
        <v>202105263426</v>
      </c>
      <c r="F1067" t="str">
        <f>"19-19684"</f>
        <v>19-19684</v>
      </c>
      <c r="G1067" s="4">
        <v>37.5</v>
      </c>
      <c r="H1067" t="str">
        <f>"19-19684"</f>
        <v>19-19684</v>
      </c>
    </row>
    <row r="1068" spans="1:8" x14ac:dyDescent="0.25">
      <c r="E1068" t="str">
        <f>"202105263427"</f>
        <v>202105263427</v>
      </c>
      <c r="F1068" t="str">
        <f>"20-20314"</f>
        <v>20-20314</v>
      </c>
      <c r="G1068" s="4">
        <v>772.5</v>
      </c>
      <c r="H1068" t="str">
        <f>"20-20314"</f>
        <v>20-20314</v>
      </c>
    </row>
    <row r="1069" spans="1:8" x14ac:dyDescent="0.25">
      <c r="E1069" t="str">
        <f>"202105263428"</f>
        <v>202105263428</v>
      </c>
      <c r="F1069" t="str">
        <f>"20-20314"</f>
        <v>20-20314</v>
      </c>
      <c r="G1069" s="4">
        <v>820</v>
      </c>
      <c r="H1069" t="str">
        <f>"20-20314"</f>
        <v>20-20314</v>
      </c>
    </row>
    <row r="1070" spans="1:8" x14ac:dyDescent="0.25">
      <c r="E1070" t="str">
        <f>"202105263429"</f>
        <v>202105263429</v>
      </c>
      <c r="F1070" t="str">
        <f>"19-19641"</f>
        <v>19-19641</v>
      </c>
      <c r="G1070" s="4">
        <v>255</v>
      </c>
      <c r="H1070" t="str">
        <f>"19-19641"</f>
        <v>19-19641</v>
      </c>
    </row>
    <row r="1071" spans="1:8" x14ac:dyDescent="0.25">
      <c r="E1071" t="str">
        <f>"202105263430"</f>
        <v>202105263430</v>
      </c>
      <c r="F1071" t="str">
        <f>"19-19641"</f>
        <v>19-19641</v>
      </c>
      <c r="G1071" s="4">
        <v>347.5</v>
      </c>
      <c r="H1071" t="str">
        <f>"19-19641"</f>
        <v>19-19641</v>
      </c>
    </row>
    <row r="1072" spans="1:8" x14ac:dyDescent="0.25">
      <c r="E1072" t="str">
        <f>"202105263431"</f>
        <v>202105263431</v>
      </c>
      <c r="F1072" t="str">
        <f>"J-3218"</f>
        <v>J-3218</v>
      </c>
      <c r="G1072" s="4">
        <v>82.5</v>
      </c>
      <c r="H1072" t="str">
        <f>"J-3218"</f>
        <v>J-3218</v>
      </c>
    </row>
    <row r="1073" spans="1:8" x14ac:dyDescent="0.25">
      <c r="E1073" t="str">
        <f>"202105263432"</f>
        <v>202105263432</v>
      </c>
      <c r="F1073" t="str">
        <f>"19-19753"</f>
        <v>19-19753</v>
      </c>
      <c r="G1073" s="4">
        <v>445</v>
      </c>
      <c r="H1073" t="str">
        <f>"19-19753"</f>
        <v>19-19753</v>
      </c>
    </row>
    <row r="1074" spans="1:8" x14ac:dyDescent="0.25">
      <c r="A1074" t="s">
        <v>304</v>
      </c>
      <c r="B1074">
        <v>4650</v>
      </c>
      <c r="C1074" s="4">
        <v>250</v>
      </c>
      <c r="D1074" s="1">
        <v>44376</v>
      </c>
      <c r="E1074" t="str">
        <f>"202106164043"</f>
        <v>202106164043</v>
      </c>
      <c r="F1074" t="str">
        <f>"57-325"</f>
        <v>57-325</v>
      </c>
      <c r="G1074" s="4">
        <v>250</v>
      </c>
      <c r="H1074" t="str">
        <f>"57-325"</f>
        <v>57-325</v>
      </c>
    </row>
    <row r="1075" spans="1:8" x14ac:dyDescent="0.25">
      <c r="A1075" t="s">
        <v>305</v>
      </c>
      <c r="B1075">
        <v>4582</v>
      </c>
      <c r="C1075" s="4">
        <v>593.5</v>
      </c>
      <c r="D1075" s="1">
        <v>44362</v>
      </c>
      <c r="E1075" t="str">
        <f>"202106043669"</f>
        <v>202106043669</v>
      </c>
      <c r="F1075" t="str">
        <f>"ACCT#0005/PCT#4"</f>
        <v>ACCT#0005/PCT#4</v>
      </c>
      <c r="G1075" s="4">
        <v>593.5</v>
      </c>
      <c r="H1075" t="str">
        <f>"ACCT#0005/PCT#4"</f>
        <v>ACCT#0005/PCT#4</v>
      </c>
    </row>
    <row r="1076" spans="1:8" x14ac:dyDescent="0.25">
      <c r="E1076" t="str">
        <f>""</f>
        <v/>
      </c>
      <c r="F1076" t="str">
        <f>""</f>
        <v/>
      </c>
      <c r="H1076" t="str">
        <f>"ACCT#0005/PCT#4"</f>
        <v>ACCT#0005/PCT#4</v>
      </c>
    </row>
    <row r="1077" spans="1:8" x14ac:dyDescent="0.25">
      <c r="A1077" t="s">
        <v>306</v>
      </c>
      <c r="B1077">
        <v>135905</v>
      </c>
      <c r="C1077" s="4">
        <v>245</v>
      </c>
      <c r="D1077" s="1">
        <v>44361</v>
      </c>
      <c r="E1077" t="str">
        <f>"202105263417"</f>
        <v>202105263417</v>
      </c>
      <c r="F1077" t="str">
        <f>"BRM PERMIT#10000/ELECTIONS"</f>
        <v>BRM PERMIT#10000/ELECTIONS</v>
      </c>
      <c r="G1077" s="4">
        <v>245</v>
      </c>
      <c r="H1077" t="str">
        <f>"BRM PERMIT#10000/ELECTIONS"</f>
        <v>BRM PERMIT#10000/ELECTIONS</v>
      </c>
    </row>
    <row r="1078" spans="1:8" x14ac:dyDescent="0.25">
      <c r="A1078" t="s">
        <v>306</v>
      </c>
      <c r="B1078">
        <v>135906</v>
      </c>
      <c r="C1078" s="4">
        <v>740</v>
      </c>
      <c r="D1078" s="1">
        <v>44361</v>
      </c>
      <c r="E1078" t="str">
        <f>"202105263418"</f>
        <v>202105263418</v>
      </c>
      <c r="F1078" t="str">
        <f>"BRM PERMIT#10001/ELECTIONS"</f>
        <v>BRM PERMIT#10001/ELECTIONS</v>
      </c>
      <c r="G1078" s="4">
        <v>740</v>
      </c>
      <c r="H1078" t="str">
        <f>"BRM PERMIT#10001/ELECTIONS"</f>
        <v>BRM PERMIT#10001/ELECTIONS</v>
      </c>
    </row>
    <row r="1079" spans="1:8" x14ac:dyDescent="0.25">
      <c r="A1079" t="s">
        <v>306</v>
      </c>
      <c r="B1079">
        <v>135907</v>
      </c>
      <c r="C1079" s="4">
        <v>166</v>
      </c>
      <c r="D1079" s="1">
        <v>44361</v>
      </c>
      <c r="E1079" t="str">
        <f>"202106043693"</f>
        <v>202106043693</v>
      </c>
      <c r="F1079" t="str">
        <f>"BOX#676/TREASURER"</f>
        <v>BOX#676/TREASURER</v>
      </c>
      <c r="G1079" s="4">
        <v>166</v>
      </c>
      <c r="H1079" t="str">
        <f>"BOX#676/TREASURER"</f>
        <v>BOX#676/TREASURER</v>
      </c>
    </row>
    <row r="1080" spans="1:8" x14ac:dyDescent="0.25">
      <c r="A1080" t="s">
        <v>306</v>
      </c>
      <c r="B1080">
        <v>135908</v>
      </c>
      <c r="C1080" s="4">
        <v>284</v>
      </c>
      <c r="D1080" s="1">
        <v>44361</v>
      </c>
      <c r="E1080" t="str">
        <f>"202106043694"</f>
        <v>202106043694</v>
      </c>
      <c r="F1080" t="str">
        <f>"BOX#577/COUNTY CLERK"</f>
        <v>BOX#577/COUNTY CLERK</v>
      </c>
      <c r="G1080" s="4">
        <v>284</v>
      </c>
      <c r="H1080" t="str">
        <f>"BOX#577/COUNTY CLERK"</f>
        <v>BOX#577/COUNTY CLERK</v>
      </c>
    </row>
    <row r="1081" spans="1:8" x14ac:dyDescent="0.25">
      <c r="A1081" t="s">
        <v>306</v>
      </c>
      <c r="B1081">
        <v>135909</v>
      </c>
      <c r="C1081" s="4">
        <v>284</v>
      </c>
      <c r="D1081" s="1">
        <v>44361</v>
      </c>
      <c r="E1081" t="str">
        <f>"202106073758"</f>
        <v>202106073758</v>
      </c>
      <c r="F1081" t="str">
        <f>"PO BOX 650/ TEXAS A&amp;M AG"</f>
        <v>PO BOX 650/ TEXAS A&amp;M AG</v>
      </c>
      <c r="G1081" s="4">
        <v>284</v>
      </c>
      <c r="H1081" t="str">
        <f>"PO BOX 650/ TEXAS A&amp;M AG"</f>
        <v>PO BOX 650/ TEXAS A&amp;M AG</v>
      </c>
    </row>
    <row r="1082" spans="1:8" x14ac:dyDescent="0.25">
      <c r="A1082" t="s">
        <v>306</v>
      </c>
      <c r="B1082">
        <v>135910</v>
      </c>
      <c r="C1082" s="4">
        <v>284</v>
      </c>
      <c r="D1082" s="1">
        <v>44361</v>
      </c>
      <c r="E1082" t="str">
        <f>"202106083771"</f>
        <v>202106083771</v>
      </c>
      <c r="F1082" t="str">
        <f>"PO BOX 579 SERVICE FEE-1 YR"</f>
        <v>PO BOX 579 SERVICE FEE-1 YR</v>
      </c>
      <c r="G1082" s="4">
        <v>284</v>
      </c>
      <c r="H1082" t="str">
        <f>"PO BOX 579 SERVICE FEE-1 YR"</f>
        <v>PO BOX 579 SERVICE FEE-1 YR</v>
      </c>
    </row>
    <row r="1083" spans="1:8" x14ac:dyDescent="0.25">
      <c r="A1083" t="s">
        <v>307</v>
      </c>
      <c r="B1083">
        <v>135911</v>
      </c>
      <c r="C1083" s="4">
        <v>907.5</v>
      </c>
      <c r="D1083" s="1">
        <v>44361</v>
      </c>
      <c r="E1083" t="str">
        <f>"26640"</f>
        <v>26640</v>
      </c>
      <c r="F1083" t="str">
        <f>"INV 26640"</f>
        <v>INV 26640</v>
      </c>
      <c r="G1083" s="4">
        <v>907.5</v>
      </c>
      <c r="H1083" t="str">
        <f>"INV 26640"</f>
        <v>INV 26640</v>
      </c>
    </row>
    <row r="1084" spans="1:8" x14ac:dyDescent="0.25">
      <c r="A1084" t="s">
        <v>308</v>
      </c>
      <c r="B1084">
        <v>136064</v>
      </c>
      <c r="C1084" s="4">
        <v>1906.15</v>
      </c>
      <c r="D1084" s="1">
        <v>44375</v>
      </c>
      <c r="E1084" t="str">
        <f>"W17297"</f>
        <v>W17297</v>
      </c>
      <c r="F1084" t="str">
        <f>"ACCT#8850283308/PCT#4"</f>
        <v>ACCT#8850283308/PCT#4</v>
      </c>
      <c r="G1084" s="4">
        <v>1906.15</v>
      </c>
      <c r="H1084" t="str">
        <f>"ACCT#8850283308/PCT#4"</f>
        <v>ACCT#8850283308/PCT#4</v>
      </c>
    </row>
    <row r="1085" spans="1:8" x14ac:dyDescent="0.25">
      <c r="A1085" t="s">
        <v>309</v>
      </c>
      <c r="B1085">
        <v>135912</v>
      </c>
      <c r="C1085" s="4">
        <v>13.76</v>
      </c>
      <c r="D1085" s="1">
        <v>44361</v>
      </c>
      <c r="E1085" t="str">
        <f>"63399854"</f>
        <v>63399854</v>
      </c>
      <c r="F1085" t="str">
        <f>"CUST#71364636/PCT#3"</f>
        <v>CUST#71364636/PCT#3</v>
      </c>
      <c r="G1085" s="4">
        <v>13.76</v>
      </c>
      <c r="H1085" t="str">
        <f>"CUST#71364636/PCT#3"</f>
        <v>CUST#71364636/PCT#3</v>
      </c>
    </row>
    <row r="1086" spans="1:8" x14ac:dyDescent="0.25">
      <c r="A1086" t="s">
        <v>310</v>
      </c>
      <c r="B1086">
        <v>1110</v>
      </c>
      <c r="C1086" s="4">
        <v>0</v>
      </c>
      <c r="D1086" s="1">
        <v>44362</v>
      </c>
      <c r="E1086" t="str">
        <f>"202106153959"</f>
        <v>202106153959</v>
      </c>
      <c r="F1086" t="str">
        <f>"ACCT# 72-56313 / 06032021"</f>
        <v>ACCT# 72-56313 / 06032021</v>
      </c>
      <c r="G1086" s="4">
        <v>-101.98</v>
      </c>
      <c r="H1086" t="str">
        <f>"ACCT# 72-56313 / 06032021"</f>
        <v>ACCT# 72-56313 / 06032021</v>
      </c>
    </row>
    <row r="1087" spans="1:8" x14ac:dyDescent="0.25">
      <c r="E1087" t="str">
        <f>"202106143927"</f>
        <v>202106143927</v>
      </c>
      <c r="F1087" t="str">
        <f>"ACCT #72-56313 / 06/03/2021"</f>
        <v>ACCT #72-56313 / 06/03/2021</v>
      </c>
      <c r="G1087" s="4">
        <v>101.98</v>
      </c>
      <c r="H1087" t="str">
        <f>"ACCT #72-56313 / 06/03/2021"</f>
        <v>ACCT #72-56313 / 06/03/2021</v>
      </c>
    </row>
    <row r="1088" spans="1:8" x14ac:dyDescent="0.25">
      <c r="A1088" t="s">
        <v>311</v>
      </c>
      <c r="B1088">
        <v>135755</v>
      </c>
      <c r="C1088" s="4">
        <v>100</v>
      </c>
      <c r="D1088" s="1">
        <v>44357</v>
      </c>
      <c r="E1088" s="5" t="s">
        <v>312</v>
      </c>
      <c r="F1088" s="4" t="str">
        <f>"RESTITUTION - COY FERRIS"</f>
        <v>RESTITUTION - COY FERRIS</v>
      </c>
      <c r="G1088" s="4">
        <v>100</v>
      </c>
      <c r="H1088" t="str">
        <f>"RESTITUTION - COY FERRIS"</f>
        <v>RESTITUTION - COY FERRIS</v>
      </c>
    </row>
    <row r="1089" spans="1:8" x14ac:dyDescent="0.25">
      <c r="A1089" t="s">
        <v>311</v>
      </c>
      <c r="B1089">
        <v>136065</v>
      </c>
      <c r="C1089" s="4">
        <v>50</v>
      </c>
      <c r="D1089" s="1">
        <v>44375</v>
      </c>
      <c r="E1089" t="str">
        <f>"202106164008"</f>
        <v>202106164008</v>
      </c>
      <c r="F1089" t="str">
        <f>"RESTITUTION/COY FERRIS"</f>
        <v>RESTITUTION/COY FERRIS</v>
      </c>
      <c r="G1089" s="4">
        <v>50</v>
      </c>
      <c r="H1089" t="str">
        <f>"RESTITUTION/COY FERRIS"</f>
        <v>RESTITUTION/COY FERRIS</v>
      </c>
    </row>
    <row r="1090" spans="1:8" x14ac:dyDescent="0.25">
      <c r="A1090" t="s">
        <v>313</v>
      </c>
      <c r="B1090">
        <v>135913</v>
      </c>
      <c r="C1090" s="4">
        <v>2121.3200000000002</v>
      </c>
      <c r="D1090" s="1">
        <v>44361</v>
      </c>
      <c r="E1090" t="str">
        <f>"202106043692"</f>
        <v>202106043692</v>
      </c>
      <c r="F1090" t="str">
        <f>"C540476/JP#2"</f>
        <v>C540476/JP#2</v>
      </c>
      <c r="G1090" s="4">
        <v>35</v>
      </c>
      <c r="H1090" t="str">
        <f>"C540476/JP#2"</f>
        <v>C540476/JP#2</v>
      </c>
    </row>
    <row r="1091" spans="1:8" x14ac:dyDescent="0.25">
      <c r="E1091" t="str">
        <f>"PSI506814"</f>
        <v>PSI506814</v>
      </c>
      <c r="F1091" t="str">
        <f>"INV PSI506814  PSI507224"</f>
        <v>INV PSI506814  PSI507224</v>
      </c>
      <c r="G1091" s="4">
        <v>2086.3200000000002</v>
      </c>
      <c r="H1091" t="str">
        <f>"INV PSI506814"</f>
        <v>INV PSI506814</v>
      </c>
    </row>
    <row r="1092" spans="1:8" x14ac:dyDescent="0.25">
      <c r="E1092" t="str">
        <f>""</f>
        <v/>
      </c>
      <c r="F1092" t="str">
        <f>""</f>
        <v/>
      </c>
      <c r="H1092" t="str">
        <f>"INV PSI507224"</f>
        <v>INV PSI507224</v>
      </c>
    </row>
    <row r="1093" spans="1:8" x14ac:dyDescent="0.25">
      <c r="A1093" t="s">
        <v>314</v>
      </c>
      <c r="B1093">
        <v>135914</v>
      </c>
      <c r="C1093" s="4">
        <v>28.74</v>
      </c>
      <c r="D1093" s="1">
        <v>44361</v>
      </c>
      <c r="E1093" t="str">
        <f>"202106093857"</f>
        <v>202106093857</v>
      </c>
      <c r="F1093" t="str">
        <f>"JAIL MEDICAL"</f>
        <v>JAIL MEDICAL</v>
      </c>
      <c r="G1093" s="4">
        <v>28.74</v>
      </c>
      <c r="H1093" t="str">
        <f>"JAIL MEDICAL"</f>
        <v>JAIL MEDICAL</v>
      </c>
    </row>
    <row r="1094" spans="1:8" x14ac:dyDescent="0.25">
      <c r="A1094" t="s">
        <v>315</v>
      </c>
      <c r="B1094">
        <v>4635</v>
      </c>
      <c r="C1094" s="4">
        <v>21.97</v>
      </c>
      <c r="D1094" s="1">
        <v>44376</v>
      </c>
      <c r="E1094" t="str">
        <f>"11F0121569859"</f>
        <v>11F0121569859</v>
      </c>
      <c r="F1094" t="str">
        <f>"ACCT#0121569859/JP#4"</f>
        <v>ACCT#0121569859/JP#4</v>
      </c>
      <c r="G1094" s="4">
        <v>7.98</v>
      </c>
      <c r="H1094" t="str">
        <f>"ACCT#0121569859/JP#4"</f>
        <v>ACCT#0121569859/JP#4</v>
      </c>
    </row>
    <row r="1095" spans="1:8" x14ac:dyDescent="0.25">
      <c r="E1095" t="str">
        <f>"202106174056"</f>
        <v>202106174056</v>
      </c>
      <c r="F1095" t="str">
        <f>"ACCT#0121587851/#4"</f>
        <v>ACCT#0121587851/#4</v>
      </c>
      <c r="G1095" s="4">
        <v>13.99</v>
      </c>
      <c r="H1095" t="str">
        <f>"ACCT#0121587851/#4"</f>
        <v>ACCT#0121587851/#4</v>
      </c>
    </row>
    <row r="1096" spans="1:8" x14ac:dyDescent="0.25">
      <c r="A1096" t="s">
        <v>316</v>
      </c>
      <c r="B1096">
        <v>4585</v>
      </c>
      <c r="C1096" s="4">
        <v>3000</v>
      </c>
      <c r="D1096" s="1">
        <v>44362</v>
      </c>
      <c r="E1096" t="str">
        <f>"60"</f>
        <v>60</v>
      </c>
      <c r="F1096" t="str">
        <f>"PROF SVCS/SPAY/NEUTER"</f>
        <v>PROF SVCS/SPAY/NEUTER</v>
      </c>
      <c r="G1096" s="4">
        <v>3000</v>
      </c>
      <c r="H1096" t="str">
        <f>"PROF SVCS/SPAY/NEUTER"</f>
        <v>PROF SVCS/SPAY/NEUTER</v>
      </c>
    </row>
    <row r="1097" spans="1:8" x14ac:dyDescent="0.25">
      <c r="A1097" t="s">
        <v>316</v>
      </c>
      <c r="B1097">
        <v>4665</v>
      </c>
      <c r="C1097" s="4">
        <v>2000</v>
      </c>
      <c r="D1097" s="1">
        <v>44376</v>
      </c>
      <c r="E1097" t="str">
        <f>"63"</f>
        <v>63</v>
      </c>
      <c r="F1097" t="str">
        <f>"SPAY/NEUTER SERVICE"</f>
        <v>SPAY/NEUTER SERVICE</v>
      </c>
      <c r="G1097" s="4">
        <v>2000</v>
      </c>
      <c r="H1097" t="str">
        <f>"SPAY/NEUTER SERVICE"</f>
        <v>SPAY/NEUTER SERVICE</v>
      </c>
    </row>
    <row r="1098" spans="1:8" x14ac:dyDescent="0.25">
      <c r="A1098" t="s">
        <v>317</v>
      </c>
      <c r="B1098">
        <v>135749</v>
      </c>
      <c r="C1098" s="4">
        <v>1487.66</v>
      </c>
      <c r="D1098" s="1">
        <v>44356</v>
      </c>
      <c r="E1098" t="str">
        <f>"111 033 217 356 2"</f>
        <v>111 033 217 356 2</v>
      </c>
      <c r="F1098" t="str">
        <f>"ACCT# 15 070 712-3 / 06012021"</f>
        <v>ACCT# 15 070 712-3 / 06012021</v>
      </c>
      <c r="G1098" s="4">
        <v>18.13</v>
      </c>
      <c r="H1098" t="str">
        <f>"ACCT# 15 070 712-3 / 06012021"</f>
        <v>ACCT# 15 070 712-3 / 06012021</v>
      </c>
    </row>
    <row r="1099" spans="1:8" x14ac:dyDescent="0.25">
      <c r="E1099" t="str">
        <f>"111 033 217 357 0"</f>
        <v>111 033 217 357 0</v>
      </c>
      <c r="F1099" t="str">
        <f>"ACCT# 15 070 713-1 / 06012021"</f>
        <v>ACCT# 15 070 713-1 / 06012021</v>
      </c>
      <c r="G1099" s="4">
        <v>21.82</v>
      </c>
      <c r="H1099" t="str">
        <f>"ACCT# 15 070 713-1 / 06012021"</f>
        <v>ACCT# 15 070 713-1 / 06012021</v>
      </c>
    </row>
    <row r="1100" spans="1:8" x14ac:dyDescent="0.25">
      <c r="E1100" t="str">
        <f>"112 012 823 718 2"</f>
        <v>112 012 823 718 2</v>
      </c>
      <c r="F1100" t="str">
        <f>"ACCT# 15 069 451-1 / 06012021"</f>
        <v>ACCT# 15 069 451-1 / 06012021</v>
      </c>
      <c r="G1100" s="4">
        <v>446.88</v>
      </c>
      <c r="H1100" t="str">
        <f>"ACCT# 15 069 451-1 / 06012021"</f>
        <v>ACCT# 15 069 451-1 / 06012021</v>
      </c>
    </row>
    <row r="1101" spans="1:8" x14ac:dyDescent="0.25">
      <c r="E1101" t="str">
        <f>"305 000 859 461 8"</f>
        <v>305 000 859 461 8</v>
      </c>
      <c r="F1101" t="str">
        <f>"ACCT#15 072 1991 / 06012021"</f>
        <v>ACCT#15 072 1991 / 06012021</v>
      </c>
      <c r="G1101" s="4">
        <v>56.55</v>
      </c>
      <c r="H1101" t="str">
        <f>"ACCT#15 072 1991 / 06012021"</f>
        <v>ACCT#15 072 1991 / 06012021</v>
      </c>
    </row>
    <row r="1102" spans="1:8" x14ac:dyDescent="0.25">
      <c r="E1102" t="str">
        <f>"305 000 859 462 6"</f>
        <v>305 000 859 462 6</v>
      </c>
      <c r="F1102" t="str">
        <f>"ACCT#15 072 200-7 / 06012021"</f>
        <v>ACCT#15 072 200-7 / 06012021</v>
      </c>
      <c r="G1102" s="4">
        <v>212.77</v>
      </c>
      <c r="H1102" t="str">
        <f>"ACCT#15 072 200-7 / 06012021"</f>
        <v>ACCT#15 072 200-7 / 06012021</v>
      </c>
    </row>
    <row r="1103" spans="1:8" x14ac:dyDescent="0.25">
      <c r="E1103" t="str">
        <f>"305 000 859 463 4"</f>
        <v>305 000 859 463 4</v>
      </c>
      <c r="F1103" t="str">
        <f>"ACCT#15 072 201-5 / 06012021"</f>
        <v>ACCT#15 072 201-5 / 06012021</v>
      </c>
      <c r="G1103" s="4">
        <v>358.88</v>
      </c>
      <c r="H1103" t="str">
        <f>"ACCT#15 072 201-5 / 06012021"</f>
        <v>ACCT#15 072 201-5 / 06012021</v>
      </c>
    </row>
    <row r="1104" spans="1:8" x14ac:dyDescent="0.25">
      <c r="E1104" t="str">
        <f>"305 000 859 464 2"</f>
        <v>305 000 859 464 2</v>
      </c>
      <c r="F1104" t="str">
        <f>"ACCT# 15072 202-3 / 06012021"</f>
        <v>ACCT# 15072 202-3 / 06012021</v>
      </c>
      <c r="G1104" s="4">
        <v>28.88</v>
      </c>
      <c r="H1104" t="str">
        <f>"ACCT# 15072 202-3 / 06012021"</f>
        <v>ACCT# 15072 202-3 / 06012021</v>
      </c>
    </row>
    <row r="1105" spans="1:8" x14ac:dyDescent="0.25">
      <c r="E1105" t="str">
        <f>"305 000 859 465 9"</f>
        <v>305 000 859 465 9</v>
      </c>
      <c r="F1105" t="str">
        <f>"ACCT# 15 072 203-1 / 06012021"</f>
        <v>ACCT# 15 072 203-1 / 06012021</v>
      </c>
      <c r="G1105" s="4">
        <v>14.05</v>
      </c>
      <c r="H1105" t="str">
        <f>"ACCT# 15 072 203-1 / 06012021"</f>
        <v>ACCT# 15 072 203-1 / 06012021</v>
      </c>
    </row>
    <row r="1106" spans="1:8" x14ac:dyDescent="0.25">
      <c r="E1106" t="str">
        <f>"305 000 859 466 7"</f>
        <v>305 000 859 466 7</v>
      </c>
      <c r="F1106" t="str">
        <f>"ACCT# 15 072 204-9 / 06012021"</f>
        <v>ACCT# 15 072 204-9 / 06012021</v>
      </c>
      <c r="G1106" s="4">
        <v>329.7</v>
      </c>
      <c r="H1106" t="str">
        <f>"ACCT# 15 072 204-9 / 06012021"</f>
        <v>ACCT# 15 072 204-9 / 06012021</v>
      </c>
    </row>
    <row r="1107" spans="1:8" x14ac:dyDescent="0.25">
      <c r="A1107" t="s">
        <v>318</v>
      </c>
      <c r="B1107">
        <v>135915</v>
      </c>
      <c r="C1107" s="4">
        <v>2500</v>
      </c>
      <c r="D1107" s="1">
        <v>44361</v>
      </c>
      <c r="E1107" t="str">
        <f>"36251536"</f>
        <v>36251536</v>
      </c>
      <c r="F1107" t="str">
        <f>"POSTAGE FUNDS"</f>
        <v>POSTAGE FUNDS</v>
      </c>
      <c r="G1107" s="4">
        <v>2500</v>
      </c>
      <c r="H1107" t="str">
        <f>"ACCOUNT 36251536"</f>
        <v>ACCOUNT 36251536</v>
      </c>
    </row>
    <row r="1108" spans="1:8" x14ac:dyDescent="0.25">
      <c r="A1108" t="s">
        <v>319</v>
      </c>
      <c r="B1108">
        <v>135916</v>
      </c>
      <c r="C1108" s="4">
        <v>37.24</v>
      </c>
      <c r="D1108" s="1">
        <v>44361</v>
      </c>
      <c r="E1108" t="str">
        <f>"202106043668"</f>
        <v>202106043668</v>
      </c>
      <c r="F1108" t="str">
        <f>"ACCT#3510/PCT#4"</f>
        <v>ACCT#3510/PCT#4</v>
      </c>
      <c r="G1108" s="4">
        <v>37.24</v>
      </c>
      <c r="H1108" t="str">
        <f>"ACCT#3510/PCT#4"</f>
        <v>ACCT#3510/PCT#4</v>
      </c>
    </row>
    <row r="1109" spans="1:8" x14ac:dyDescent="0.25">
      <c r="A1109" t="s">
        <v>320</v>
      </c>
      <c r="B1109">
        <v>135917</v>
      </c>
      <c r="C1109" s="4">
        <v>125</v>
      </c>
      <c r="D1109" s="1">
        <v>44361</v>
      </c>
      <c r="E1109" t="str">
        <f>"202106093815"</f>
        <v>202106093815</v>
      </c>
      <c r="F1109" t="str">
        <f>"PER DIEM FOR TRAINING"</f>
        <v>PER DIEM FOR TRAINING</v>
      </c>
      <c r="G1109" s="4">
        <v>125</v>
      </c>
      <c r="H1109" t="str">
        <f>"PER DIEM FOR TRAINING"</f>
        <v>PER DIEM FOR TRAINING</v>
      </c>
    </row>
    <row r="1110" spans="1:8" x14ac:dyDescent="0.25">
      <c r="A1110" t="s">
        <v>321</v>
      </c>
      <c r="B1110">
        <v>135918</v>
      </c>
      <c r="C1110" s="4">
        <v>9315.17</v>
      </c>
      <c r="D1110" s="1">
        <v>44361</v>
      </c>
      <c r="E1110" t="str">
        <f>"37851864"</f>
        <v>37851864</v>
      </c>
      <c r="F1110" t="str">
        <f>"CUST#2000172616"</f>
        <v>CUST#2000172616</v>
      </c>
      <c r="G1110" s="4">
        <v>9315.17</v>
      </c>
      <c r="H1110" t="str">
        <f t="shared" ref="H1110:H1141" si="26">"CUST#2000172616"</f>
        <v>CUST#2000172616</v>
      </c>
    </row>
    <row r="1111" spans="1:8" x14ac:dyDescent="0.25">
      <c r="E1111" t="str">
        <f>""</f>
        <v/>
      </c>
      <c r="F1111" t="str">
        <f>""</f>
        <v/>
      </c>
      <c r="H1111" t="str">
        <f t="shared" si="26"/>
        <v>CUST#2000172616</v>
      </c>
    </row>
    <row r="1112" spans="1:8" x14ac:dyDescent="0.25">
      <c r="E1112" t="str">
        <f>""</f>
        <v/>
      </c>
      <c r="F1112" t="str">
        <f>""</f>
        <v/>
      </c>
      <c r="H1112" t="str">
        <f t="shared" si="26"/>
        <v>CUST#2000172616</v>
      </c>
    </row>
    <row r="1113" spans="1:8" x14ac:dyDescent="0.25">
      <c r="E1113" t="str">
        <f>""</f>
        <v/>
      </c>
      <c r="F1113" t="str">
        <f>""</f>
        <v/>
      </c>
      <c r="H1113" t="str">
        <f t="shared" si="26"/>
        <v>CUST#2000172616</v>
      </c>
    </row>
    <row r="1114" spans="1:8" x14ac:dyDescent="0.25">
      <c r="E1114" t="str">
        <f>""</f>
        <v/>
      </c>
      <c r="F1114" t="str">
        <f>""</f>
        <v/>
      </c>
      <c r="H1114" t="str">
        <f t="shared" si="26"/>
        <v>CUST#2000172616</v>
      </c>
    </row>
    <row r="1115" spans="1:8" x14ac:dyDescent="0.25">
      <c r="E1115" t="str">
        <f>""</f>
        <v/>
      </c>
      <c r="F1115" t="str">
        <f>""</f>
        <v/>
      </c>
      <c r="H1115" t="str">
        <f t="shared" si="26"/>
        <v>CUST#2000172616</v>
      </c>
    </row>
    <row r="1116" spans="1:8" x14ac:dyDescent="0.25">
      <c r="E1116" t="str">
        <f>""</f>
        <v/>
      </c>
      <c r="F1116" t="str">
        <f>""</f>
        <v/>
      </c>
      <c r="H1116" t="str">
        <f t="shared" si="26"/>
        <v>CUST#2000172616</v>
      </c>
    </row>
    <row r="1117" spans="1:8" x14ac:dyDescent="0.25">
      <c r="E1117" t="str">
        <f>""</f>
        <v/>
      </c>
      <c r="F1117" t="str">
        <f>""</f>
        <v/>
      </c>
      <c r="H1117" t="str">
        <f t="shared" si="26"/>
        <v>CUST#2000172616</v>
      </c>
    </row>
    <row r="1118" spans="1:8" x14ac:dyDescent="0.25">
      <c r="E1118" t="str">
        <f>""</f>
        <v/>
      </c>
      <c r="F1118" t="str">
        <f>""</f>
        <v/>
      </c>
      <c r="H1118" t="str">
        <f t="shared" si="26"/>
        <v>CUST#2000172616</v>
      </c>
    </row>
    <row r="1119" spans="1:8" x14ac:dyDescent="0.25">
      <c r="E1119" t="str">
        <f>""</f>
        <v/>
      </c>
      <c r="F1119" t="str">
        <f>""</f>
        <v/>
      </c>
      <c r="H1119" t="str">
        <f t="shared" si="26"/>
        <v>CUST#2000172616</v>
      </c>
    </row>
    <row r="1120" spans="1:8" x14ac:dyDescent="0.25">
      <c r="E1120" t="str">
        <f>""</f>
        <v/>
      </c>
      <c r="F1120" t="str">
        <f>""</f>
        <v/>
      </c>
      <c r="H1120" t="str">
        <f t="shared" si="26"/>
        <v>CUST#2000172616</v>
      </c>
    </row>
    <row r="1121" spans="5:8" x14ac:dyDescent="0.25">
      <c r="E1121" t="str">
        <f>""</f>
        <v/>
      </c>
      <c r="F1121" t="str">
        <f>""</f>
        <v/>
      </c>
      <c r="H1121" t="str">
        <f t="shared" si="26"/>
        <v>CUST#2000172616</v>
      </c>
    </row>
    <row r="1122" spans="5:8" x14ac:dyDescent="0.25">
      <c r="E1122" t="str">
        <f>""</f>
        <v/>
      </c>
      <c r="F1122" t="str">
        <f>""</f>
        <v/>
      </c>
      <c r="H1122" t="str">
        <f t="shared" si="26"/>
        <v>CUST#2000172616</v>
      </c>
    </row>
    <row r="1123" spans="5:8" x14ac:dyDescent="0.25">
      <c r="E1123" t="str">
        <f>""</f>
        <v/>
      </c>
      <c r="F1123" t="str">
        <f>""</f>
        <v/>
      </c>
      <c r="H1123" t="str">
        <f t="shared" si="26"/>
        <v>CUST#2000172616</v>
      </c>
    </row>
    <row r="1124" spans="5:8" x14ac:dyDescent="0.25">
      <c r="E1124" t="str">
        <f>""</f>
        <v/>
      </c>
      <c r="F1124" t="str">
        <f>""</f>
        <v/>
      </c>
      <c r="H1124" t="str">
        <f t="shared" si="26"/>
        <v>CUST#2000172616</v>
      </c>
    </row>
    <row r="1125" spans="5:8" x14ac:dyDescent="0.25">
      <c r="E1125" t="str">
        <f>""</f>
        <v/>
      </c>
      <c r="F1125" t="str">
        <f>""</f>
        <v/>
      </c>
      <c r="H1125" t="str">
        <f t="shared" si="26"/>
        <v>CUST#2000172616</v>
      </c>
    </row>
    <row r="1126" spans="5:8" x14ac:dyDescent="0.25">
      <c r="E1126" t="str">
        <f>""</f>
        <v/>
      </c>
      <c r="F1126" t="str">
        <f>""</f>
        <v/>
      </c>
      <c r="H1126" t="str">
        <f t="shared" si="26"/>
        <v>CUST#2000172616</v>
      </c>
    </row>
    <row r="1127" spans="5:8" x14ac:dyDescent="0.25">
      <c r="E1127" t="str">
        <f>""</f>
        <v/>
      </c>
      <c r="F1127" t="str">
        <f>""</f>
        <v/>
      </c>
      <c r="H1127" t="str">
        <f t="shared" si="26"/>
        <v>CUST#2000172616</v>
      </c>
    </row>
    <row r="1128" spans="5:8" x14ac:dyDescent="0.25">
      <c r="E1128" t="str">
        <f>""</f>
        <v/>
      </c>
      <c r="F1128" t="str">
        <f>""</f>
        <v/>
      </c>
      <c r="H1128" t="str">
        <f t="shared" si="26"/>
        <v>CUST#2000172616</v>
      </c>
    </row>
    <row r="1129" spans="5:8" x14ac:dyDescent="0.25">
      <c r="E1129" t="str">
        <f>""</f>
        <v/>
      </c>
      <c r="F1129" t="str">
        <f>""</f>
        <v/>
      </c>
      <c r="H1129" t="str">
        <f t="shared" si="26"/>
        <v>CUST#2000172616</v>
      </c>
    </row>
    <row r="1130" spans="5:8" x14ac:dyDescent="0.25">
      <c r="E1130" t="str">
        <f>""</f>
        <v/>
      </c>
      <c r="F1130" t="str">
        <f>""</f>
        <v/>
      </c>
      <c r="H1130" t="str">
        <f t="shared" si="26"/>
        <v>CUST#2000172616</v>
      </c>
    </row>
    <row r="1131" spans="5:8" x14ac:dyDescent="0.25">
      <c r="E1131" t="str">
        <f>""</f>
        <v/>
      </c>
      <c r="F1131" t="str">
        <f>""</f>
        <v/>
      </c>
      <c r="H1131" t="str">
        <f t="shared" si="26"/>
        <v>CUST#2000172616</v>
      </c>
    </row>
    <row r="1132" spans="5:8" x14ac:dyDescent="0.25">
      <c r="E1132" t="str">
        <f>""</f>
        <v/>
      </c>
      <c r="F1132" t="str">
        <f>""</f>
        <v/>
      </c>
      <c r="H1132" t="str">
        <f t="shared" si="26"/>
        <v>CUST#2000172616</v>
      </c>
    </row>
    <row r="1133" spans="5:8" x14ac:dyDescent="0.25">
      <c r="E1133" t="str">
        <f>""</f>
        <v/>
      </c>
      <c r="F1133" t="str">
        <f>""</f>
        <v/>
      </c>
      <c r="H1133" t="str">
        <f t="shared" si="26"/>
        <v>CUST#2000172616</v>
      </c>
    </row>
    <row r="1134" spans="5:8" x14ac:dyDescent="0.25">
      <c r="E1134" t="str">
        <f>""</f>
        <v/>
      </c>
      <c r="F1134" t="str">
        <f>""</f>
        <v/>
      </c>
      <c r="H1134" t="str">
        <f t="shared" si="26"/>
        <v>CUST#2000172616</v>
      </c>
    </row>
    <row r="1135" spans="5:8" x14ac:dyDescent="0.25">
      <c r="E1135" t="str">
        <f>""</f>
        <v/>
      </c>
      <c r="F1135" t="str">
        <f>""</f>
        <v/>
      </c>
      <c r="H1135" t="str">
        <f t="shared" si="26"/>
        <v>CUST#2000172616</v>
      </c>
    </row>
    <row r="1136" spans="5:8" x14ac:dyDescent="0.25">
      <c r="E1136" t="str">
        <f>""</f>
        <v/>
      </c>
      <c r="F1136" t="str">
        <f>""</f>
        <v/>
      </c>
      <c r="H1136" t="str">
        <f t="shared" si="26"/>
        <v>CUST#2000172616</v>
      </c>
    </row>
    <row r="1137" spans="1:8" x14ac:dyDescent="0.25">
      <c r="E1137" t="str">
        <f>""</f>
        <v/>
      </c>
      <c r="F1137" t="str">
        <f>""</f>
        <v/>
      </c>
      <c r="H1137" t="str">
        <f t="shared" si="26"/>
        <v>CUST#2000172616</v>
      </c>
    </row>
    <row r="1138" spans="1:8" x14ac:dyDescent="0.25">
      <c r="E1138" t="str">
        <f>""</f>
        <v/>
      </c>
      <c r="F1138" t="str">
        <f>""</f>
        <v/>
      </c>
      <c r="H1138" t="str">
        <f t="shared" si="26"/>
        <v>CUST#2000172616</v>
      </c>
    </row>
    <row r="1139" spans="1:8" x14ac:dyDescent="0.25">
      <c r="E1139" t="str">
        <f>""</f>
        <v/>
      </c>
      <c r="F1139" t="str">
        <f>""</f>
        <v/>
      </c>
      <c r="H1139" t="str">
        <f t="shared" si="26"/>
        <v>CUST#2000172616</v>
      </c>
    </row>
    <row r="1140" spans="1:8" x14ac:dyDescent="0.25">
      <c r="E1140" t="str">
        <f>""</f>
        <v/>
      </c>
      <c r="F1140" t="str">
        <f>""</f>
        <v/>
      </c>
      <c r="H1140" t="str">
        <f t="shared" si="26"/>
        <v>CUST#2000172616</v>
      </c>
    </row>
    <row r="1141" spans="1:8" x14ac:dyDescent="0.25">
      <c r="E1141" t="str">
        <f>""</f>
        <v/>
      </c>
      <c r="F1141" t="str">
        <f>""</f>
        <v/>
      </c>
      <c r="H1141" t="str">
        <f t="shared" si="26"/>
        <v>CUST#2000172616</v>
      </c>
    </row>
    <row r="1142" spans="1:8" x14ac:dyDescent="0.25">
      <c r="A1142" t="s">
        <v>322</v>
      </c>
      <c r="B1142">
        <v>4633</v>
      </c>
      <c r="C1142" s="4">
        <v>315</v>
      </c>
      <c r="D1142" s="1">
        <v>44376</v>
      </c>
      <c r="E1142" t="str">
        <f>"T015264"</f>
        <v>T015264</v>
      </c>
      <c r="F1142" t="str">
        <f>"INV I015264"</f>
        <v>INV I015264</v>
      </c>
      <c r="G1142" s="4">
        <v>315</v>
      </c>
      <c r="H1142" t="str">
        <f>"INV I015264"</f>
        <v>INV I015264</v>
      </c>
    </row>
    <row r="1143" spans="1:8" x14ac:dyDescent="0.25">
      <c r="A1143" t="s">
        <v>323</v>
      </c>
      <c r="B1143">
        <v>4657</v>
      </c>
      <c r="C1143" s="4">
        <v>300</v>
      </c>
      <c r="D1143" s="1">
        <v>44376</v>
      </c>
      <c r="E1143" t="str">
        <f>"BCSOMAY21"</f>
        <v>BCSOMAY21</v>
      </c>
      <c r="F1143" t="str">
        <f>"INV BCSOMAY21"</f>
        <v>INV BCSOMAY21</v>
      </c>
      <c r="G1143" s="4">
        <v>300</v>
      </c>
      <c r="H1143" t="str">
        <f>"INV BCSOMAY21"</f>
        <v>INV BCSOMAY21</v>
      </c>
    </row>
    <row r="1144" spans="1:8" x14ac:dyDescent="0.25">
      <c r="A1144" t="s">
        <v>324</v>
      </c>
      <c r="B1144">
        <v>1116</v>
      </c>
      <c r="C1144" s="4">
        <v>0</v>
      </c>
      <c r="D1144" s="1">
        <v>44362</v>
      </c>
      <c r="E1144" t="str">
        <f>"202106153960"</f>
        <v>202106153960</v>
      </c>
      <c r="F1144" t="str">
        <f>"ACCT# 72-56313 / 06032021"</f>
        <v>ACCT# 72-56313 / 06032021</v>
      </c>
      <c r="G1144" s="4">
        <v>-276.75</v>
      </c>
      <c r="H1144" t="str">
        <f>"ACCT# 72-56313 / 06032021"</f>
        <v>ACCT# 72-56313 / 06032021</v>
      </c>
    </row>
    <row r="1145" spans="1:8" x14ac:dyDescent="0.25">
      <c r="E1145" t="str">
        <f>"202106143933"</f>
        <v>202106143933</v>
      </c>
      <c r="F1145" t="str">
        <f>"ACCT #72-56313 / 06/03/2021"</f>
        <v>ACCT #72-56313 / 06/03/2021</v>
      </c>
      <c r="G1145" s="4">
        <v>276.75</v>
      </c>
      <c r="H1145" t="str">
        <f>"ACCT #72-56313 / 06/03/2021"</f>
        <v>ACCT #72-56313 / 06/03/2021</v>
      </c>
    </row>
    <row r="1146" spans="1:8" x14ac:dyDescent="0.25">
      <c r="A1146" t="s">
        <v>325</v>
      </c>
      <c r="B1146">
        <v>136066</v>
      </c>
      <c r="C1146" s="4">
        <v>45</v>
      </c>
      <c r="D1146" s="1">
        <v>44375</v>
      </c>
      <c r="E1146" t="str">
        <f>"210413-1"</f>
        <v>210413-1</v>
      </c>
      <c r="F1146" t="str">
        <f>"UNIFORMS/COMMUNICATIONS"</f>
        <v>UNIFORMS/COMMUNICATIONS</v>
      </c>
      <c r="G1146" s="4">
        <v>45</v>
      </c>
      <c r="H1146" t="str">
        <f>"UNIFORMS/COMMUNICATIONS"</f>
        <v>UNIFORMS/COMMUNICATIONS</v>
      </c>
    </row>
    <row r="1147" spans="1:8" x14ac:dyDescent="0.25">
      <c r="A1147" t="s">
        <v>326</v>
      </c>
      <c r="B1147">
        <v>135919</v>
      </c>
      <c r="C1147" s="4">
        <v>3300</v>
      </c>
      <c r="D1147" s="1">
        <v>44361</v>
      </c>
      <c r="E1147" t="str">
        <f>"511486"</f>
        <v>511486</v>
      </c>
      <c r="F1147" t="str">
        <f>"ROAD BASE/PCT#3"</f>
        <v>ROAD BASE/PCT#3</v>
      </c>
      <c r="G1147" s="4">
        <v>3300</v>
      </c>
      <c r="H1147" t="str">
        <f>"ROAD BASE/PCT#3"</f>
        <v>ROAD BASE/PCT#3</v>
      </c>
    </row>
    <row r="1148" spans="1:8" x14ac:dyDescent="0.25">
      <c r="A1148" t="s">
        <v>327</v>
      </c>
      <c r="B1148">
        <v>135920</v>
      </c>
      <c r="C1148" s="4">
        <v>38.72</v>
      </c>
      <c r="D1148" s="1">
        <v>44361</v>
      </c>
      <c r="E1148" t="str">
        <f>"202105263419"</f>
        <v>202105263419</v>
      </c>
      <c r="F1148" t="str">
        <f>"REIMBURSEMENT/ROSE PIETSCH"</f>
        <v>REIMBURSEMENT/ROSE PIETSCH</v>
      </c>
      <c r="G1148" s="4">
        <v>38.72</v>
      </c>
      <c r="H1148" t="str">
        <f>"REIMBURSEMENT/ROSE PIETSCH"</f>
        <v>REIMBURSEMENT/ROSE PIETSCH</v>
      </c>
    </row>
    <row r="1149" spans="1:8" x14ac:dyDescent="0.25">
      <c r="A1149" t="s">
        <v>328</v>
      </c>
      <c r="B1149">
        <v>135921</v>
      </c>
      <c r="C1149" s="4">
        <v>42</v>
      </c>
      <c r="D1149" s="1">
        <v>44361</v>
      </c>
      <c r="E1149" t="str">
        <f>"202106093855"</f>
        <v>202106093855</v>
      </c>
      <c r="F1149" t="str">
        <f>"LPHCP RECORDING FEES"</f>
        <v>LPHCP RECORDING FEES</v>
      </c>
      <c r="G1149" s="4">
        <v>42</v>
      </c>
      <c r="H1149" t="str">
        <f>"LPHCP RECORDING FEES"</f>
        <v>LPHCP RECORDING FEES</v>
      </c>
    </row>
    <row r="1150" spans="1:8" x14ac:dyDescent="0.25">
      <c r="A1150" t="s">
        <v>328</v>
      </c>
      <c r="B1150">
        <v>135922</v>
      </c>
      <c r="C1150" s="4">
        <v>244</v>
      </c>
      <c r="D1150" s="1">
        <v>44361</v>
      </c>
      <c r="E1150" t="str">
        <f>"202106093856"</f>
        <v>202106093856</v>
      </c>
      <c r="F1150" t="str">
        <f>"DEVELOPMENT SVCS RECORDING FEE"</f>
        <v>DEVELOPMENT SVCS RECORDING FEE</v>
      </c>
      <c r="G1150" s="4">
        <v>244</v>
      </c>
      <c r="H1150" t="str">
        <f>"DEVELOPMENT SVCS RECORDING FEE"</f>
        <v>DEVELOPMENT SVCS RECORDING FEE</v>
      </c>
    </row>
    <row r="1151" spans="1:8" x14ac:dyDescent="0.25">
      <c r="A1151" t="s">
        <v>328</v>
      </c>
      <c r="B1151">
        <v>136067</v>
      </c>
      <c r="C1151" s="4">
        <v>344</v>
      </c>
      <c r="D1151" s="1">
        <v>44375</v>
      </c>
      <c r="E1151" t="str">
        <f>"202106224127"</f>
        <v>202106224127</v>
      </c>
      <c r="F1151" t="str">
        <f>"LPHCP RECORDING FEES"</f>
        <v>LPHCP RECORDING FEES</v>
      </c>
      <c r="G1151" s="4">
        <v>344</v>
      </c>
      <c r="H1151" t="str">
        <f>"LPHCP RECORDING FEES"</f>
        <v>LPHCP RECORDING FEES</v>
      </c>
    </row>
    <row r="1152" spans="1:8" x14ac:dyDescent="0.25">
      <c r="A1152" t="s">
        <v>328</v>
      </c>
      <c r="B1152">
        <v>136068</v>
      </c>
      <c r="C1152" s="4">
        <v>305</v>
      </c>
      <c r="D1152" s="1">
        <v>44375</v>
      </c>
      <c r="E1152" t="str">
        <f>"202106224130"</f>
        <v>202106224130</v>
      </c>
      <c r="F1152" t="str">
        <f>"DEVELOPMENT SVCS. FEES"</f>
        <v>DEVELOPMENT SVCS. FEES</v>
      </c>
      <c r="G1152" s="4">
        <v>305</v>
      </c>
      <c r="H1152" t="str">
        <f>"DEVELOPMENT SVCS. FEES"</f>
        <v>DEVELOPMENT SVCS. FEES</v>
      </c>
    </row>
    <row r="1153" spans="1:8" x14ac:dyDescent="0.25">
      <c r="A1153" t="s">
        <v>329</v>
      </c>
      <c r="B1153">
        <v>136069</v>
      </c>
      <c r="C1153" s="4">
        <v>1090</v>
      </c>
      <c r="D1153" s="1">
        <v>44375</v>
      </c>
      <c r="E1153" t="str">
        <f>"77325"</f>
        <v>77325</v>
      </c>
      <c r="F1153" t="str">
        <f>"INV 77325"</f>
        <v>INV 77325</v>
      </c>
      <c r="G1153" s="4">
        <v>895</v>
      </c>
      <c r="H1153" t="str">
        <f>"INV 77325"</f>
        <v>INV 77325</v>
      </c>
    </row>
    <row r="1154" spans="1:8" x14ac:dyDescent="0.25">
      <c r="E1154" t="str">
        <f>"T20-149450"</f>
        <v>T20-149450</v>
      </c>
      <c r="F1154" t="str">
        <f>"INV I20-149450"</f>
        <v>INV I20-149450</v>
      </c>
      <c r="G1154" s="4">
        <v>195</v>
      </c>
      <c r="H1154" t="str">
        <f>"INV I20-149450"</f>
        <v>INV I20-149450</v>
      </c>
    </row>
    <row r="1155" spans="1:8" x14ac:dyDescent="0.25">
      <c r="A1155" t="s">
        <v>330</v>
      </c>
      <c r="B1155">
        <v>135923</v>
      </c>
      <c r="C1155" s="4">
        <v>125</v>
      </c>
      <c r="D1155" s="1">
        <v>44361</v>
      </c>
      <c r="E1155" t="str">
        <f>"202106023493"</f>
        <v>202106023493</v>
      </c>
      <c r="F1155" t="str">
        <f>"TRAINING/TIM SPARKMAN"</f>
        <v>TRAINING/TIM SPARKMAN</v>
      </c>
      <c r="G1155" s="4">
        <v>125</v>
      </c>
      <c r="H1155" t="str">
        <f>"TRAINING/TIM SPARKMAN"</f>
        <v>TRAINING/TIM SPARKMAN</v>
      </c>
    </row>
    <row r="1156" spans="1:8" x14ac:dyDescent="0.25">
      <c r="A1156" t="s">
        <v>331</v>
      </c>
      <c r="B1156">
        <v>135924</v>
      </c>
      <c r="C1156" s="4">
        <v>550</v>
      </c>
      <c r="D1156" s="1">
        <v>44361</v>
      </c>
      <c r="E1156" t="str">
        <f>"42877"</f>
        <v>42877</v>
      </c>
      <c r="F1156" t="str">
        <f>"39TH ELECTION SEM-K. MILES"</f>
        <v>39TH ELECTION SEM-K. MILES</v>
      </c>
      <c r="G1156" s="4">
        <v>275</v>
      </c>
      <c r="H1156" t="str">
        <f>"39TH ELECTION SEM-K. MILES"</f>
        <v>39TH ELECTION SEM-K. MILES</v>
      </c>
    </row>
    <row r="1157" spans="1:8" x14ac:dyDescent="0.25">
      <c r="E1157" t="str">
        <f>"42921"</f>
        <v>42921</v>
      </c>
      <c r="F1157" t="str">
        <f>"39TH ELECTION SEM-S. STRONG"</f>
        <v>39TH ELECTION SEM-S. STRONG</v>
      </c>
      <c r="G1157" s="4">
        <v>275</v>
      </c>
      <c r="H1157" t="str">
        <f>"39TH ELECTION SEM-S. STRONG"</f>
        <v>39TH ELECTION SEM-S. STRONG</v>
      </c>
    </row>
    <row r="1158" spans="1:8" x14ac:dyDescent="0.25">
      <c r="A1158" t="s">
        <v>331</v>
      </c>
      <c r="B1158">
        <v>136070</v>
      </c>
      <c r="C1158" s="4">
        <v>275</v>
      </c>
      <c r="D1158" s="1">
        <v>44375</v>
      </c>
      <c r="E1158" t="str">
        <f>"202106164003"</f>
        <v>202106164003</v>
      </c>
      <c r="F1158" t="str">
        <f>"TRAINING/MEGAN WELCH"</f>
        <v>TRAINING/MEGAN WELCH</v>
      </c>
      <c r="G1158" s="4">
        <v>275</v>
      </c>
      <c r="H1158" t="str">
        <f>"TRAINING/MEGAN WELCH"</f>
        <v>TRAINING/MEGAN WELCH</v>
      </c>
    </row>
    <row r="1159" spans="1:8" x14ac:dyDescent="0.25">
      <c r="A1159" t="s">
        <v>332</v>
      </c>
      <c r="B1159">
        <v>4611</v>
      </c>
      <c r="C1159" s="4">
        <v>784</v>
      </c>
      <c r="D1159" s="1">
        <v>44362</v>
      </c>
      <c r="E1159" t="str">
        <f>"3476"</f>
        <v>3476</v>
      </c>
      <c r="F1159" t="str">
        <f>"Panic Buttons"</f>
        <v>Panic Buttons</v>
      </c>
      <c r="G1159" s="4">
        <v>784</v>
      </c>
      <c r="H1159" t="str">
        <f>"Panic Buttons"</f>
        <v>Panic Buttons</v>
      </c>
    </row>
    <row r="1160" spans="1:8" x14ac:dyDescent="0.25">
      <c r="E1160" t="str">
        <f>""</f>
        <v/>
      </c>
      <c r="F1160" t="str">
        <f>""</f>
        <v/>
      </c>
      <c r="H1160" t="str">
        <f>"Shipping"</f>
        <v>Shipping</v>
      </c>
    </row>
    <row r="1161" spans="1:8" x14ac:dyDescent="0.25">
      <c r="A1161" t="s">
        <v>333</v>
      </c>
      <c r="B1161">
        <v>136071</v>
      </c>
      <c r="C1161" s="4">
        <v>50</v>
      </c>
      <c r="D1161" s="1">
        <v>44375</v>
      </c>
      <c r="E1161" t="str">
        <f>"202106164007"</f>
        <v>202106164007</v>
      </c>
      <c r="F1161" t="str">
        <f>"RESTITUTION-DEBRA MCCOMB"</f>
        <v>RESTITUTION-DEBRA MCCOMB</v>
      </c>
      <c r="G1161" s="4">
        <v>50</v>
      </c>
      <c r="H1161" t="str">
        <f>"RESTITUTION-DEBRA MCCOMB"</f>
        <v>RESTITUTION-DEBRA MCCOMB</v>
      </c>
    </row>
    <row r="1162" spans="1:8" x14ac:dyDescent="0.25">
      <c r="A1162" t="s">
        <v>334</v>
      </c>
      <c r="B1162">
        <v>135925</v>
      </c>
      <c r="C1162" s="4">
        <v>386.35</v>
      </c>
      <c r="D1162" s="1">
        <v>44361</v>
      </c>
      <c r="E1162" t="str">
        <f>"5006329923"</f>
        <v>5006329923</v>
      </c>
      <c r="F1162" t="str">
        <f>"ACCT#120105793/EMERGENCY MNG."</f>
        <v>ACCT#120105793/EMERGENCY MNG.</v>
      </c>
      <c r="G1162" s="4">
        <v>386.35</v>
      </c>
      <c r="H1162" t="str">
        <f>"ACCT#120105793/EMERGENCY MNG."</f>
        <v>ACCT#120105793/EMERGENCY MNG.</v>
      </c>
    </row>
    <row r="1163" spans="1:8" x14ac:dyDescent="0.25">
      <c r="A1163" t="s">
        <v>335</v>
      </c>
      <c r="B1163">
        <v>135926</v>
      </c>
      <c r="C1163" s="4">
        <v>700</v>
      </c>
      <c r="D1163" s="1">
        <v>44361</v>
      </c>
      <c r="E1163" t="str">
        <f>"202106093817"</f>
        <v>202106093817</v>
      </c>
      <c r="F1163" t="str">
        <f>"TRAINING"</f>
        <v>TRAINING</v>
      </c>
      <c r="G1163" s="4">
        <v>700</v>
      </c>
      <c r="H1163" t="str">
        <f>"SHERIFF M.C. COOK"</f>
        <v>SHERIFF M.C. COOK</v>
      </c>
    </row>
    <row r="1164" spans="1:8" x14ac:dyDescent="0.25">
      <c r="E1164" t="str">
        <f>""</f>
        <v/>
      </c>
      <c r="F1164" t="str">
        <f>""</f>
        <v/>
      </c>
      <c r="H1164" t="str">
        <f>"CAPT. R. COLE"</f>
        <v>CAPT. R. COLE</v>
      </c>
    </row>
    <row r="1165" spans="1:8" x14ac:dyDescent="0.25">
      <c r="A1165" t="s">
        <v>336</v>
      </c>
      <c r="B1165">
        <v>135927</v>
      </c>
      <c r="C1165" s="4">
        <v>19113.400000000001</v>
      </c>
      <c r="D1165" s="1">
        <v>44361</v>
      </c>
      <c r="E1165" t="str">
        <f>"20456891"</f>
        <v>20456891</v>
      </c>
      <c r="F1165" t="str">
        <f>"HPE Nimble Storage Hardwa"</f>
        <v>HPE Nimble Storage Hardwa</v>
      </c>
      <c r="G1165" s="4">
        <v>18340.400000000001</v>
      </c>
      <c r="H1165" t="str">
        <f>"FY 21-22"</f>
        <v>FY 21-22</v>
      </c>
    </row>
    <row r="1166" spans="1:8" x14ac:dyDescent="0.25">
      <c r="E1166" t="str">
        <f>""</f>
        <v/>
      </c>
      <c r="F1166" t="str">
        <f>""</f>
        <v/>
      </c>
      <c r="H1166" t="str">
        <f>"FY 20-21"</f>
        <v>FY 20-21</v>
      </c>
    </row>
    <row r="1167" spans="1:8" x14ac:dyDescent="0.25">
      <c r="E1167" t="str">
        <f>"20500373"</f>
        <v>20500373</v>
      </c>
      <c r="F1167" t="str">
        <f>"Headset Indigent Health"</f>
        <v>Headset Indigent Health</v>
      </c>
      <c r="G1167" s="4">
        <v>209</v>
      </c>
      <c r="H1167" t="str">
        <f>"Headset for Yolanda"</f>
        <v>Headset for Yolanda</v>
      </c>
    </row>
    <row r="1168" spans="1:8" x14ac:dyDescent="0.25">
      <c r="E1168" t="str">
        <f>"24094"</f>
        <v>24094</v>
      </c>
      <c r="F1168" t="str">
        <f>"Meraki Licenses &amp; Support"</f>
        <v>Meraki Licenses &amp; Support</v>
      </c>
      <c r="G1168" s="4">
        <v>564</v>
      </c>
      <c r="H1168" t="str">
        <f>"Meraki Licenses &amp; Support"</f>
        <v>Meraki Licenses &amp; Support</v>
      </c>
    </row>
    <row r="1169" spans="1:8" x14ac:dyDescent="0.25">
      <c r="A1169" t="s">
        <v>336</v>
      </c>
      <c r="B1169">
        <v>136072</v>
      </c>
      <c r="C1169" s="4">
        <v>880</v>
      </c>
      <c r="D1169" s="1">
        <v>44375</v>
      </c>
      <c r="E1169" t="str">
        <f>"20554509"</f>
        <v>20554509</v>
      </c>
      <c r="F1169" t="str">
        <f>"Adobe License Auditors"</f>
        <v>Adobe License Auditors</v>
      </c>
      <c r="G1169" s="4">
        <v>355</v>
      </c>
      <c r="H1169" t="str">
        <f>"Adobe License Auditors"</f>
        <v>Adobe License Auditors</v>
      </c>
    </row>
    <row r="1170" spans="1:8" x14ac:dyDescent="0.25">
      <c r="E1170" t="str">
        <f>"608424"</f>
        <v>608424</v>
      </c>
      <c r="F1170" t="str">
        <f>"Quickbooks Tax Books"</f>
        <v>Quickbooks Tax Books</v>
      </c>
      <c r="G1170" s="4">
        <v>525</v>
      </c>
      <c r="H1170" t="str">
        <f>"Quickbooks Tax Books"</f>
        <v>Quickbooks Tax Books</v>
      </c>
    </row>
    <row r="1171" spans="1:8" x14ac:dyDescent="0.25">
      <c r="A1171" t="s">
        <v>337</v>
      </c>
      <c r="B1171">
        <v>135928</v>
      </c>
      <c r="C1171" s="4">
        <v>90.81</v>
      </c>
      <c r="D1171" s="1">
        <v>44361</v>
      </c>
      <c r="E1171" t="str">
        <f>"202106073751"</f>
        <v>202106073751</v>
      </c>
      <c r="F1171" t="str">
        <f>"ACCT#550615/PCT#4"</f>
        <v>ACCT#550615/PCT#4</v>
      </c>
      <c r="G1171" s="4">
        <v>90.81</v>
      </c>
      <c r="H1171" t="str">
        <f>"ACCT#550615/PCT#4"</f>
        <v>ACCT#550615/PCT#4</v>
      </c>
    </row>
    <row r="1172" spans="1:8" x14ac:dyDescent="0.25">
      <c r="A1172" t="s">
        <v>337</v>
      </c>
      <c r="B1172">
        <v>136073</v>
      </c>
      <c r="C1172" s="4">
        <v>3053</v>
      </c>
      <c r="D1172" s="1">
        <v>44375</v>
      </c>
      <c r="E1172" t="str">
        <f>"24253974"</f>
        <v>24253974</v>
      </c>
      <c r="F1172" t="str">
        <f>"Cutter"</f>
        <v>Cutter</v>
      </c>
      <c r="G1172" s="4">
        <v>3053</v>
      </c>
      <c r="H1172" t="str">
        <f>"1P00MX6CJLP077134"</f>
        <v>1P00MX6CJLP077134</v>
      </c>
    </row>
    <row r="1173" spans="1:8" x14ac:dyDescent="0.25">
      <c r="A1173" t="s">
        <v>338</v>
      </c>
      <c r="B1173">
        <v>135929</v>
      </c>
      <c r="C1173" s="4">
        <v>766.09</v>
      </c>
      <c r="D1173" s="1">
        <v>44361</v>
      </c>
      <c r="E1173" t="str">
        <f>"8181963212"</f>
        <v>8181963212</v>
      </c>
      <c r="F1173" t="str">
        <f>"CUST#16155373"</f>
        <v>CUST#16155373</v>
      </c>
      <c r="G1173" s="4">
        <v>153.19</v>
      </c>
      <c r="H1173" t="str">
        <f t="shared" ref="H1173:H1178" si="27">"CUST#16155373"</f>
        <v>CUST#16155373</v>
      </c>
    </row>
    <row r="1174" spans="1:8" x14ac:dyDescent="0.25">
      <c r="E1174" t="str">
        <f>""</f>
        <v/>
      </c>
      <c r="F1174" t="str">
        <f>""</f>
        <v/>
      </c>
      <c r="H1174" t="str">
        <f t="shared" si="27"/>
        <v>CUST#16155373</v>
      </c>
    </row>
    <row r="1175" spans="1:8" x14ac:dyDescent="0.25">
      <c r="E1175" t="str">
        <f>""</f>
        <v/>
      </c>
      <c r="F1175" t="str">
        <f>""</f>
        <v/>
      </c>
      <c r="H1175" t="str">
        <f t="shared" si="27"/>
        <v>CUST#16155373</v>
      </c>
    </row>
    <row r="1176" spans="1:8" x14ac:dyDescent="0.25">
      <c r="E1176" t="str">
        <f>""</f>
        <v/>
      </c>
      <c r="F1176" t="str">
        <f>""</f>
        <v/>
      </c>
      <c r="H1176" t="str">
        <f t="shared" si="27"/>
        <v>CUST#16155373</v>
      </c>
    </row>
    <row r="1177" spans="1:8" x14ac:dyDescent="0.25">
      <c r="E1177" t="str">
        <f>""</f>
        <v/>
      </c>
      <c r="F1177" t="str">
        <f>""</f>
        <v/>
      </c>
      <c r="H1177" t="str">
        <f t="shared" si="27"/>
        <v>CUST#16155373</v>
      </c>
    </row>
    <row r="1178" spans="1:8" x14ac:dyDescent="0.25">
      <c r="E1178" t="str">
        <f>""</f>
        <v/>
      </c>
      <c r="F1178" t="str">
        <f>""</f>
        <v/>
      </c>
      <c r="H1178" t="str">
        <f t="shared" si="27"/>
        <v>CUST#16155373</v>
      </c>
    </row>
    <row r="1179" spans="1:8" x14ac:dyDescent="0.25">
      <c r="E1179" t="str">
        <f>"8182154815"</f>
        <v>8182154815</v>
      </c>
      <c r="F1179" t="str">
        <f>"INV 8182154815"</f>
        <v>INV 8182154815</v>
      </c>
      <c r="G1179" s="4">
        <v>178.88</v>
      </c>
      <c r="H1179" t="str">
        <f>"INV 8182154815 - LE"</f>
        <v>INV 8182154815 - LE</v>
      </c>
    </row>
    <row r="1180" spans="1:8" x14ac:dyDescent="0.25">
      <c r="E1180" t="str">
        <f>""</f>
        <v/>
      </c>
      <c r="F1180" t="str">
        <f>""</f>
        <v/>
      </c>
      <c r="H1180" t="str">
        <f>"INV 8182154815 - JAI"</f>
        <v>INV 8182154815 - JAI</v>
      </c>
    </row>
    <row r="1181" spans="1:8" x14ac:dyDescent="0.25">
      <c r="E1181" t="str">
        <f>"8182155166"</f>
        <v>8182155166</v>
      </c>
      <c r="F1181" t="str">
        <f>"CUST#16151857 / PURCHASING"</f>
        <v>CUST#16151857 / PURCHASING</v>
      </c>
      <c r="G1181" s="4">
        <v>126.8</v>
      </c>
      <c r="H1181" t="str">
        <f>"CUST#16151857 / PURCHASING"</f>
        <v>CUST#16151857 / PURCHASING</v>
      </c>
    </row>
    <row r="1182" spans="1:8" x14ac:dyDescent="0.25">
      <c r="E1182" t="str">
        <f>""</f>
        <v/>
      </c>
      <c r="F1182" t="str">
        <f>""</f>
        <v/>
      </c>
      <c r="H1182" t="str">
        <f>"CUST#16151857 / PURCHASING"</f>
        <v>CUST#16151857 / PURCHASING</v>
      </c>
    </row>
    <row r="1183" spans="1:8" x14ac:dyDescent="0.25">
      <c r="E1183" t="str">
        <f>""</f>
        <v/>
      </c>
      <c r="F1183" t="str">
        <f>""</f>
        <v/>
      </c>
      <c r="H1183" t="str">
        <f>"CUST#16151857 / PURCHASING"</f>
        <v>CUST#16151857 / PURCHASING</v>
      </c>
    </row>
    <row r="1184" spans="1:8" x14ac:dyDescent="0.25">
      <c r="E1184" t="str">
        <f>"8182155275"</f>
        <v>8182155275</v>
      </c>
      <c r="F1184" t="str">
        <f>"CUST#16155373 / PURCHASING"</f>
        <v>CUST#16155373 / PURCHASING</v>
      </c>
      <c r="G1184" s="4">
        <v>151.04</v>
      </c>
      <c r="H1184" t="str">
        <f t="shared" ref="H1184:H1189" si="28">"CUST#16155373 / PURCHASING"</f>
        <v>CUST#16155373 / PURCHASING</v>
      </c>
    </row>
    <row r="1185" spans="1:8" x14ac:dyDescent="0.25">
      <c r="E1185" t="str">
        <f>""</f>
        <v/>
      </c>
      <c r="F1185" t="str">
        <f>""</f>
        <v/>
      </c>
      <c r="H1185" t="str">
        <f t="shared" si="28"/>
        <v>CUST#16155373 / PURCHASING</v>
      </c>
    </row>
    <row r="1186" spans="1:8" x14ac:dyDescent="0.25">
      <c r="E1186" t="str">
        <f>""</f>
        <v/>
      </c>
      <c r="F1186" t="str">
        <f>""</f>
        <v/>
      </c>
      <c r="H1186" t="str">
        <f t="shared" si="28"/>
        <v>CUST#16155373 / PURCHASING</v>
      </c>
    </row>
    <row r="1187" spans="1:8" x14ac:dyDescent="0.25">
      <c r="E1187" t="str">
        <f>""</f>
        <v/>
      </c>
      <c r="F1187" t="str">
        <f>""</f>
        <v/>
      </c>
      <c r="H1187" t="str">
        <f t="shared" si="28"/>
        <v>CUST#16155373 / PURCHASING</v>
      </c>
    </row>
    <row r="1188" spans="1:8" x14ac:dyDescent="0.25">
      <c r="E1188" t="str">
        <f>""</f>
        <v/>
      </c>
      <c r="F1188" t="str">
        <f>""</f>
        <v/>
      </c>
      <c r="H1188" t="str">
        <f t="shared" si="28"/>
        <v>CUST#16155373 / PURCHASING</v>
      </c>
    </row>
    <row r="1189" spans="1:8" x14ac:dyDescent="0.25">
      <c r="E1189" t="str">
        <f>""</f>
        <v/>
      </c>
      <c r="F1189" t="str">
        <f>""</f>
        <v/>
      </c>
      <c r="H1189" t="str">
        <f t="shared" si="28"/>
        <v>CUST#16155373 / PURCHASING</v>
      </c>
    </row>
    <row r="1190" spans="1:8" x14ac:dyDescent="0.25">
      <c r="E1190" t="str">
        <f>"8182155375"</f>
        <v>8182155375</v>
      </c>
      <c r="F1190" t="str">
        <f>"CUST#16158670/JP4"</f>
        <v>CUST#16158670/JP4</v>
      </c>
      <c r="G1190" s="4">
        <v>75.52</v>
      </c>
      <c r="H1190" t="str">
        <f>"CUST#16158670/JP4"</f>
        <v>CUST#16158670/JP4</v>
      </c>
    </row>
    <row r="1191" spans="1:8" x14ac:dyDescent="0.25">
      <c r="E1191" t="str">
        <f>"8182155477"</f>
        <v>8182155477</v>
      </c>
      <c r="F1191" t="str">
        <f>"CUST#16160327 / INDIGENT HLTH"</f>
        <v>CUST#16160327 / INDIGENT HLTH</v>
      </c>
      <c r="G1191" s="4">
        <v>80.66</v>
      </c>
      <c r="H1191" t="str">
        <f>"CUST#16160327 / INDIGENT HLTH"</f>
        <v>CUST#16160327 / INDIGENT HLTH</v>
      </c>
    </row>
    <row r="1192" spans="1:8" x14ac:dyDescent="0.25">
      <c r="E1192" t="str">
        <f>""</f>
        <v/>
      </c>
      <c r="F1192" t="str">
        <f>""</f>
        <v/>
      </c>
      <c r="H1192" t="str">
        <f>"CUST#16160327 / INDIGENT HLTH"</f>
        <v>CUST#16160327 / INDIGENT HLTH</v>
      </c>
    </row>
    <row r="1193" spans="1:8" x14ac:dyDescent="0.25">
      <c r="A1193" t="s">
        <v>338</v>
      </c>
      <c r="B1193">
        <v>136074</v>
      </c>
      <c r="C1193" s="4">
        <v>93.84</v>
      </c>
      <c r="D1193" s="1">
        <v>44375</v>
      </c>
      <c r="E1193" t="str">
        <f>"8182155311"</f>
        <v>8182155311</v>
      </c>
      <c r="F1193" t="str">
        <f>"CUST#16156071"</f>
        <v>CUST#16156071</v>
      </c>
      <c r="G1193" s="4">
        <v>93.84</v>
      </c>
      <c r="H1193" t="str">
        <f>"CUST#16156071"</f>
        <v>CUST#16156071</v>
      </c>
    </row>
    <row r="1194" spans="1:8" x14ac:dyDescent="0.25">
      <c r="A1194" t="s">
        <v>339</v>
      </c>
      <c r="B1194">
        <v>135930</v>
      </c>
      <c r="C1194" s="4">
        <v>550</v>
      </c>
      <c r="D1194" s="1">
        <v>44361</v>
      </c>
      <c r="E1194" t="str">
        <f>"4419"</f>
        <v>4419</v>
      </c>
      <c r="F1194" t="str">
        <f>"JANINE FEMINELLA"</f>
        <v>JANINE FEMINELLA</v>
      </c>
      <c r="G1194" s="4">
        <v>550</v>
      </c>
      <c r="H1194" t="str">
        <f>"Decals"</f>
        <v>Decals</v>
      </c>
    </row>
    <row r="1195" spans="1:8" x14ac:dyDescent="0.25">
      <c r="A1195" t="s">
        <v>340</v>
      </c>
      <c r="B1195">
        <v>135931</v>
      </c>
      <c r="C1195" s="4">
        <v>363</v>
      </c>
      <c r="D1195" s="1">
        <v>44361</v>
      </c>
      <c r="E1195" t="str">
        <f>"202106093859"</f>
        <v>202106093859</v>
      </c>
      <c r="F1195" t="str">
        <f>"JAIL MEDICAL"</f>
        <v>JAIL MEDICAL</v>
      </c>
      <c r="G1195" s="4">
        <v>363</v>
      </c>
      <c r="H1195" t="str">
        <f>"JAIL MEDICAL"</f>
        <v>JAIL MEDICAL</v>
      </c>
    </row>
    <row r="1196" spans="1:8" x14ac:dyDescent="0.25">
      <c r="A1196" t="s">
        <v>341</v>
      </c>
      <c r="B1196">
        <v>135753</v>
      </c>
      <c r="C1196" s="4">
        <v>94.66</v>
      </c>
      <c r="D1196" s="1">
        <v>44357</v>
      </c>
      <c r="E1196" t="str">
        <f>"36286"</f>
        <v>36286</v>
      </c>
      <c r="F1196" t="str">
        <f>"STATEMENT#36286/PCT#2"</f>
        <v>STATEMENT#36286/PCT#2</v>
      </c>
      <c r="G1196" s="4">
        <v>94.66</v>
      </c>
      <c r="H1196" t="str">
        <f>"SMITH STORES  INC."</f>
        <v>SMITH STORES  INC.</v>
      </c>
    </row>
    <row r="1197" spans="1:8" x14ac:dyDescent="0.25">
      <c r="A1197" t="s">
        <v>341</v>
      </c>
      <c r="B1197">
        <v>135932</v>
      </c>
      <c r="C1197" s="4">
        <v>245.66</v>
      </c>
      <c r="D1197" s="1">
        <v>44361</v>
      </c>
      <c r="E1197" t="str">
        <f>"36540"</f>
        <v>36540</v>
      </c>
      <c r="F1197" t="str">
        <f>"SMITH STORES/PCT#2"</f>
        <v>SMITH STORES/PCT#2</v>
      </c>
      <c r="G1197" s="4">
        <v>245.66</v>
      </c>
      <c r="H1197" t="str">
        <f>"SMITH STORES/PCT#2"</f>
        <v>SMITH STORES/PCT#2</v>
      </c>
    </row>
    <row r="1198" spans="1:8" x14ac:dyDescent="0.25">
      <c r="A1198" t="s">
        <v>342</v>
      </c>
      <c r="B1198">
        <v>135933</v>
      </c>
      <c r="C1198" s="4">
        <v>1774.93</v>
      </c>
      <c r="D1198" s="1">
        <v>44361</v>
      </c>
      <c r="E1198" t="str">
        <f>"202106043701"</f>
        <v>202106043701</v>
      </c>
      <c r="F1198" t="str">
        <f>"ACCT#260/PCT#2"</f>
        <v>ACCT#260/PCT#2</v>
      </c>
      <c r="G1198" s="4">
        <v>1774.93</v>
      </c>
      <c r="H1198" t="str">
        <f>"ACCT#260/PCT#2"</f>
        <v>ACCT#260/PCT#2</v>
      </c>
    </row>
    <row r="1199" spans="1:8" x14ac:dyDescent="0.25">
      <c r="A1199" t="s">
        <v>343</v>
      </c>
      <c r="B1199">
        <v>135934</v>
      </c>
      <c r="C1199" s="4">
        <v>490.42</v>
      </c>
      <c r="D1199" s="1">
        <v>44361</v>
      </c>
      <c r="E1199" t="str">
        <f>"21T-1050"</f>
        <v>21T-1050</v>
      </c>
      <c r="F1199" t="str">
        <f>"MAY 2021 PERMIT NOW SOFTWARE"</f>
        <v>MAY 2021 PERMIT NOW SOFTWARE</v>
      </c>
      <c r="G1199" s="4">
        <v>490.42</v>
      </c>
      <c r="H1199" t="str">
        <f>"MAY 2021 PERMIT NOW SOFTWARE"</f>
        <v>MAY 2021 PERMIT NOW SOFTWARE</v>
      </c>
    </row>
    <row r="1200" spans="1:8" x14ac:dyDescent="0.25">
      <c r="A1200" t="s">
        <v>344</v>
      </c>
      <c r="B1200">
        <v>135935</v>
      </c>
      <c r="C1200" s="4">
        <v>896.76</v>
      </c>
      <c r="D1200" s="1">
        <v>44361</v>
      </c>
      <c r="E1200" t="str">
        <f>"24322"</f>
        <v>24322</v>
      </c>
      <c r="F1200" t="str">
        <f>"Scanner for DC"</f>
        <v>Scanner for DC</v>
      </c>
      <c r="G1200" s="4">
        <v>896.76</v>
      </c>
      <c r="H1200" t="str">
        <f>"Scanner for DC"</f>
        <v>Scanner for DC</v>
      </c>
    </row>
    <row r="1201" spans="1:8" x14ac:dyDescent="0.25">
      <c r="A1201" t="s">
        <v>345</v>
      </c>
      <c r="B1201">
        <v>135936</v>
      </c>
      <c r="C1201" s="4">
        <v>2721.82</v>
      </c>
      <c r="D1201" s="1">
        <v>44361</v>
      </c>
      <c r="E1201" t="str">
        <f>"4240022334"</f>
        <v>4240022334</v>
      </c>
      <c r="F1201" t="str">
        <f>"INV 4240022334"</f>
        <v>INV 4240022334</v>
      </c>
      <c r="G1201" s="4">
        <v>676.65</v>
      </c>
      <c r="H1201" t="str">
        <f>"INV 4240022334"</f>
        <v>INV 4240022334</v>
      </c>
    </row>
    <row r="1202" spans="1:8" x14ac:dyDescent="0.25">
      <c r="E1202" t="str">
        <f>"4240026966"</f>
        <v>4240026966</v>
      </c>
      <c r="F1202" t="str">
        <f>"INV 4240026966"</f>
        <v>INV 4240026966</v>
      </c>
      <c r="G1202" s="4">
        <v>559.20000000000005</v>
      </c>
      <c r="H1202" t="str">
        <f>"INV 4240026966"</f>
        <v>INV 4240026966</v>
      </c>
    </row>
    <row r="1203" spans="1:8" x14ac:dyDescent="0.25">
      <c r="E1203" t="str">
        <f>"4240027210"</f>
        <v>4240027210</v>
      </c>
      <c r="F1203" t="str">
        <f>"INV 4240027210"</f>
        <v>INV 4240027210</v>
      </c>
      <c r="G1203" s="4">
        <v>995.2</v>
      </c>
      <c r="H1203" t="str">
        <f>"INV 4240027210"</f>
        <v>INV 4240027210</v>
      </c>
    </row>
    <row r="1204" spans="1:8" x14ac:dyDescent="0.25">
      <c r="E1204" t="str">
        <f>"4240027627"</f>
        <v>4240027627</v>
      </c>
      <c r="F1204" t="str">
        <f>"INV 4240027627"</f>
        <v>INV 4240027627</v>
      </c>
      <c r="G1204" s="4">
        <v>245.32</v>
      </c>
      <c r="H1204" t="str">
        <f>"INV 4240027627"</f>
        <v>INV 4240027627</v>
      </c>
    </row>
    <row r="1205" spans="1:8" x14ac:dyDescent="0.25">
      <c r="E1205" t="str">
        <f>"4650077418"</f>
        <v>4650077418</v>
      </c>
      <c r="F1205" t="str">
        <f>"CUST#0052158/PCT#4"</f>
        <v>CUST#0052158/PCT#4</v>
      </c>
      <c r="G1205" s="4">
        <v>245.45</v>
      </c>
      <c r="H1205" t="str">
        <f>"CUST#0052158/PCT#4"</f>
        <v>CUST#0052158/PCT#4</v>
      </c>
    </row>
    <row r="1206" spans="1:8" x14ac:dyDescent="0.25">
      <c r="A1206" t="s">
        <v>345</v>
      </c>
      <c r="B1206">
        <v>136075</v>
      </c>
      <c r="C1206" s="4">
        <v>5634.35</v>
      </c>
      <c r="D1206" s="1">
        <v>44375</v>
      </c>
      <c r="E1206" t="str">
        <f>"4240028242"</f>
        <v>4240028242</v>
      </c>
      <c r="F1206" t="str">
        <f>"INV 4240028242"</f>
        <v>INV 4240028242</v>
      </c>
      <c r="G1206" s="4">
        <v>1244</v>
      </c>
      <c r="H1206" t="str">
        <f>"INV 4240028242"</f>
        <v>INV 4240028242</v>
      </c>
    </row>
    <row r="1207" spans="1:8" x14ac:dyDescent="0.25">
      <c r="E1207" t="str">
        <f>"4650080030"</f>
        <v>4650080030</v>
      </c>
      <c r="F1207" t="str">
        <f>"CUST#0052157/PCT#3"</f>
        <v>CUST#0052157/PCT#3</v>
      </c>
      <c r="G1207" s="4">
        <v>1743.6</v>
      </c>
      <c r="H1207" t="str">
        <f>"CUST#0052157/PCT#3"</f>
        <v>CUST#0052157/PCT#3</v>
      </c>
    </row>
    <row r="1208" spans="1:8" x14ac:dyDescent="0.25">
      <c r="E1208" t="str">
        <f>"4650080035"</f>
        <v>4650080035</v>
      </c>
      <c r="F1208" t="str">
        <f>"CUST#0052157/PCT#3"</f>
        <v>CUST#0052157/PCT#3</v>
      </c>
      <c r="G1208" s="4">
        <v>940.9</v>
      </c>
      <c r="H1208" t="str">
        <f>"CUST#0052157/PCT#3"</f>
        <v>CUST#0052157/PCT#3</v>
      </c>
    </row>
    <row r="1209" spans="1:8" x14ac:dyDescent="0.25">
      <c r="E1209" t="str">
        <f>"4660030096"</f>
        <v>4660030096</v>
      </c>
      <c r="F1209" t="str">
        <f>"CUST#0052158/PCT#2"</f>
        <v>CUST#0052158/PCT#2</v>
      </c>
      <c r="G1209" s="4">
        <v>1223</v>
      </c>
      <c r="H1209" t="str">
        <f>"CUST#0052158/PCT#2"</f>
        <v>CUST#0052158/PCT#2</v>
      </c>
    </row>
    <row r="1210" spans="1:8" x14ac:dyDescent="0.25">
      <c r="E1210" t="str">
        <f>"4660030371"</f>
        <v>4660030371</v>
      </c>
      <c r="F1210" t="str">
        <f>"CUST#0052158/PCT#2"</f>
        <v>CUST#0052158/PCT#2</v>
      </c>
      <c r="G1210" s="4">
        <v>264.95</v>
      </c>
      <c r="H1210" t="str">
        <f>"CUST#0052158/PCT#2"</f>
        <v>CUST#0052158/PCT#2</v>
      </c>
    </row>
    <row r="1211" spans="1:8" x14ac:dyDescent="0.25">
      <c r="E1211" t="str">
        <f>"4660030479"</f>
        <v>4660030479</v>
      </c>
      <c r="F1211" t="str">
        <f>"CUST#0052157/PCT#1"</f>
        <v>CUST#0052157/PCT#1</v>
      </c>
      <c r="G1211" s="4">
        <v>217.9</v>
      </c>
      <c r="H1211" t="str">
        <f>"CUST#0052157/PCT#1"</f>
        <v>CUST#0052157/PCT#1</v>
      </c>
    </row>
    <row r="1212" spans="1:8" x14ac:dyDescent="0.25">
      <c r="A1212" t="s">
        <v>346</v>
      </c>
      <c r="B1212">
        <v>135937</v>
      </c>
      <c r="C1212" s="4">
        <v>2707.44</v>
      </c>
      <c r="D1212" s="1">
        <v>44361</v>
      </c>
      <c r="E1212" t="str">
        <f>"202106093858"</f>
        <v>202106093858</v>
      </c>
      <c r="F1212" t="str">
        <f>"JAIL MEDICAL"</f>
        <v>JAIL MEDICAL</v>
      </c>
      <c r="G1212" s="4">
        <v>2707.44</v>
      </c>
      <c r="H1212" t="str">
        <f>"JAIL MEDICAL"</f>
        <v>JAIL MEDICAL</v>
      </c>
    </row>
    <row r="1213" spans="1:8" x14ac:dyDescent="0.25">
      <c r="A1213" t="s">
        <v>347</v>
      </c>
      <c r="B1213">
        <v>135938</v>
      </c>
      <c r="C1213" s="4">
        <v>1571.53</v>
      </c>
      <c r="D1213" s="1">
        <v>44361</v>
      </c>
      <c r="E1213" t="str">
        <f>"8062454224"</f>
        <v>8062454224</v>
      </c>
      <c r="F1213" t="str">
        <f>"Statement"</f>
        <v>Statement</v>
      </c>
      <c r="G1213" s="4">
        <v>1571.53</v>
      </c>
      <c r="H1213" t="str">
        <f>"3478755224"</f>
        <v>3478755224</v>
      </c>
    </row>
    <row r="1214" spans="1:8" x14ac:dyDescent="0.25">
      <c r="E1214" t="str">
        <f>""</f>
        <v/>
      </c>
      <c r="F1214" t="str">
        <f>""</f>
        <v/>
      </c>
      <c r="H1214" t="str">
        <f>"3478755222"</f>
        <v>3478755222</v>
      </c>
    </row>
    <row r="1215" spans="1:8" x14ac:dyDescent="0.25">
      <c r="E1215" t="str">
        <f>""</f>
        <v/>
      </c>
      <c r="F1215" t="str">
        <f>""</f>
        <v/>
      </c>
      <c r="H1215" t="str">
        <f>"3478755220"</f>
        <v>3478755220</v>
      </c>
    </row>
    <row r="1216" spans="1:8" x14ac:dyDescent="0.25">
      <c r="E1216" t="str">
        <f>""</f>
        <v/>
      </c>
      <c r="F1216" t="str">
        <f>""</f>
        <v/>
      </c>
      <c r="H1216" t="str">
        <f>"3478755221"</f>
        <v>3478755221</v>
      </c>
    </row>
    <row r="1217" spans="1:8" x14ac:dyDescent="0.25">
      <c r="E1217" t="str">
        <f>""</f>
        <v/>
      </c>
      <c r="F1217" t="str">
        <f>""</f>
        <v/>
      </c>
      <c r="H1217" t="str">
        <f>"3478755230"</f>
        <v>3478755230</v>
      </c>
    </row>
    <row r="1218" spans="1:8" x14ac:dyDescent="0.25">
      <c r="E1218" t="str">
        <f>""</f>
        <v/>
      </c>
      <c r="F1218" t="str">
        <f>""</f>
        <v/>
      </c>
      <c r="H1218" t="str">
        <f>"3478755223"</f>
        <v>3478755223</v>
      </c>
    </row>
    <row r="1219" spans="1:8" x14ac:dyDescent="0.25">
      <c r="E1219" t="str">
        <f>""</f>
        <v/>
      </c>
      <c r="F1219" t="str">
        <f>""</f>
        <v/>
      </c>
      <c r="H1219" t="str">
        <f>"3478755226"</f>
        <v>3478755226</v>
      </c>
    </row>
    <row r="1220" spans="1:8" x14ac:dyDescent="0.25">
      <c r="E1220" t="str">
        <f>""</f>
        <v/>
      </c>
      <c r="F1220" t="str">
        <f>""</f>
        <v/>
      </c>
      <c r="H1220" t="str">
        <f>"3478755227"</f>
        <v>3478755227</v>
      </c>
    </row>
    <row r="1221" spans="1:8" x14ac:dyDescent="0.25">
      <c r="E1221" t="str">
        <f>""</f>
        <v/>
      </c>
      <c r="F1221" t="str">
        <f>""</f>
        <v/>
      </c>
      <c r="H1221" t="str">
        <f>"3478755228"</f>
        <v>3478755228</v>
      </c>
    </row>
    <row r="1222" spans="1:8" x14ac:dyDescent="0.25">
      <c r="E1222" t="str">
        <f>""</f>
        <v/>
      </c>
      <c r="F1222" t="str">
        <f>""</f>
        <v/>
      </c>
      <c r="H1222" t="str">
        <f>"3478755229"</f>
        <v>3478755229</v>
      </c>
    </row>
    <row r="1223" spans="1:8" x14ac:dyDescent="0.25">
      <c r="E1223" t="str">
        <f>""</f>
        <v/>
      </c>
      <c r="F1223" t="str">
        <f>""</f>
        <v/>
      </c>
      <c r="H1223" t="str">
        <f>"3478755225"</f>
        <v>3478755225</v>
      </c>
    </row>
    <row r="1224" spans="1:8" x14ac:dyDescent="0.25">
      <c r="A1224" t="s">
        <v>347</v>
      </c>
      <c r="B1224">
        <v>136076</v>
      </c>
      <c r="C1224" s="4">
        <v>1423.02</v>
      </c>
      <c r="D1224" s="1">
        <v>44375</v>
      </c>
      <c r="E1224" t="str">
        <f>"8062586876"</f>
        <v>8062586876</v>
      </c>
      <c r="F1224" t="str">
        <f>"Statement"</f>
        <v>Statement</v>
      </c>
      <c r="G1224" s="4">
        <v>1423.02</v>
      </c>
      <c r="H1224" t="str">
        <f>"3479610178"</f>
        <v>3479610178</v>
      </c>
    </row>
    <row r="1225" spans="1:8" x14ac:dyDescent="0.25">
      <c r="E1225" t="str">
        <f>""</f>
        <v/>
      </c>
      <c r="F1225" t="str">
        <f>""</f>
        <v/>
      </c>
      <c r="H1225" t="str">
        <f>"3479610179"</f>
        <v>3479610179</v>
      </c>
    </row>
    <row r="1226" spans="1:8" x14ac:dyDescent="0.25">
      <c r="E1226" t="str">
        <f>""</f>
        <v/>
      </c>
      <c r="F1226" t="str">
        <f>""</f>
        <v/>
      </c>
      <c r="H1226" t="str">
        <f>"3479610180"</f>
        <v>3479610180</v>
      </c>
    </row>
    <row r="1227" spans="1:8" x14ac:dyDescent="0.25">
      <c r="E1227" t="str">
        <f>""</f>
        <v/>
      </c>
      <c r="F1227" t="str">
        <f>""</f>
        <v/>
      </c>
      <c r="H1227" t="str">
        <f>"3479610181"</f>
        <v>3479610181</v>
      </c>
    </row>
    <row r="1228" spans="1:8" x14ac:dyDescent="0.25">
      <c r="E1228" t="str">
        <f>""</f>
        <v/>
      </c>
      <c r="F1228" t="str">
        <f>""</f>
        <v/>
      </c>
      <c r="H1228" t="str">
        <f>"3479610182"</f>
        <v>3479610182</v>
      </c>
    </row>
    <row r="1229" spans="1:8" x14ac:dyDescent="0.25">
      <c r="E1229" t="str">
        <f>""</f>
        <v/>
      </c>
      <c r="F1229" t="str">
        <f>""</f>
        <v/>
      </c>
      <c r="H1229" t="str">
        <f>"3479610186"</f>
        <v>3479610186</v>
      </c>
    </row>
    <row r="1230" spans="1:8" x14ac:dyDescent="0.25">
      <c r="E1230" t="str">
        <f>""</f>
        <v/>
      </c>
      <c r="F1230" t="str">
        <f>""</f>
        <v/>
      </c>
      <c r="H1230" t="str">
        <f>"3479610187"</f>
        <v>3479610187</v>
      </c>
    </row>
    <row r="1231" spans="1:8" x14ac:dyDescent="0.25">
      <c r="E1231" t="str">
        <f>""</f>
        <v/>
      </c>
      <c r="F1231" t="str">
        <f>""</f>
        <v/>
      </c>
      <c r="H1231" t="str">
        <f>"3479610188"</f>
        <v>3479610188</v>
      </c>
    </row>
    <row r="1232" spans="1:8" x14ac:dyDescent="0.25">
      <c r="E1232" t="str">
        <f>""</f>
        <v/>
      </c>
      <c r="F1232" t="str">
        <f>""</f>
        <v/>
      </c>
      <c r="H1232" t="str">
        <f>"3479610183"</f>
        <v>3479610183</v>
      </c>
    </row>
    <row r="1233" spans="1:8" x14ac:dyDescent="0.25">
      <c r="E1233" t="str">
        <f>""</f>
        <v/>
      </c>
      <c r="F1233" t="str">
        <f>""</f>
        <v/>
      </c>
      <c r="H1233" t="str">
        <f>"3479610184"</f>
        <v>3479610184</v>
      </c>
    </row>
    <row r="1234" spans="1:8" x14ac:dyDescent="0.25">
      <c r="E1234" t="str">
        <f>""</f>
        <v/>
      </c>
      <c r="F1234" t="str">
        <f>""</f>
        <v/>
      </c>
      <c r="H1234" t="str">
        <f>"3479610185"</f>
        <v>3479610185</v>
      </c>
    </row>
    <row r="1235" spans="1:8" x14ac:dyDescent="0.25">
      <c r="A1235" t="s">
        <v>348</v>
      </c>
      <c r="B1235">
        <v>136078</v>
      </c>
      <c r="C1235" s="4">
        <v>620.47</v>
      </c>
      <c r="D1235" s="1">
        <v>44375</v>
      </c>
      <c r="E1235" t="str">
        <f>"202106214097"</f>
        <v>202106214097</v>
      </c>
      <c r="F1235" t="str">
        <f>"MAY 2021"</f>
        <v>MAY 2021</v>
      </c>
      <c r="G1235" s="4">
        <v>620.47</v>
      </c>
      <c r="H1235" t="str">
        <f>"MAY 2021"</f>
        <v>MAY 2021</v>
      </c>
    </row>
    <row r="1236" spans="1:8" x14ac:dyDescent="0.25">
      <c r="A1236" t="s">
        <v>349</v>
      </c>
      <c r="B1236">
        <v>136079</v>
      </c>
      <c r="C1236" s="4">
        <v>161</v>
      </c>
      <c r="D1236" s="1">
        <v>44375</v>
      </c>
      <c r="E1236" t="str">
        <f>"202106164005"</f>
        <v>202106164005</v>
      </c>
      <c r="F1236" t="str">
        <f>"REIMBURSEMENT/STEFANIE LEE"</f>
        <v>REIMBURSEMENT/STEFANIE LEE</v>
      </c>
      <c r="G1236" s="4">
        <v>161</v>
      </c>
      <c r="H1236" t="str">
        <f>"REIMBURSEMENT/STEFANIE LEE"</f>
        <v>REIMBURSEMENT/STEFANIE LEE</v>
      </c>
    </row>
    <row r="1237" spans="1:8" x14ac:dyDescent="0.25">
      <c r="A1237" t="s">
        <v>350</v>
      </c>
      <c r="B1237">
        <v>135939</v>
      </c>
      <c r="C1237" s="4">
        <v>834.29</v>
      </c>
      <c r="D1237" s="1">
        <v>44361</v>
      </c>
      <c r="E1237" t="str">
        <f>"4010146577"</f>
        <v>4010146577</v>
      </c>
      <c r="F1237" t="str">
        <f>"INV 4010146577"</f>
        <v>INV 4010146577</v>
      </c>
      <c r="G1237" s="4">
        <v>834.29</v>
      </c>
      <c r="H1237" t="str">
        <f>"INV 4010146577"</f>
        <v>INV 4010146577</v>
      </c>
    </row>
    <row r="1238" spans="1:8" x14ac:dyDescent="0.25">
      <c r="A1238" t="s">
        <v>351</v>
      </c>
      <c r="B1238">
        <v>4562</v>
      </c>
      <c r="C1238" s="4">
        <v>637</v>
      </c>
      <c r="D1238" s="1">
        <v>44362</v>
      </c>
      <c r="E1238" t="str">
        <f>"202106073754"</f>
        <v>202106073754</v>
      </c>
      <c r="F1238" t="str">
        <f>"TRASH REMOVAL/STEVE GRANADO"</f>
        <v>TRASH REMOVAL/STEVE GRANADO</v>
      </c>
      <c r="G1238" s="4">
        <v>338</v>
      </c>
      <c r="H1238" t="str">
        <f>"TRASH REMOVAL/STEVE GRANADO"</f>
        <v>TRASH REMOVAL/STEVE GRANADO</v>
      </c>
    </row>
    <row r="1239" spans="1:8" x14ac:dyDescent="0.25">
      <c r="E1239" t="str">
        <f>"202106073755"</f>
        <v>202106073755</v>
      </c>
      <c r="F1239" t="str">
        <f>"TRASH REMOVAL/STEVE GRANADO"</f>
        <v>TRASH REMOVAL/STEVE GRANADO</v>
      </c>
      <c r="G1239" s="4">
        <v>299</v>
      </c>
      <c r="H1239" t="str">
        <f>"TRASH REMOVAL/STEVE GRANADO"</f>
        <v>TRASH REMOVAL/STEVE GRANADO</v>
      </c>
    </row>
    <row r="1240" spans="1:8" x14ac:dyDescent="0.25">
      <c r="A1240" t="s">
        <v>351</v>
      </c>
      <c r="B1240">
        <v>4646</v>
      </c>
      <c r="C1240" s="4">
        <v>396.5</v>
      </c>
      <c r="D1240" s="1">
        <v>44376</v>
      </c>
      <c r="E1240" t="str">
        <f>"202106234161"</f>
        <v>202106234161</v>
      </c>
      <c r="F1240" t="str">
        <f>"TRASH REMOVAL/STEVE GRANADO"</f>
        <v>TRASH REMOVAL/STEVE GRANADO</v>
      </c>
      <c r="G1240" s="4">
        <v>396.5</v>
      </c>
      <c r="H1240" t="str">
        <f>"TRASH REMOVAL/STEVE GRANADO"</f>
        <v>TRASH REMOVAL/STEVE GRANADO</v>
      </c>
    </row>
    <row r="1241" spans="1:8" x14ac:dyDescent="0.25">
      <c r="A1241" t="s">
        <v>352</v>
      </c>
      <c r="B1241">
        <v>136080</v>
      </c>
      <c r="C1241" s="4">
        <v>780</v>
      </c>
      <c r="D1241" s="1">
        <v>44375</v>
      </c>
      <c r="E1241" t="str">
        <f>"202106174093"</f>
        <v>202106174093</v>
      </c>
      <c r="F1241" t="str">
        <f>"REIMBURSE/STEVEN A LONG"</f>
        <v>REIMBURSE/STEVEN A LONG</v>
      </c>
      <c r="G1241" s="4">
        <v>780</v>
      </c>
      <c r="H1241" t="str">
        <f>"REIMBURSE/STEVEN A LONG"</f>
        <v>REIMBURSE/STEVEN A LONG</v>
      </c>
    </row>
    <row r="1242" spans="1:8" x14ac:dyDescent="0.25">
      <c r="A1242" t="s">
        <v>353</v>
      </c>
      <c r="B1242">
        <v>135940</v>
      </c>
      <c r="C1242" s="4">
        <v>327.5</v>
      </c>
      <c r="D1242" s="1">
        <v>44361</v>
      </c>
      <c r="E1242" t="str">
        <f>"0513767"</f>
        <v>0513767</v>
      </c>
      <c r="F1242" t="str">
        <f>"ACCT#234219/ICE MACHINE"</f>
        <v>ACCT#234219/ICE MACHINE</v>
      </c>
      <c r="G1242" s="4">
        <v>327.5</v>
      </c>
      <c r="H1242" t="str">
        <f>"ACCT#234219/ICE MACHINE"</f>
        <v>ACCT#234219/ICE MACHINE</v>
      </c>
    </row>
    <row r="1243" spans="1:8" x14ac:dyDescent="0.25">
      <c r="A1243" t="s">
        <v>354</v>
      </c>
      <c r="B1243">
        <v>135941</v>
      </c>
      <c r="C1243" s="4">
        <v>1017</v>
      </c>
      <c r="D1243" s="1">
        <v>44361</v>
      </c>
      <c r="E1243" t="str">
        <f>"20210526B"</f>
        <v>20210526B</v>
      </c>
      <c r="F1243" t="str">
        <f>"INV 20210526B"</f>
        <v>INV 20210526B</v>
      </c>
      <c r="G1243" s="4">
        <v>1017</v>
      </c>
      <c r="H1243" t="str">
        <f>"INV 20210526B"</f>
        <v>INV 20210526B</v>
      </c>
    </row>
    <row r="1244" spans="1:8" x14ac:dyDescent="0.25">
      <c r="A1244" t="s">
        <v>355</v>
      </c>
      <c r="B1244">
        <v>4666</v>
      </c>
      <c r="C1244" s="4">
        <v>9906.61</v>
      </c>
      <c r="D1244" s="1">
        <v>44376</v>
      </c>
      <c r="E1244" t="str">
        <f>"96066012"</f>
        <v>96066012</v>
      </c>
      <c r="F1244" t="str">
        <f>"ACCT#10187718/PCT#2"</f>
        <v>ACCT#10187718/PCT#2</v>
      </c>
      <c r="G1244" s="4">
        <v>2877.58</v>
      </c>
      <c r="H1244" t="str">
        <f>"ACCT#10187718/PCT#2"</f>
        <v>ACCT#10187718/PCT#2</v>
      </c>
    </row>
    <row r="1245" spans="1:8" x14ac:dyDescent="0.25">
      <c r="E1245" t="str">
        <f>"96078600"</f>
        <v>96078600</v>
      </c>
      <c r="F1245" t="str">
        <f>"ACCT#10187718/PCT#2"</f>
        <v>ACCT#10187718/PCT#2</v>
      </c>
      <c r="G1245" s="4">
        <v>3372.37</v>
      </c>
      <c r="H1245" t="str">
        <f>"ACCT#10187718/PCT#2"</f>
        <v>ACCT#10187718/PCT#2</v>
      </c>
    </row>
    <row r="1246" spans="1:8" x14ac:dyDescent="0.25">
      <c r="E1246" t="str">
        <f>"96090785"</f>
        <v>96090785</v>
      </c>
      <c r="F1246" t="str">
        <f>"ACCT#10187718/PCT#2"</f>
        <v>ACCT#10187718/PCT#2</v>
      </c>
      <c r="G1246" s="4">
        <v>3656.66</v>
      </c>
      <c r="H1246" t="str">
        <f>"ACCT#10187718/PCT#2"</f>
        <v>ACCT#10187718/PCT#2</v>
      </c>
    </row>
    <row r="1247" spans="1:8" x14ac:dyDescent="0.25">
      <c r="A1247" t="s">
        <v>356</v>
      </c>
      <c r="B1247">
        <v>4669</v>
      </c>
      <c r="C1247" s="4">
        <v>645</v>
      </c>
      <c r="D1247" s="1">
        <v>44376</v>
      </c>
      <c r="E1247" t="str">
        <f>"7984"</f>
        <v>7984</v>
      </c>
      <c r="F1247" t="str">
        <f>"ZEP CLEAN/PCT#4"</f>
        <v>ZEP CLEAN/PCT#4</v>
      </c>
      <c r="G1247" s="4">
        <v>145</v>
      </c>
      <c r="H1247" t="str">
        <f>"ZEP CLEAN/PCT#4"</f>
        <v>ZEP CLEAN/PCT#4</v>
      </c>
    </row>
    <row r="1248" spans="1:8" x14ac:dyDescent="0.25">
      <c r="E1248" t="str">
        <f>"7985"</f>
        <v>7985</v>
      </c>
      <c r="F1248" t="str">
        <f>"ZEP BIG ORANGE/PCT#4"</f>
        <v>ZEP BIG ORANGE/PCT#4</v>
      </c>
      <c r="G1248" s="4">
        <v>500</v>
      </c>
      <c r="H1248" t="str">
        <f>"ZEP BIG ORANGE/PCT#4"</f>
        <v>ZEP BIG ORANGE/PCT#4</v>
      </c>
    </row>
    <row r="1249" spans="1:8" x14ac:dyDescent="0.25">
      <c r="A1249" t="s">
        <v>357</v>
      </c>
      <c r="B1249">
        <v>135942</v>
      </c>
      <c r="C1249" s="4">
        <v>180</v>
      </c>
      <c r="D1249" s="1">
        <v>44361</v>
      </c>
      <c r="E1249" t="str">
        <f>"202105273449"</f>
        <v>202105273449</v>
      </c>
      <c r="F1249" t="str">
        <f>"TAAO MEMBERSHIP/PATSY MIRELES"</f>
        <v>TAAO MEMBERSHIP/PATSY MIRELES</v>
      </c>
      <c r="G1249" s="8">
        <v>90</v>
      </c>
      <c r="H1249" t="str">
        <f>"TAAO MEMBERSHIP/PATSY MIRELES"</f>
        <v>TAAO MEMBERSHIP/PATSY MIRELES</v>
      </c>
    </row>
    <row r="1250" spans="1:8" x14ac:dyDescent="0.25">
      <c r="E1250" t="str">
        <f>"202105273450"</f>
        <v>202105273450</v>
      </c>
      <c r="F1250" t="str">
        <f>"TAAO MEMBERSHIP/ESMERALDA O."</f>
        <v>TAAO MEMBERSHIP/ESMERALDA O.</v>
      </c>
      <c r="G1250" s="8">
        <v>90</v>
      </c>
      <c r="H1250" t="str">
        <f>"TAAO MEMBERSHIP/ESMERALDA O."</f>
        <v>TAAO MEMBERSHIP/ESMERALDA O.</v>
      </c>
    </row>
    <row r="1251" spans="1:8" x14ac:dyDescent="0.25">
      <c r="A1251" t="s">
        <v>358</v>
      </c>
      <c r="B1251">
        <v>4576</v>
      </c>
      <c r="C1251" s="4">
        <v>53.36</v>
      </c>
      <c r="D1251" s="1">
        <v>44362</v>
      </c>
      <c r="E1251" t="str">
        <f>"21060204"</f>
        <v>21060204</v>
      </c>
      <c r="F1251" t="str">
        <f>"SERVICE CONTRACT 6/1/21"</f>
        <v>SERVICE CONTRACT 6/1/21</v>
      </c>
      <c r="G1251" s="4">
        <v>53.36</v>
      </c>
      <c r="H1251" t="str">
        <f>"SERVICE CONTRACT 6/1/21"</f>
        <v>SERVICE CONTRACT 6/1/21</v>
      </c>
    </row>
    <row r="1252" spans="1:8" x14ac:dyDescent="0.25">
      <c r="A1252" t="s">
        <v>358</v>
      </c>
      <c r="B1252">
        <v>4655</v>
      </c>
      <c r="C1252" s="4">
        <v>1140</v>
      </c>
      <c r="D1252" s="1">
        <v>44376</v>
      </c>
      <c r="E1252" t="str">
        <f>"202106163997"</f>
        <v>202106163997</v>
      </c>
      <c r="F1252" t="str">
        <f>"AUGUST 2021/COUNTY CLERK"</f>
        <v>AUGUST 2021/COUNTY CLERK</v>
      </c>
      <c r="G1252" s="4">
        <v>1140</v>
      </c>
      <c r="H1252" t="str">
        <f>"AUGUST 2021/COUNTY CLERK"</f>
        <v>AUGUST 2021/COUNTY CLERK</v>
      </c>
    </row>
    <row r="1253" spans="1:8" x14ac:dyDescent="0.25">
      <c r="A1253" t="s">
        <v>359</v>
      </c>
      <c r="B1253">
        <v>135752</v>
      </c>
      <c r="C1253" s="4">
        <v>35</v>
      </c>
      <c r="D1253" s="1">
        <v>44356</v>
      </c>
      <c r="E1253" t="str">
        <f>"202106093866"</f>
        <v>202106093866</v>
      </c>
      <c r="F1253" t="str">
        <f>"APPLICATION FEE/MARK WOBUS"</f>
        <v>APPLICATION FEE/MARK WOBUS</v>
      </c>
      <c r="G1253" s="4">
        <v>35</v>
      </c>
      <c r="H1253" t="str">
        <f>"TEXAS COMMISSION ON LAW ENFORC"</f>
        <v>TEXAS COMMISSION ON LAW ENFORC</v>
      </c>
    </row>
    <row r="1254" spans="1:8" x14ac:dyDescent="0.25">
      <c r="A1254" t="s">
        <v>359</v>
      </c>
      <c r="B1254">
        <v>135943</v>
      </c>
      <c r="C1254" s="4">
        <v>175</v>
      </c>
      <c r="D1254" s="1">
        <v>44361</v>
      </c>
      <c r="E1254" t="str">
        <f>"21-0069"</f>
        <v>21-0069</v>
      </c>
      <c r="F1254" t="str">
        <f>"INV 21-0069"</f>
        <v>INV 21-0069</v>
      </c>
      <c r="G1254" s="4">
        <v>175</v>
      </c>
      <c r="H1254" t="str">
        <f>"INV 21-0069"</f>
        <v>INV 21-0069</v>
      </c>
    </row>
    <row r="1255" spans="1:8" x14ac:dyDescent="0.25">
      <c r="A1255" t="s">
        <v>360</v>
      </c>
      <c r="B1255">
        <v>136081</v>
      </c>
      <c r="C1255" s="4">
        <v>800</v>
      </c>
      <c r="D1255" s="1">
        <v>44375</v>
      </c>
      <c r="E1255" t="str">
        <f>"184617"</f>
        <v>184617</v>
      </c>
      <c r="F1255" t="str">
        <f>"TRAINING/DAVID LEWIS"</f>
        <v>TRAINING/DAVID LEWIS</v>
      </c>
      <c r="G1255" s="4">
        <v>350</v>
      </c>
      <c r="H1255" t="str">
        <f>"TRAINING/DAVID LEWIS"</f>
        <v>TRAINING/DAVID LEWIS</v>
      </c>
    </row>
    <row r="1256" spans="1:8" x14ac:dyDescent="0.25">
      <c r="E1256" t="str">
        <f>"185923"</f>
        <v>185923</v>
      </c>
      <c r="F1256" t="str">
        <f>"TRAINING/DAVID LEWIS"</f>
        <v>TRAINING/DAVID LEWIS</v>
      </c>
      <c r="G1256" s="4">
        <v>100</v>
      </c>
      <c r="H1256" t="str">
        <f>"TRAINING/DAVID LEWIS"</f>
        <v>TRAINING/DAVID LEWIS</v>
      </c>
    </row>
    <row r="1257" spans="1:8" x14ac:dyDescent="0.25">
      <c r="E1257" t="str">
        <f>"185931"</f>
        <v>185931</v>
      </c>
      <c r="F1257" t="str">
        <f>"TRAINING/CONNIE RABEL"</f>
        <v>TRAINING/CONNIE RABEL</v>
      </c>
      <c r="G1257" s="4">
        <v>350</v>
      </c>
      <c r="H1257" t="str">
        <f>"TRAINING/CONNIE RABEL"</f>
        <v>TRAINING/CONNIE RABEL</v>
      </c>
    </row>
    <row r="1258" spans="1:8" x14ac:dyDescent="0.25">
      <c r="A1258" t="s">
        <v>361</v>
      </c>
      <c r="B1258">
        <v>1118</v>
      </c>
      <c r="C1258" s="4">
        <v>0</v>
      </c>
      <c r="D1258" s="1">
        <v>44362</v>
      </c>
      <c r="E1258" t="str">
        <f>"202106153961"</f>
        <v>202106153961</v>
      </c>
      <c r="F1258" t="str">
        <f>"ACCT# 72-56313 / 06032021"</f>
        <v>ACCT# 72-56313 / 06032021</v>
      </c>
      <c r="G1258" s="4">
        <v>-300</v>
      </c>
      <c r="H1258" t="str">
        <f>"ACCT# 72-56313 / 06032021"</f>
        <v>ACCT# 72-56313 / 06032021</v>
      </c>
    </row>
    <row r="1259" spans="1:8" x14ac:dyDescent="0.25">
      <c r="E1259" t="str">
        <f>"202106143935"</f>
        <v>202106143935</v>
      </c>
      <c r="F1259" t="str">
        <f>"ACCT #72-56313 / 06/03/2021"</f>
        <v>ACCT #72-56313 / 06/03/2021</v>
      </c>
      <c r="G1259" s="4">
        <v>300</v>
      </c>
      <c r="H1259" t="str">
        <f>"ACCT #72-56313 / 06/03/2021"</f>
        <v>ACCT #72-56313 / 06/03/2021</v>
      </c>
    </row>
    <row r="1260" spans="1:8" x14ac:dyDescent="0.25">
      <c r="A1260" t="s">
        <v>362</v>
      </c>
      <c r="B1260">
        <v>4694</v>
      </c>
      <c r="C1260" s="4">
        <v>221</v>
      </c>
      <c r="D1260" s="1">
        <v>44376</v>
      </c>
      <c r="E1260" t="str">
        <f>"2107069"</f>
        <v>2107069</v>
      </c>
      <c r="F1260" t="str">
        <f>"MONTHLY BILLING"</f>
        <v>MONTHLY BILLING</v>
      </c>
      <c r="G1260" s="4">
        <v>221</v>
      </c>
      <c r="H1260" t="str">
        <f>"MONTHLY BILLING"</f>
        <v>MONTHLY BILLING</v>
      </c>
    </row>
    <row r="1261" spans="1:8" x14ac:dyDescent="0.25">
      <c r="A1261" t="s">
        <v>363</v>
      </c>
      <c r="B1261">
        <v>135944</v>
      </c>
      <c r="C1261" s="4">
        <v>657.47</v>
      </c>
      <c r="D1261" s="1">
        <v>44361</v>
      </c>
      <c r="E1261" t="str">
        <f>"423057"</f>
        <v>423057</v>
      </c>
      <c r="F1261" t="str">
        <f>"Air Filters"</f>
        <v>Air Filters</v>
      </c>
      <c r="G1261" s="4">
        <v>657.47</v>
      </c>
      <c r="H1261" t="str">
        <f>"10x32x1/2Polyester"</f>
        <v>10x32x1/2Polyester</v>
      </c>
    </row>
    <row r="1262" spans="1:8" x14ac:dyDescent="0.25">
      <c r="E1262" t="str">
        <f>""</f>
        <v/>
      </c>
      <c r="F1262" t="str">
        <f>""</f>
        <v/>
      </c>
      <c r="H1262" t="str">
        <f>"12x24x1Pleated"</f>
        <v>12x24x1Pleated</v>
      </c>
    </row>
    <row r="1263" spans="1:8" x14ac:dyDescent="0.25">
      <c r="E1263" t="str">
        <f>""</f>
        <v/>
      </c>
      <c r="F1263" t="str">
        <f>""</f>
        <v/>
      </c>
      <c r="H1263" t="str">
        <f>"14x20x1Pleated"</f>
        <v>14x20x1Pleated</v>
      </c>
    </row>
    <row r="1264" spans="1:8" x14ac:dyDescent="0.25">
      <c r="E1264" t="str">
        <f>""</f>
        <v/>
      </c>
      <c r="F1264" t="str">
        <f>""</f>
        <v/>
      </c>
      <c r="H1264" t="str">
        <f>"16x20x1Pleated"</f>
        <v>16x20x1Pleated</v>
      </c>
    </row>
    <row r="1265" spans="1:8" x14ac:dyDescent="0.25">
      <c r="E1265" t="str">
        <f>""</f>
        <v/>
      </c>
      <c r="F1265" t="str">
        <f>""</f>
        <v/>
      </c>
      <c r="H1265" t="str">
        <f>"20x20x1Pleated"</f>
        <v>20x20x1Pleated</v>
      </c>
    </row>
    <row r="1266" spans="1:8" x14ac:dyDescent="0.25">
      <c r="E1266" t="str">
        <f>""</f>
        <v/>
      </c>
      <c r="F1266" t="str">
        <f>""</f>
        <v/>
      </c>
      <c r="H1266" t="str">
        <f>"20x25x1Pleated"</f>
        <v>20x25x1Pleated</v>
      </c>
    </row>
    <row r="1267" spans="1:8" x14ac:dyDescent="0.25">
      <c r="E1267" t="str">
        <f>""</f>
        <v/>
      </c>
      <c r="F1267" t="str">
        <f>""</f>
        <v/>
      </c>
      <c r="H1267" t="str">
        <f>"20x25x2Pleated"</f>
        <v>20x25x2Pleated</v>
      </c>
    </row>
    <row r="1268" spans="1:8" x14ac:dyDescent="0.25">
      <c r="E1268" t="str">
        <f>""</f>
        <v/>
      </c>
      <c r="F1268" t="str">
        <f>""</f>
        <v/>
      </c>
      <c r="H1268" t="str">
        <f>"25x25x2Pleated"</f>
        <v>25x25x2Pleated</v>
      </c>
    </row>
    <row r="1269" spans="1:8" x14ac:dyDescent="0.25">
      <c r="E1269" t="str">
        <f>""</f>
        <v/>
      </c>
      <c r="F1269" t="str">
        <f>""</f>
        <v/>
      </c>
      <c r="H1269" t="str">
        <f>"30x30x1Pleated"</f>
        <v>30x30x1Pleated</v>
      </c>
    </row>
    <row r="1270" spans="1:8" x14ac:dyDescent="0.25">
      <c r="E1270" t="str">
        <f>""</f>
        <v/>
      </c>
      <c r="F1270" t="str">
        <f>""</f>
        <v/>
      </c>
      <c r="H1270" t="str">
        <f>"9x29x1/2Polyester"</f>
        <v>9x29x1/2Polyester</v>
      </c>
    </row>
    <row r="1271" spans="1:8" x14ac:dyDescent="0.25">
      <c r="A1271" t="s">
        <v>364</v>
      </c>
      <c r="B1271">
        <v>135945</v>
      </c>
      <c r="C1271" s="4">
        <v>20475.509999999998</v>
      </c>
      <c r="D1271" s="1">
        <v>44361</v>
      </c>
      <c r="E1271" t="str">
        <f>"1089833-IN"</f>
        <v>1089833-IN</v>
      </c>
      <c r="F1271" t="str">
        <f>"ACCT#01-0112917/PCT#2"</f>
        <v>ACCT#01-0112917/PCT#2</v>
      </c>
      <c r="G1271" s="4">
        <v>2429.36</v>
      </c>
      <c r="H1271" t="str">
        <f>"ACCT#01-0112917/PCT#2"</f>
        <v>ACCT#01-0112917/PCT#2</v>
      </c>
    </row>
    <row r="1272" spans="1:8" x14ac:dyDescent="0.25">
      <c r="E1272" t="str">
        <f>"1091163-IN"</f>
        <v>1091163-IN</v>
      </c>
      <c r="F1272" t="str">
        <f>"ACCT#01-0112917/PCT#3"</f>
        <v>ACCT#01-0112917/PCT#3</v>
      </c>
      <c r="G1272" s="4">
        <v>3997.61</v>
      </c>
      <c r="H1272" t="str">
        <f>"ACCT#01-0112917/PCT#3"</f>
        <v>ACCT#01-0112917/PCT#3</v>
      </c>
    </row>
    <row r="1273" spans="1:8" x14ac:dyDescent="0.25">
      <c r="E1273" t="str">
        <f>"1092032-IN"</f>
        <v>1092032-IN</v>
      </c>
      <c r="F1273" t="str">
        <f>"ACCT#01-0112917/PCT#4"</f>
        <v>ACCT#01-0112917/PCT#4</v>
      </c>
      <c r="G1273" s="4">
        <v>4593.82</v>
      </c>
      <c r="H1273" t="str">
        <f>"ACCT#01-0112917/PCT#4"</f>
        <v>ACCT#01-0112917/PCT#4</v>
      </c>
    </row>
    <row r="1274" spans="1:8" x14ac:dyDescent="0.25">
      <c r="E1274" t="str">
        <f>"109481-IN"</f>
        <v>109481-IN</v>
      </c>
      <c r="F1274" t="str">
        <f>"ACCT#01-0112917/PCT#1"</f>
        <v>ACCT#01-0112917/PCT#1</v>
      </c>
      <c r="G1274" s="4">
        <v>4993.2</v>
      </c>
      <c r="H1274" t="str">
        <f>"ACCT#01-0112917/PCT#1"</f>
        <v>ACCT#01-0112917/PCT#1</v>
      </c>
    </row>
    <row r="1275" spans="1:8" x14ac:dyDescent="0.25">
      <c r="E1275" t="str">
        <f>"1095615-IN"</f>
        <v>1095615-IN</v>
      </c>
      <c r="F1275" t="str">
        <f>"ACCT#01-0112917/PCT#3"</f>
        <v>ACCT#01-0112917/PCT#3</v>
      </c>
      <c r="G1275" s="4">
        <v>3843.12</v>
      </c>
      <c r="H1275" t="str">
        <f>"ACCT#01-0112917/PCT#3"</f>
        <v>ACCT#01-0112917/PCT#3</v>
      </c>
    </row>
    <row r="1276" spans="1:8" x14ac:dyDescent="0.25">
      <c r="E1276" t="str">
        <f>"1095616"</f>
        <v>1095616</v>
      </c>
      <c r="F1276" t="str">
        <f>"INV 1095616-IN"</f>
        <v>INV 1095616-IN</v>
      </c>
      <c r="G1276" s="4">
        <v>618.4</v>
      </c>
      <c r="H1276" t="str">
        <f>"INV 1095616-IN"</f>
        <v>INV 1095616-IN</v>
      </c>
    </row>
    <row r="1277" spans="1:8" x14ac:dyDescent="0.25">
      <c r="A1277" t="s">
        <v>364</v>
      </c>
      <c r="B1277">
        <v>136082</v>
      </c>
      <c r="C1277" s="4">
        <v>10215.780000000001</v>
      </c>
      <c r="D1277" s="1">
        <v>44375</v>
      </c>
      <c r="E1277" t="str">
        <f>"1095372-IN"</f>
        <v>1095372-IN</v>
      </c>
      <c r="F1277" t="str">
        <f>"ACCT#01-0112917/PCT#3"</f>
        <v>ACCT#01-0112917/PCT#3</v>
      </c>
      <c r="G1277" s="4">
        <v>36.979999999999997</v>
      </c>
      <c r="H1277" t="str">
        <f>"ACCT#01-0112917/PCT#3"</f>
        <v>ACCT#01-0112917/PCT#3</v>
      </c>
    </row>
    <row r="1278" spans="1:8" x14ac:dyDescent="0.25">
      <c r="E1278" t="str">
        <f>"1096279-IN"</f>
        <v>1096279-IN</v>
      </c>
      <c r="F1278" t="str">
        <f>"ACCT#01-0112917/PCT#4"</f>
        <v>ACCT#01-0112917/PCT#4</v>
      </c>
      <c r="G1278" s="4">
        <v>5311.9</v>
      </c>
      <c r="H1278" t="str">
        <f>"ACCT#01-0112917/PCT#4"</f>
        <v>ACCT#01-0112917/PCT#4</v>
      </c>
    </row>
    <row r="1279" spans="1:8" x14ac:dyDescent="0.25">
      <c r="E1279" t="str">
        <f>"1100296-IN"</f>
        <v>1100296-IN</v>
      </c>
      <c r="F1279" t="str">
        <f>"ACCT#01-0112917/PCT#3"</f>
        <v>ACCT#01-0112917/PCT#3</v>
      </c>
      <c r="G1279" s="4">
        <v>4866.8999999999996</v>
      </c>
      <c r="H1279" t="str">
        <f>"ACCT#01-0112917/PCT#3"</f>
        <v>ACCT#01-0112917/PCT#3</v>
      </c>
    </row>
    <row r="1280" spans="1:8" x14ac:dyDescent="0.25">
      <c r="A1280" t="s">
        <v>365</v>
      </c>
      <c r="B1280">
        <v>135946</v>
      </c>
      <c r="C1280" s="4">
        <v>500</v>
      </c>
      <c r="D1280" s="1">
        <v>44361</v>
      </c>
      <c r="E1280" t="str">
        <f>"202106093824"</f>
        <v>202106093824</v>
      </c>
      <c r="F1280" t="str">
        <f>"JUNE BOND RENEWALS"</f>
        <v>JUNE BOND RENEWALS</v>
      </c>
      <c r="G1280" s="4">
        <v>500</v>
      </c>
      <c r="H1280" t="str">
        <f>"JUNE BOND RENEWALS"</f>
        <v>JUNE BOND RENEWALS</v>
      </c>
    </row>
    <row r="1281" spans="1:8" x14ac:dyDescent="0.25">
      <c r="A1281" t="s">
        <v>365</v>
      </c>
      <c r="B1281">
        <v>136083</v>
      </c>
      <c r="C1281" s="4">
        <v>121</v>
      </c>
      <c r="D1281" s="1">
        <v>44375</v>
      </c>
      <c r="E1281" t="str">
        <f>"6786"</f>
        <v>6786</v>
      </c>
      <c r="F1281" t="str">
        <f>"BOND/LEON S."</f>
        <v>BOND/LEON S.</v>
      </c>
      <c r="G1281" s="4">
        <v>50</v>
      </c>
      <c r="H1281" t="str">
        <f>"BOND/LEON S."</f>
        <v>BOND/LEON S.</v>
      </c>
    </row>
    <row r="1282" spans="1:8" x14ac:dyDescent="0.25">
      <c r="E1282" t="str">
        <f>"6928"</f>
        <v>6928</v>
      </c>
      <c r="F1282" t="str">
        <f>"INV 6928"</f>
        <v>INV 6928</v>
      </c>
      <c r="G1282" s="4">
        <v>71</v>
      </c>
      <c r="H1282" t="str">
        <f>"INV 6928"</f>
        <v>INV 6928</v>
      </c>
    </row>
    <row r="1283" spans="1:8" x14ac:dyDescent="0.25">
      <c r="A1283" t="s">
        <v>366</v>
      </c>
      <c r="B1283">
        <v>135947</v>
      </c>
      <c r="C1283" s="4">
        <v>91527.43</v>
      </c>
      <c r="D1283" s="1">
        <v>44361</v>
      </c>
      <c r="E1283" t="str">
        <f>"202106043689"</f>
        <v>202106043689</v>
      </c>
      <c r="F1283" t="str">
        <f>"WORKERS COMP 3RD QTR"</f>
        <v>WORKERS COMP 3RD QTR</v>
      </c>
      <c r="G1283" s="4">
        <v>91527.43</v>
      </c>
      <c r="H1283" t="str">
        <f t="shared" ref="H1283:H1329" si="29">"WORKERS COMP 3RD QTR"</f>
        <v>WORKERS COMP 3RD QTR</v>
      </c>
    </row>
    <row r="1284" spans="1:8" x14ac:dyDescent="0.25">
      <c r="E1284" t="str">
        <f>""</f>
        <v/>
      </c>
      <c r="F1284" t="str">
        <f>""</f>
        <v/>
      </c>
      <c r="H1284" t="str">
        <f t="shared" si="29"/>
        <v>WORKERS COMP 3RD QTR</v>
      </c>
    </row>
    <row r="1285" spans="1:8" x14ac:dyDescent="0.25">
      <c r="E1285" t="str">
        <f>""</f>
        <v/>
      </c>
      <c r="F1285" t="str">
        <f>""</f>
        <v/>
      </c>
      <c r="H1285" t="str">
        <f t="shared" si="29"/>
        <v>WORKERS COMP 3RD QTR</v>
      </c>
    </row>
    <row r="1286" spans="1:8" x14ac:dyDescent="0.25">
      <c r="E1286" t="str">
        <f>""</f>
        <v/>
      </c>
      <c r="F1286" t="str">
        <f>""</f>
        <v/>
      </c>
      <c r="H1286" t="str">
        <f t="shared" si="29"/>
        <v>WORKERS COMP 3RD QTR</v>
      </c>
    </row>
    <row r="1287" spans="1:8" x14ac:dyDescent="0.25">
      <c r="E1287" t="str">
        <f>""</f>
        <v/>
      </c>
      <c r="F1287" t="str">
        <f>""</f>
        <v/>
      </c>
      <c r="H1287" t="str">
        <f t="shared" si="29"/>
        <v>WORKERS COMP 3RD QTR</v>
      </c>
    </row>
    <row r="1288" spans="1:8" x14ac:dyDescent="0.25">
      <c r="E1288" t="str">
        <f>""</f>
        <v/>
      </c>
      <c r="F1288" t="str">
        <f>""</f>
        <v/>
      </c>
      <c r="H1288" t="str">
        <f t="shared" si="29"/>
        <v>WORKERS COMP 3RD QTR</v>
      </c>
    </row>
    <row r="1289" spans="1:8" x14ac:dyDescent="0.25">
      <c r="E1289" t="str">
        <f>""</f>
        <v/>
      </c>
      <c r="F1289" t="str">
        <f>""</f>
        <v/>
      </c>
      <c r="H1289" t="str">
        <f t="shared" si="29"/>
        <v>WORKERS COMP 3RD QTR</v>
      </c>
    </row>
    <row r="1290" spans="1:8" x14ac:dyDescent="0.25">
      <c r="E1290" t="str">
        <f>""</f>
        <v/>
      </c>
      <c r="F1290" t="str">
        <f>""</f>
        <v/>
      </c>
      <c r="H1290" t="str">
        <f t="shared" si="29"/>
        <v>WORKERS COMP 3RD QTR</v>
      </c>
    </row>
    <row r="1291" spans="1:8" x14ac:dyDescent="0.25">
      <c r="E1291" t="str">
        <f>""</f>
        <v/>
      </c>
      <c r="F1291" t="str">
        <f>""</f>
        <v/>
      </c>
      <c r="H1291" t="str">
        <f t="shared" si="29"/>
        <v>WORKERS COMP 3RD QTR</v>
      </c>
    </row>
    <row r="1292" spans="1:8" x14ac:dyDescent="0.25">
      <c r="E1292" t="str">
        <f>""</f>
        <v/>
      </c>
      <c r="F1292" t="str">
        <f>""</f>
        <v/>
      </c>
      <c r="H1292" t="str">
        <f t="shared" si="29"/>
        <v>WORKERS COMP 3RD QTR</v>
      </c>
    </row>
    <row r="1293" spans="1:8" x14ac:dyDescent="0.25">
      <c r="E1293" t="str">
        <f>""</f>
        <v/>
      </c>
      <c r="F1293" t="str">
        <f>""</f>
        <v/>
      </c>
      <c r="H1293" t="str">
        <f t="shared" si="29"/>
        <v>WORKERS COMP 3RD QTR</v>
      </c>
    </row>
    <row r="1294" spans="1:8" x14ac:dyDescent="0.25">
      <c r="E1294" t="str">
        <f>""</f>
        <v/>
      </c>
      <c r="F1294" t="str">
        <f>""</f>
        <v/>
      </c>
      <c r="H1294" t="str">
        <f t="shared" si="29"/>
        <v>WORKERS COMP 3RD QTR</v>
      </c>
    </row>
    <row r="1295" spans="1:8" x14ac:dyDescent="0.25">
      <c r="E1295" t="str">
        <f>""</f>
        <v/>
      </c>
      <c r="F1295" t="str">
        <f>""</f>
        <v/>
      </c>
      <c r="H1295" t="str">
        <f t="shared" si="29"/>
        <v>WORKERS COMP 3RD QTR</v>
      </c>
    </row>
    <row r="1296" spans="1:8" x14ac:dyDescent="0.25">
      <c r="E1296" t="str">
        <f>""</f>
        <v/>
      </c>
      <c r="F1296" t="str">
        <f>""</f>
        <v/>
      </c>
      <c r="H1296" t="str">
        <f t="shared" si="29"/>
        <v>WORKERS COMP 3RD QTR</v>
      </c>
    </row>
    <row r="1297" spans="5:8" x14ac:dyDescent="0.25">
      <c r="E1297" t="str">
        <f>""</f>
        <v/>
      </c>
      <c r="F1297" t="str">
        <f>""</f>
        <v/>
      </c>
      <c r="H1297" t="str">
        <f t="shared" si="29"/>
        <v>WORKERS COMP 3RD QTR</v>
      </c>
    </row>
    <row r="1298" spans="5:8" x14ac:dyDescent="0.25">
      <c r="E1298" t="str">
        <f>""</f>
        <v/>
      </c>
      <c r="F1298" t="str">
        <f>""</f>
        <v/>
      </c>
      <c r="H1298" t="str">
        <f t="shared" si="29"/>
        <v>WORKERS COMP 3RD QTR</v>
      </c>
    </row>
    <row r="1299" spans="5:8" x14ac:dyDescent="0.25">
      <c r="E1299" t="str">
        <f>""</f>
        <v/>
      </c>
      <c r="F1299" t="str">
        <f>""</f>
        <v/>
      </c>
      <c r="H1299" t="str">
        <f t="shared" si="29"/>
        <v>WORKERS COMP 3RD QTR</v>
      </c>
    </row>
    <row r="1300" spans="5:8" x14ac:dyDescent="0.25">
      <c r="E1300" t="str">
        <f>""</f>
        <v/>
      </c>
      <c r="F1300" t="str">
        <f>""</f>
        <v/>
      </c>
      <c r="H1300" t="str">
        <f t="shared" si="29"/>
        <v>WORKERS COMP 3RD QTR</v>
      </c>
    </row>
    <row r="1301" spans="5:8" x14ac:dyDescent="0.25">
      <c r="E1301" t="str">
        <f>""</f>
        <v/>
      </c>
      <c r="F1301" t="str">
        <f>""</f>
        <v/>
      </c>
      <c r="H1301" t="str">
        <f t="shared" si="29"/>
        <v>WORKERS COMP 3RD QTR</v>
      </c>
    </row>
    <row r="1302" spans="5:8" x14ac:dyDescent="0.25">
      <c r="E1302" t="str">
        <f>""</f>
        <v/>
      </c>
      <c r="F1302" t="str">
        <f>""</f>
        <v/>
      </c>
      <c r="H1302" t="str">
        <f t="shared" si="29"/>
        <v>WORKERS COMP 3RD QTR</v>
      </c>
    </row>
    <row r="1303" spans="5:8" x14ac:dyDescent="0.25">
      <c r="E1303" t="str">
        <f>""</f>
        <v/>
      </c>
      <c r="F1303" t="str">
        <f>""</f>
        <v/>
      </c>
      <c r="H1303" t="str">
        <f t="shared" si="29"/>
        <v>WORKERS COMP 3RD QTR</v>
      </c>
    </row>
    <row r="1304" spans="5:8" x14ac:dyDescent="0.25">
      <c r="E1304" t="str">
        <f>""</f>
        <v/>
      </c>
      <c r="F1304" t="str">
        <f>""</f>
        <v/>
      </c>
      <c r="H1304" t="str">
        <f t="shared" si="29"/>
        <v>WORKERS COMP 3RD QTR</v>
      </c>
    </row>
    <row r="1305" spans="5:8" x14ac:dyDescent="0.25">
      <c r="E1305" t="str">
        <f>""</f>
        <v/>
      </c>
      <c r="F1305" t="str">
        <f>""</f>
        <v/>
      </c>
      <c r="H1305" t="str">
        <f t="shared" si="29"/>
        <v>WORKERS COMP 3RD QTR</v>
      </c>
    </row>
    <row r="1306" spans="5:8" x14ac:dyDescent="0.25">
      <c r="E1306" t="str">
        <f>""</f>
        <v/>
      </c>
      <c r="F1306" t="str">
        <f>""</f>
        <v/>
      </c>
      <c r="H1306" t="str">
        <f t="shared" si="29"/>
        <v>WORKERS COMP 3RD QTR</v>
      </c>
    </row>
    <row r="1307" spans="5:8" x14ac:dyDescent="0.25">
      <c r="E1307" t="str">
        <f>""</f>
        <v/>
      </c>
      <c r="F1307" t="str">
        <f>""</f>
        <v/>
      </c>
      <c r="H1307" t="str">
        <f t="shared" si="29"/>
        <v>WORKERS COMP 3RD QTR</v>
      </c>
    </row>
    <row r="1308" spans="5:8" x14ac:dyDescent="0.25">
      <c r="E1308" t="str">
        <f>""</f>
        <v/>
      </c>
      <c r="F1308" t="str">
        <f>""</f>
        <v/>
      </c>
      <c r="H1308" t="str">
        <f t="shared" si="29"/>
        <v>WORKERS COMP 3RD QTR</v>
      </c>
    </row>
    <row r="1309" spans="5:8" x14ac:dyDescent="0.25">
      <c r="E1309" t="str">
        <f>""</f>
        <v/>
      </c>
      <c r="F1309" t="str">
        <f>""</f>
        <v/>
      </c>
      <c r="H1309" t="str">
        <f t="shared" si="29"/>
        <v>WORKERS COMP 3RD QTR</v>
      </c>
    </row>
    <row r="1310" spans="5:8" x14ac:dyDescent="0.25">
      <c r="E1310" t="str">
        <f>""</f>
        <v/>
      </c>
      <c r="F1310" t="str">
        <f>""</f>
        <v/>
      </c>
      <c r="H1310" t="str">
        <f t="shared" si="29"/>
        <v>WORKERS COMP 3RD QTR</v>
      </c>
    </row>
    <row r="1311" spans="5:8" x14ac:dyDescent="0.25">
      <c r="E1311" t="str">
        <f>""</f>
        <v/>
      </c>
      <c r="F1311" t="str">
        <f>""</f>
        <v/>
      </c>
      <c r="H1311" t="str">
        <f t="shared" si="29"/>
        <v>WORKERS COMP 3RD QTR</v>
      </c>
    </row>
    <row r="1312" spans="5:8" x14ac:dyDescent="0.25">
      <c r="E1312" t="str">
        <f>""</f>
        <v/>
      </c>
      <c r="F1312" t="str">
        <f>""</f>
        <v/>
      </c>
      <c r="H1312" t="str">
        <f t="shared" si="29"/>
        <v>WORKERS COMP 3RD QTR</v>
      </c>
    </row>
    <row r="1313" spans="5:8" x14ac:dyDescent="0.25">
      <c r="E1313" t="str">
        <f>""</f>
        <v/>
      </c>
      <c r="F1313" t="str">
        <f>""</f>
        <v/>
      </c>
      <c r="H1313" t="str">
        <f t="shared" si="29"/>
        <v>WORKERS COMP 3RD QTR</v>
      </c>
    </row>
    <row r="1314" spans="5:8" x14ac:dyDescent="0.25">
      <c r="E1314" t="str">
        <f>""</f>
        <v/>
      </c>
      <c r="F1314" t="str">
        <f>""</f>
        <v/>
      </c>
      <c r="H1314" t="str">
        <f t="shared" si="29"/>
        <v>WORKERS COMP 3RD QTR</v>
      </c>
    </row>
    <row r="1315" spans="5:8" x14ac:dyDescent="0.25">
      <c r="E1315" t="str">
        <f>""</f>
        <v/>
      </c>
      <c r="F1315" t="str">
        <f>""</f>
        <v/>
      </c>
      <c r="H1315" t="str">
        <f t="shared" si="29"/>
        <v>WORKERS COMP 3RD QTR</v>
      </c>
    </row>
    <row r="1316" spans="5:8" x14ac:dyDescent="0.25">
      <c r="E1316" t="str">
        <f>""</f>
        <v/>
      </c>
      <c r="F1316" t="str">
        <f>""</f>
        <v/>
      </c>
      <c r="H1316" t="str">
        <f t="shared" si="29"/>
        <v>WORKERS COMP 3RD QTR</v>
      </c>
    </row>
    <row r="1317" spans="5:8" x14ac:dyDescent="0.25">
      <c r="E1317" t="str">
        <f>""</f>
        <v/>
      </c>
      <c r="F1317" t="str">
        <f>""</f>
        <v/>
      </c>
      <c r="H1317" t="str">
        <f t="shared" si="29"/>
        <v>WORKERS COMP 3RD QTR</v>
      </c>
    </row>
    <row r="1318" spans="5:8" x14ac:dyDescent="0.25">
      <c r="E1318" t="str">
        <f>""</f>
        <v/>
      </c>
      <c r="F1318" t="str">
        <f>""</f>
        <v/>
      </c>
      <c r="H1318" t="str">
        <f t="shared" si="29"/>
        <v>WORKERS COMP 3RD QTR</v>
      </c>
    </row>
    <row r="1319" spans="5:8" x14ac:dyDescent="0.25">
      <c r="E1319" t="str">
        <f>""</f>
        <v/>
      </c>
      <c r="F1319" t="str">
        <f>""</f>
        <v/>
      </c>
      <c r="H1319" t="str">
        <f t="shared" si="29"/>
        <v>WORKERS COMP 3RD QTR</v>
      </c>
    </row>
    <row r="1320" spans="5:8" x14ac:dyDescent="0.25">
      <c r="E1320" t="str">
        <f>""</f>
        <v/>
      </c>
      <c r="F1320" t="str">
        <f>""</f>
        <v/>
      </c>
      <c r="H1320" t="str">
        <f t="shared" si="29"/>
        <v>WORKERS COMP 3RD QTR</v>
      </c>
    </row>
    <row r="1321" spans="5:8" x14ac:dyDescent="0.25">
      <c r="E1321" t="str">
        <f>""</f>
        <v/>
      </c>
      <c r="F1321" t="str">
        <f>""</f>
        <v/>
      </c>
      <c r="H1321" t="str">
        <f t="shared" si="29"/>
        <v>WORKERS COMP 3RD QTR</v>
      </c>
    </row>
    <row r="1322" spans="5:8" x14ac:dyDescent="0.25">
      <c r="E1322" t="str">
        <f>""</f>
        <v/>
      </c>
      <c r="F1322" t="str">
        <f>""</f>
        <v/>
      </c>
      <c r="H1322" t="str">
        <f t="shared" si="29"/>
        <v>WORKERS COMP 3RD QTR</v>
      </c>
    </row>
    <row r="1323" spans="5:8" x14ac:dyDescent="0.25">
      <c r="E1323" t="str">
        <f>""</f>
        <v/>
      </c>
      <c r="F1323" t="str">
        <f>""</f>
        <v/>
      </c>
      <c r="H1323" t="str">
        <f t="shared" si="29"/>
        <v>WORKERS COMP 3RD QTR</v>
      </c>
    </row>
    <row r="1324" spans="5:8" x14ac:dyDescent="0.25">
      <c r="E1324" t="str">
        <f>""</f>
        <v/>
      </c>
      <c r="F1324" t="str">
        <f>""</f>
        <v/>
      </c>
      <c r="H1324" t="str">
        <f t="shared" si="29"/>
        <v>WORKERS COMP 3RD QTR</v>
      </c>
    </row>
    <row r="1325" spans="5:8" x14ac:dyDescent="0.25">
      <c r="E1325" t="str">
        <f>""</f>
        <v/>
      </c>
      <c r="F1325" t="str">
        <f>""</f>
        <v/>
      </c>
      <c r="H1325" t="str">
        <f t="shared" si="29"/>
        <v>WORKERS COMP 3RD QTR</v>
      </c>
    </row>
    <row r="1326" spans="5:8" x14ac:dyDescent="0.25">
      <c r="E1326" t="str">
        <f>""</f>
        <v/>
      </c>
      <c r="F1326" t="str">
        <f>""</f>
        <v/>
      </c>
      <c r="H1326" t="str">
        <f t="shared" si="29"/>
        <v>WORKERS COMP 3RD QTR</v>
      </c>
    </row>
    <row r="1327" spans="5:8" x14ac:dyDescent="0.25">
      <c r="E1327" t="str">
        <f>""</f>
        <v/>
      </c>
      <c r="F1327" t="str">
        <f>""</f>
        <v/>
      </c>
      <c r="H1327" t="str">
        <f t="shared" si="29"/>
        <v>WORKERS COMP 3RD QTR</v>
      </c>
    </row>
    <row r="1328" spans="5:8" x14ac:dyDescent="0.25">
      <c r="E1328" t="str">
        <f>""</f>
        <v/>
      </c>
      <c r="F1328" t="str">
        <f>""</f>
        <v/>
      </c>
      <c r="H1328" t="str">
        <f t="shared" si="29"/>
        <v>WORKERS COMP 3RD QTR</v>
      </c>
    </row>
    <row r="1329" spans="1:8" x14ac:dyDescent="0.25">
      <c r="E1329" t="str">
        <f>""</f>
        <v/>
      </c>
      <c r="F1329" t="str">
        <f>""</f>
        <v/>
      </c>
      <c r="H1329" t="str">
        <f t="shared" si="29"/>
        <v>WORKERS COMP 3RD QTR</v>
      </c>
    </row>
    <row r="1330" spans="1:8" x14ac:dyDescent="0.25">
      <c r="A1330" t="s">
        <v>367</v>
      </c>
      <c r="B1330">
        <v>1120</v>
      </c>
      <c r="C1330" s="4">
        <v>0</v>
      </c>
      <c r="D1330" s="1">
        <v>44362</v>
      </c>
      <c r="E1330" t="str">
        <f>"202106153962"</f>
        <v>202106153962</v>
      </c>
      <c r="F1330" t="str">
        <f>"ACCT# 72-56313 / 06032021"</f>
        <v>ACCT# 72-56313 / 06032021</v>
      </c>
      <c r="G1330" s="4">
        <v>-125</v>
      </c>
      <c r="H1330" t="str">
        <f>"ACCT# 72-56313 / 06032021"</f>
        <v>ACCT# 72-56313 / 06032021</v>
      </c>
    </row>
    <row r="1331" spans="1:8" x14ac:dyDescent="0.25">
      <c r="E1331" t="str">
        <f>"202106143937"</f>
        <v>202106143937</v>
      </c>
      <c r="F1331" t="str">
        <f>"ACCT #72-56313 / 06/03/2021"</f>
        <v>ACCT #72-56313 / 06/03/2021</v>
      </c>
      <c r="G1331" s="4">
        <v>125</v>
      </c>
      <c r="H1331" t="str">
        <f>"ACCT #72-56313 / 06/03/2021"</f>
        <v>ACCT #72-56313 / 06/03/2021</v>
      </c>
    </row>
    <row r="1332" spans="1:8" x14ac:dyDescent="0.25">
      <c r="A1332" t="s">
        <v>368</v>
      </c>
      <c r="B1332">
        <v>135948</v>
      </c>
      <c r="C1332" s="4">
        <v>295</v>
      </c>
      <c r="D1332" s="1">
        <v>44361</v>
      </c>
      <c r="E1332" t="str">
        <f>"202105273453"</f>
        <v>202105273453</v>
      </c>
      <c r="F1332" t="str">
        <f>"PROBATE WORKSHOP/LYNDSEY S."</f>
        <v>PROBATE WORKSHOP/LYNDSEY S.</v>
      </c>
      <c r="G1332" s="4">
        <v>295</v>
      </c>
      <c r="H1332" t="str">
        <f>"PROBATE WORKSHOP/LYNDSEY S."</f>
        <v>PROBATE WORKSHOP/LYNDSEY S.</v>
      </c>
    </row>
    <row r="1333" spans="1:8" x14ac:dyDescent="0.25">
      <c r="A1333" t="s">
        <v>369</v>
      </c>
      <c r="B1333">
        <v>136084</v>
      </c>
      <c r="C1333" s="4">
        <v>4740</v>
      </c>
      <c r="D1333" s="1">
        <v>44375</v>
      </c>
      <c r="E1333" t="str">
        <f>"202106174070"</f>
        <v>202106174070</v>
      </c>
      <c r="F1333" t="str">
        <f>"ACCT#0620010/ONSITE COUNCIL"</f>
        <v>ACCT#0620010/ONSITE COUNCIL</v>
      </c>
      <c r="G1333" s="4">
        <v>4740</v>
      </c>
      <c r="H1333" t="str">
        <f>"ACCT#0620010/ONSITE COUNCIL"</f>
        <v>ACCT#0620010/ONSITE COUNCIL</v>
      </c>
    </row>
    <row r="1334" spans="1:8" x14ac:dyDescent="0.25">
      <c r="A1334" t="s">
        <v>370</v>
      </c>
      <c r="B1334">
        <v>135949</v>
      </c>
      <c r="C1334" s="4">
        <v>60</v>
      </c>
      <c r="D1334" s="1">
        <v>44361</v>
      </c>
      <c r="E1334" t="str">
        <f>"202105263443"</f>
        <v>202105263443</v>
      </c>
      <c r="F1334" t="str">
        <f>"DECAL#54465"</f>
        <v>DECAL#54465</v>
      </c>
      <c r="G1334" s="4">
        <v>20</v>
      </c>
      <c r="H1334" t="str">
        <f>"DECAL#54465"</f>
        <v>DECAL#54465</v>
      </c>
    </row>
    <row r="1335" spans="1:8" x14ac:dyDescent="0.25">
      <c r="E1335" t="str">
        <f>"202105263444"</f>
        <v>202105263444</v>
      </c>
      <c r="F1335" t="str">
        <f>"DECAL# 57601"</f>
        <v>DECAL# 57601</v>
      </c>
      <c r="G1335" s="4">
        <v>20</v>
      </c>
      <c r="H1335" t="str">
        <f>"DECAL# 57601"</f>
        <v>DECAL# 57601</v>
      </c>
    </row>
    <row r="1336" spans="1:8" x14ac:dyDescent="0.25">
      <c r="E1336" t="str">
        <f>"202105263445"</f>
        <v>202105263445</v>
      </c>
      <c r="F1336" t="str">
        <f>"DECAL#57602"</f>
        <v>DECAL#57602</v>
      </c>
      <c r="G1336" s="4">
        <v>20</v>
      </c>
      <c r="H1336" t="str">
        <f>"DECAL#57602"</f>
        <v>DECAL#57602</v>
      </c>
    </row>
    <row r="1337" spans="1:8" x14ac:dyDescent="0.25">
      <c r="A1337" t="s">
        <v>371</v>
      </c>
      <c r="B1337">
        <v>135950</v>
      </c>
      <c r="C1337" s="4">
        <v>30</v>
      </c>
      <c r="D1337" s="1">
        <v>44361</v>
      </c>
      <c r="E1337" t="str">
        <f>"CRS-202102-210639"</f>
        <v>CRS-202102-210639</v>
      </c>
      <c r="F1337" t="str">
        <f>"SECURE SITE CCH/HR"</f>
        <v>SECURE SITE CCH/HR</v>
      </c>
      <c r="G1337" s="4">
        <v>16</v>
      </c>
      <c r="H1337" t="str">
        <f>"SECURE SITE CCH/HR"</f>
        <v>SECURE SITE CCH/HR</v>
      </c>
    </row>
    <row r="1338" spans="1:8" x14ac:dyDescent="0.25">
      <c r="E1338" t="str">
        <f>"CRS-202104-214345"</f>
        <v>CRS-202104-214345</v>
      </c>
      <c r="F1338" t="str">
        <f>"SECURE SITE CCH NAME SEARCH"</f>
        <v>SECURE SITE CCH NAME SEARCH</v>
      </c>
      <c r="G1338" s="4">
        <v>14</v>
      </c>
      <c r="H1338" t="str">
        <f>"SECURE SITE CCH NAME SEARCH"</f>
        <v>SECURE SITE CCH NAME SEARCH</v>
      </c>
    </row>
    <row r="1339" spans="1:8" x14ac:dyDescent="0.25">
      <c r="A1339" t="s">
        <v>372</v>
      </c>
      <c r="B1339">
        <v>135951</v>
      </c>
      <c r="C1339" s="4">
        <v>155</v>
      </c>
      <c r="D1339" s="1">
        <v>44361</v>
      </c>
      <c r="E1339" t="str">
        <f>"5988891"</f>
        <v>5988891</v>
      </c>
      <c r="F1339" t="str">
        <f>"CUST#1-238865/PARK TRASH"</f>
        <v>CUST#1-238865/PARK TRASH</v>
      </c>
      <c r="G1339" s="4">
        <v>155</v>
      </c>
      <c r="H1339" t="str">
        <f>"CUST#1-238865/PARK TRASH"</f>
        <v>CUST#1-238865/PARK TRASH</v>
      </c>
    </row>
    <row r="1340" spans="1:8" x14ac:dyDescent="0.25">
      <c r="A1340" t="s">
        <v>373</v>
      </c>
      <c r="B1340">
        <v>135952</v>
      </c>
      <c r="C1340" s="4">
        <v>450</v>
      </c>
      <c r="D1340" s="1">
        <v>44361</v>
      </c>
      <c r="E1340" t="str">
        <f>"13934"</f>
        <v>13934</v>
      </c>
      <c r="F1340" t="str">
        <f>"GOVERMENT 50K/ADENA LEWIS"</f>
        <v>GOVERMENT 50K/ADENA LEWIS</v>
      </c>
      <c r="G1340" s="4">
        <v>450</v>
      </c>
      <c r="H1340" t="str">
        <f>"GOVERMENT 50K/ADENA LEWIS"</f>
        <v>GOVERMENT 50K/ADENA LEWIS</v>
      </c>
    </row>
    <row r="1341" spans="1:8" x14ac:dyDescent="0.25">
      <c r="A1341" t="s">
        <v>374</v>
      </c>
      <c r="B1341">
        <v>135953</v>
      </c>
      <c r="C1341" s="4">
        <v>350</v>
      </c>
      <c r="D1341" s="1">
        <v>44361</v>
      </c>
      <c r="E1341" t="str">
        <f>"202106043690"</f>
        <v>202106043690</v>
      </c>
      <c r="F1341" t="str">
        <f>"ORDER#15116/CONFERENCE"</f>
        <v>ORDER#15116/CONFERENCE</v>
      </c>
      <c r="G1341" s="4">
        <v>350</v>
      </c>
      <c r="H1341" t="str">
        <f>"ORDER#15116/CONFERENCE"</f>
        <v>ORDER#15116/CONFERENCE</v>
      </c>
    </row>
    <row r="1342" spans="1:8" x14ac:dyDescent="0.25">
      <c r="A1342" t="s">
        <v>374</v>
      </c>
      <c r="B1342">
        <v>136085</v>
      </c>
      <c r="C1342" s="4">
        <v>350</v>
      </c>
      <c r="D1342" s="1">
        <v>44375</v>
      </c>
      <c r="E1342" t="str">
        <f>"13754"</f>
        <v>13754</v>
      </c>
      <c r="F1342" t="str">
        <f>"MID YEAR CONFERENCE/ADENA L."</f>
        <v>MID YEAR CONFERENCE/ADENA L.</v>
      </c>
      <c r="G1342" s="4">
        <v>350</v>
      </c>
      <c r="H1342" t="str">
        <f>"MID YEAR CONFERENCE/ADENA L."</f>
        <v>MID YEAR CONFERENCE/ADENA L.</v>
      </c>
    </row>
    <row r="1343" spans="1:8" x14ac:dyDescent="0.25">
      <c r="A1343" t="s">
        <v>375</v>
      </c>
      <c r="B1343">
        <v>135954</v>
      </c>
      <c r="C1343" s="4">
        <v>1161.5999999999999</v>
      </c>
      <c r="D1343" s="1">
        <v>44361</v>
      </c>
      <c r="E1343" t="str">
        <f>"200959664"</f>
        <v>200959664</v>
      </c>
      <c r="F1343" t="str">
        <f>"CUST#255120/PCT#2"</f>
        <v>CUST#255120/PCT#2</v>
      </c>
      <c r="G1343" s="4">
        <v>1161.5999999999999</v>
      </c>
      <c r="H1343" t="str">
        <f>"CUST#255120/PCT#2"</f>
        <v>CUST#255120/PCT#2</v>
      </c>
    </row>
    <row r="1344" spans="1:8" x14ac:dyDescent="0.25">
      <c r="A1344" t="s">
        <v>375</v>
      </c>
      <c r="B1344">
        <v>136086</v>
      </c>
      <c r="C1344" s="4">
        <v>5737.84</v>
      </c>
      <c r="D1344" s="1">
        <v>44375</v>
      </c>
      <c r="E1344" t="str">
        <f>"200961016"</f>
        <v>200961016</v>
      </c>
      <c r="F1344" t="str">
        <f>"CUST#255120/PCT#1"</f>
        <v>CUST#255120/PCT#1</v>
      </c>
      <c r="G1344" s="4">
        <v>1209</v>
      </c>
      <c r="H1344" t="str">
        <f>"CUST#255120/PCT#1"</f>
        <v>CUST#255120/PCT#1</v>
      </c>
    </row>
    <row r="1345" spans="1:8" x14ac:dyDescent="0.25">
      <c r="E1345" t="str">
        <f>"200961738"</f>
        <v>200961738</v>
      </c>
      <c r="F1345" t="str">
        <f>"CUST#255120/PCT#1"</f>
        <v>CUST#255120/PCT#1</v>
      </c>
      <c r="G1345" s="4">
        <v>2580.6</v>
      </c>
      <c r="H1345" t="str">
        <f>"CUST#255120/PCT#1"</f>
        <v>CUST#255120/PCT#1</v>
      </c>
    </row>
    <row r="1346" spans="1:8" x14ac:dyDescent="0.25">
      <c r="E1346" t="str">
        <f>"200962408"</f>
        <v>200962408</v>
      </c>
      <c r="F1346" t="str">
        <f>"CUST#260045/PCT#1"</f>
        <v>CUST#260045/PCT#1</v>
      </c>
      <c r="G1346" s="4">
        <v>1948.24</v>
      </c>
      <c r="H1346" t="str">
        <f>"CUST#260045/PCT#1"</f>
        <v>CUST#260045/PCT#1</v>
      </c>
    </row>
    <row r="1347" spans="1:8" x14ac:dyDescent="0.25">
      <c r="A1347" t="s">
        <v>376</v>
      </c>
      <c r="B1347">
        <v>135955</v>
      </c>
      <c r="C1347" s="4">
        <v>114.75</v>
      </c>
      <c r="D1347" s="1">
        <v>44361</v>
      </c>
      <c r="E1347" t="str">
        <f>"J2-67772"</f>
        <v>J2-67772</v>
      </c>
      <c r="F1347" t="str">
        <f>"A8303716/ISAAC REED"</f>
        <v>A8303716/ISAAC REED</v>
      </c>
      <c r="G1347" s="4">
        <v>114.75</v>
      </c>
      <c r="H1347" t="str">
        <f>"A8303716/ISAAC REED"</f>
        <v>A8303716/ISAAC REED</v>
      </c>
    </row>
    <row r="1348" spans="1:8" x14ac:dyDescent="0.25">
      <c r="A1348" t="s">
        <v>376</v>
      </c>
      <c r="B1348">
        <v>136087</v>
      </c>
      <c r="C1348" s="4">
        <v>654.75</v>
      </c>
      <c r="D1348" s="1">
        <v>44375</v>
      </c>
      <c r="E1348" t="str">
        <f>"J2-68146"</f>
        <v>J2-68146</v>
      </c>
      <c r="F1348" t="str">
        <f>"A8286545/CARLOS AVINAIN"</f>
        <v>A8286545/CARLOS AVINAIN</v>
      </c>
      <c r="G1348" s="4">
        <v>114.75</v>
      </c>
      <c r="H1348" t="str">
        <f>"A8286545/CARLOS AVINAIN"</f>
        <v>A8286545/CARLOS AVINAIN</v>
      </c>
    </row>
    <row r="1349" spans="1:8" x14ac:dyDescent="0.25">
      <c r="E1349" t="str">
        <f>"J2-68426"</f>
        <v>J2-68426</v>
      </c>
      <c r="F1349" t="str">
        <f>"A-12538/KLAY PAVLACEK"</f>
        <v>A-12538/KLAY PAVLACEK</v>
      </c>
      <c r="G1349" s="4">
        <v>81</v>
      </c>
      <c r="H1349" t="str">
        <f>"A-12538/KLAY PAVLACEK"</f>
        <v>A-12538/KLAY PAVLACEK</v>
      </c>
    </row>
    <row r="1350" spans="1:8" x14ac:dyDescent="0.25">
      <c r="E1350" t="str">
        <f>"J2-69857"</f>
        <v>J2-69857</v>
      </c>
      <c r="F1350" t="str">
        <f>"A8361133/JOHN SIMMONS"</f>
        <v>A8361133/JOHN SIMMONS</v>
      </c>
      <c r="G1350" s="4">
        <v>114.75</v>
      </c>
      <c r="H1350" t="str">
        <f>"A8361133/JOHN SIMMONS"</f>
        <v>A8361133/JOHN SIMMONS</v>
      </c>
    </row>
    <row r="1351" spans="1:8" x14ac:dyDescent="0.25">
      <c r="E1351" t="str">
        <f>"J2-69858"</f>
        <v>J2-69858</v>
      </c>
      <c r="F1351" t="str">
        <f>"A8361134/NYDIA DELGADO"</f>
        <v>A8361134/NYDIA DELGADO</v>
      </c>
      <c r="G1351" s="4">
        <v>114.75</v>
      </c>
      <c r="H1351" t="str">
        <f>"A8361134/NYDIA DELGADO"</f>
        <v>A8361134/NYDIA DELGADO</v>
      </c>
    </row>
    <row r="1352" spans="1:8" x14ac:dyDescent="0.25">
      <c r="E1352" t="str">
        <f>"J2-69941"</f>
        <v>J2-69941</v>
      </c>
      <c r="F1352" t="str">
        <f>"A8353816 - JULIAN GLORIA"</f>
        <v>A8353816 - JULIAN GLORIA</v>
      </c>
      <c r="G1352" s="4">
        <v>114.75</v>
      </c>
      <c r="H1352" t="str">
        <f>"A8353816 - JULIAN GLORIA"</f>
        <v>A8353816 - JULIAN GLORIA</v>
      </c>
    </row>
    <row r="1353" spans="1:8" x14ac:dyDescent="0.25">
      <c r="E1353" t="str">
        <f>"J2-70104"</f>
        <v>J2-70104</v>
      </c>
      <c r="F1353" t="str">
        <f>"A8382107 - J.L. PUCEK"</f>
        <v>A8382107 - J.L. PUCEK</v>
      </c>
      <c r="G1353" s="4">
        <v>114.75</v>
      </c>
      <c r="H1353" t="str">
        <f>"A8382107 - J.L. PUCEK"</f>
        <v>A8382107 - J.L. PUCEK</v>
      </c>
    </row>
    <row r="1354" spans="1:8" x14ac:dyDescent="0.25">
      <c r="A1354" t="s">
        <v>377</v>
      </c>
      <c r="B1354">
        <v>135956</v>
      </c>
      <c r="C1354" s="4">
        <v>225</v>
      </c>
      <c r="D1354" s="1">
        <v>44361</v>
      </c>
      <c r="E1354" t="str">
        <f>"202106093820"</f>
        <v>202106093820</v>
      </c>
      <c r="F1354" t="str">
        <f>"TRAINING"</f>
        <v>TRAINING</v>
      </c>
      <c r="G1354" s="4">
        <v>225</v>
      </c>
      <c r="H1354" t="str">
        <f>"TRAINING - SHERMAN"</f>
        <v>TRAINING - SHERMAN</v>
      </c>
    </row>
    <row r="1355" spans="1:8" x14ac:dyDescent="0.25">
      <c r="E1355" t="str">
        <f>""</f>
        <v/>
      </c>
      <c r="F1355" t="str">
        <f>""</f>
        <v/>
      </c>
      <c r="H1355" t="str">
        <f>"TRAINING - PATNODE"</f>
        <v>TRAINING - PATNODE</v>
      </c>
    </row>
    <row r="1356" spans="1:8" x14ac:dyDescent="0.25">
      <c r="A1356" t="s">
        <v>378</v>
      </c>
      <c r="B1356">
        <v>135957</v>
      </c>
      <c r="C1356" s="4">
        <v>1470</v>
      </c>
      <c r="D1356" s="1">
        <v>44361</v>
      </c>
      <c r="E1356" t="str">
        <f>"200018986"</f>
        <v>200018986</v>
      </c>
      <c r="F1356" t="str">
        <f>"MEMERSHIP/ADENA LEWIS"</f>
        <v>MEMERSHIP/ADENA LEWIS</v>
      </c>
      <c r="G1356" s="4">
        <v>1070</v>
      </c>
      <c r="H1356" t="str">
        <f>"MEMERSHIP/ADENA LEWIS"</f>
        <v>MEMERSHIP/ADENA LEWIS</v>
      </c>
    </row>
    <row r="1357" spans="1:8" x14ac:dyDescent="0.25">
      <c r="E1357" t="str">
        <f>"200018994"</f>
        <v>200018994</v>
      </c>
      <c r="F1357" t="str">
        <f>"EVENT/ADENA LEWIS"</f>
        <v>EVENT/ADENA LEWIS</v>
      </c>
      <c r="G1357" s="4">
        <v>400</v>
      </c>
      <c r="H1357" t="str">
        <f>"EVENT/ADENA LEWIS"</f>
        <v>EVENT/ADENA LEWIS</v>
      </c>
    </row>
    <row r="1358" spans="1:8" x14ac:dyDescent="0.25">
      <c r="A1358" t="s">
        <v>379</v>
      </c>
      <c r="B1358">
        <v>1108</v>
      </c>
      <c r="C1358" s="4">
        <v>0</v>
      </c>
      <c r="D1358" s="1">
        <v>44362</v>
      </c>
      <c r="E1358" t="str">
        <f>"202106153964"</f>
        <v>202106153964</v>
      </c>
      <c r="F1358" t="str">
        <f>"ACCT# 72-56313 / 06032021"</f>
        <v>ACCT# 72-56313 / 06032021</v>
      </c>
      <c r="G1358" s="4">
        <v>-2120.37</v>
      </c>
      <c r="H1358" t="str">
        <f>"ACCT# 72-56313 / 06032021"</f>
        <v>ACCT# 72-56313 / 06032021</v>
      </c>
    </row>
    <row r="1359" spans="1:8" x14ac:dyDescent="0.25">
      <c r="E1359" t="str">
        <f>"202106143925"</f>
        <v>202106143925</v>
      </c>
      <c r="F1359" t="str">
        <f>"ACCT #72-56313 / 06/03/2021"</f>
        <v>ACCT #72-56313 / 06/03/2021</v>
      </c>
      <c r="G1359" s="4">
        <v>2120.37</v>
      </c>
      <c r="H1359" t="str">
        <f>"ACCT #72-56313 / 06/03/2021"</f>
        <v>ACCT #72-56313 / 06/03/2021</v>
      </c>
    </row>
    <row r="1360" spans="1:8" x14ac:dyDescent="0.25">
      <c r="A1360" t="s">
        <v>380</v>
      </c>
      <c r="B1360">
        <v>4579</v>
      </c>
      <c r="C1360" s="4">
        <v>1144</v>
      </c>
      <c r="D1360" s="1">
        <v>44362</v>
      </c>
      <c r="E1360" t="str">
        <f>"223849"</f>
        <v>223849</v>
      </c>
      <c r="F1360" t="str">
        <f>"ACCT#188757/ R&amp;B 1/SIGN SHOP"</f>
        <v>ACCT#188757/ R&amp;B 1/SIGN SHOP</v>
      </c>
      <c r="G1360" s="4">
        <v>95</v>
      </c>
      <c r="H1360" t="str">
        <f>"ACCT#188757/ R&amp;B 1/SIGN SHOP"</f>
        <v>ACCT#188757/ R&amp;B 1/SIGN SHOP</v>
      </c>
    </row>
    <row r="1361" spans="1:8" x14ac:dyDescent="0.25">
      <c r="E1361" t="str">
        <f>"223892"</f>
        <v>223892</v>
      </c>
      <c r="F1361" t="str">
        <f>"ACCT#188757/JUVELNILE BOOTCAMP"</f>
        <v>ACCT#188757/JUVELNILE BOOTCAMP</v>
      </c>
      <c r="G1361" s="4">
        <v>118.5</v>
      </c>
      <c r="H1361" t="str">
        <f>"ACCT#188757/JUVELNILE BOOTCAMP"</f>
        <v>ACCT#188757/JUVELNILE BOOTCAMP</v>
      </c>
    </row>
    <row r="1362" spans="1:8" x14ac:dyDescent="0.25">
      <c r="E1362" t="str">
        <f>"223917"</f>
        <v>223917</v>
      </c>
      <c r="F1362" t="str">
        <f>"ACCT#188757/MIKE FISHER"</f>
        <v>ACCT#188757/MIKE FISHER</v>
      </c>
      <c r="G1362" s="4">
        <v>112</v>
      </c>
      <c r="H1362" t="str">
        <f>"ACCT#188757/MIKE FISHER"</f>
        <v>ACCT#188757/MIKE FISHER</v>
      </c>
    </row>
    <row r="1363" spans="1:8" x14ac:dyDescent="0.25">
      <c r="E1363" t="str">
        <f>"224099"</f>
        <v>224099</v>
      </c>
      <c r="F1363" t="str">
        <f>"ACCT#188757/PRECINCT #3"</f>
        <v>ACCT#188757/PRECINCT #3</v>
      </c>
      <c r="G1363" s="4">
        <v>95</v>
      </c>
      <c r="H1363" t="str">
        <f>"ACCT#188757/PRECINCT #3"</f>
        <v>ACCT#188757/PRECINCT #3</v>
      </c>
    </row>
    <row r="1364" spans="1:8" x14ac:dyDescent="0.25">
      <c r="E1364" t="str">
        <f>"224522"</f>
        <v>224522</v>
      </c>
      <c r="F1364" t="str">
        <f>"ACCT#188757/EXTENSION HABITAT"</f>
        <v>ACCT#188757/EXTENSION HABITAT</v>
      </c>
      <c r="G1364" s="4">
        <v>89</v>
      </c>
      <c r="H1364" t="str">
        <f>"ACCT#188757/EXTENSION HABITAT"</f>
        <v>ACCT#188757/EXTENSION HABITAT</v>
      </c>
    </row>
    <row r="1365" spans="1:8" x14ac:dyDescent="0.25">
      <c r="E1365" t="str">
        <f>"224544"</f>
        <v>224544</v>
      </c>
      <c r="F1365" t="str">
        <f>"ACCT#188757/HISTORIC JAIL"</f>
        <v>ACCT#188757/HISTORIC JAIL</v>
      </c>
      <c r="G1365" s="4">
        <v>76</v>
      </c>
      <c r="H1365" t="str">
        <f>"ACCT#188757/HISTORIC JAIL"</f>
        <v>ACCT#188757/HISTORIC JAIL</v>
      </c>
    </row>
    <row r="1366" spans="1:8" x14ac:dyDescent="0.25">
      <c r="E1366" t="str">
        <f>"224548"</f>
        <v>224548</v>
      </c>
      <c r="F1366" t="str">
        <f>"ACCT#188757/COURTHOUSE"</f>
        <v>ACCT#188757/COURTHOUSE</v>
      </c>
      <c r="G1366" s="4">
        <v>137</v>
      </c>
      <c r="H1366" t="str">
        <f>"ACCT#188757/COURTHOUSE"</f>
        <v>ACCT#188757/COURTHOUSE</v>
      </c>
    </row>
    <row r="1367" spans="1:8" x14ac:dyDescent="0.25">
      <c r="E1367" t="str">
        <f>"224583"</f>
        <v>224583</v>
      </c>
      <c r="F1367" t="str">
        <f>"ACCT#188757/JUVENILE PROB."</f>
        <v>ACCT#188757/JUVENILE PROB.</v>
      </c>
      <c r="G1367" s="4">
        <v>132</v>
      </c>
      <c r="H1367" t="str">
        <f>"ACCT#188757/JUVENILE PROB."</f>
        <v>ACCT#188757/JUVENILE PROB.</v>
      </c>
    </row>
    <row r="1368" spans="1:8" x14ac:dyDescent="0.25">
      <c r="E1368" t="str">
        <f>"224767"</f>
        <v>224767</v>
      </c>
      <c r="F1368" t="str">
        <f>"ACCT#188757/LBJ BUILDING"</f>
        <v>ACCT#188757/LBJ BUILDING</v>
      </c>
      <c r="G1368" s="4">
        <v>69</v>
      </c>
      <c r="H1368" t="str">
        <f>"ACCT#188757/LBJ BUILDING"</f>
        <v>ACCT#188757/LBJ BUILDING</v>
      </c>
    </row>
    <row r="1369" spans="1:8" x14ac:dyDescent="0.25">
      <c r="E1369" t="str">
        <f>"224774"</f>
        <v>224774</v>
      </c>
      <c r="F1369" t="str">
        <f>"ACCT#188757/PRECINCT #4"</f>
        <v>ACCT#188757/PRECINCT #4</v>
      </c>
      <c r="G1369" s="4">
        <v>95.5</v>
      </c>
      <c r="H1369" t="str">
        <f>"ACCT#188757/PRECINCT #4"</f>
        <v>ACCT#188757/PRECINCT #4</v>
      </c>
    </row>
    <row r="1370" spans="1:8" x14ac:dyDescent="0.25">
      <c r="E1370" t="str">
        <f>"227486"</f>
        <v>227486</v>
      </c>
      <c r="F1370" t="str">
        <f>"ACCT#188757/CEDAR CREEK PARK"</f>
        <v>ACCT#188757/CEDAR CREEK PARK</v>
      </c>
      <c r="G1370" s="4">
        <v>125</v>
      </c>
      <c r="H1370" t="str">
        <f>"ACCT#188757/CEDAR CREEK PARK"</f>
        <v>ACCT#188757/CEDAR CREEK PARK</v>
      </c>
    </row>
    <row r="1371" spans="1:8" x14ac:dyDescent="0.25">
      <c r="A1371" t="s">
        <v>380</v>
      </c>
      <c r="B1371">
        <v>4659</v>
      </c>
      <c r="C1371" s="4">
        <v>868.5</v>
      </c>
      <c r="D1371" s="1">
        <v>44376</v>
      </c>
      <c r="E1371" t="str">
        <f>"224899"</f>
        <v>224899</v>
      </c>
      <c r="F1371" t="str">
        <f>"ACCT#188757/TAX OFFICE"</f>
        <v>ACCT#188757/TAX OFFICE</v>
      </c>
      <c r="G1371" s="4">
        <v>102</v>
      </c>
      <c r="H1371" t="str">
        <f>"ACCT#188757/TAX OFFICE"</f>
        <v>ACCT#188757/TAX OFFICE</v>
      </c>
    </row>
    <row r="1372" spans="1:8" x14ac:dyDescent="0.25">
      <c r="E1372" t="str">
        <f>"228787"</f>
        <v>228787</v>
      </c>
      <c r="F1372" t="str">
        <f>"ACCT#188757/ANIMAL SHELTER"</f>
        <v>ACCT#188757/ANIMAL SHELTER</v>
      </c>
      <c r="G1372" s="4">
        <v>290</v>
      </c>
      <c r="H1372" t="str">
        <f>"ACCT#188757/ANIMAL SHELTER"</f>
        <v>ACCT#188757/ANIMAL SHELTER</v>
      </c>
    </row>
    <row r="1373" spans="1:8" x14ac:dyDescent="0.25">
      <c r="E1373" t="str">
        <f>"228810"</f>
        <v>228810</v>
      </c>
      <c r="F1373" t="str">
        <f>"ACCT#188757/LOST PINES PARK"</f>
        <v>ACCT#188757/LOST PINES PARK</v>
      </c>
      <c r="G1373" s="4">
        <v>75</v>
      </c>
      <c r="H1373" t="str">
        <f>"ACCT#188757/LOST PINES PARK"</f>
        <v>ACCT#188757/LOST PINES PARK</v>
      </c>
    </row>
    <row r="1374" spans="1:8" x14ac:dyDescent="0.25">
      <c r="E1374" t="str">
        <f>"228988"</f>
        <v>228988</v>
      </c>
      <c r="F1374" t="str">
        <f>"ACCT#188757/DPS/TDL"</f>
        <v>ACCT#188757/DPS/TDL</v>
      </c>
      <c r="G1374" s="4">
        <v>76</v>
      </c>
      <c r="H1374" t="str">
        <f>"ACCT#188757/DPS/TDL"</f>
        <v>ACCT#188757/DPS/TDL</v>
      </c>
    </row>
    <row r="1375" spans="1:8" x14ac:dyDescent="0.25">
      <c r="E1375" t="str">
        <f>"229233"</f>
        <v>229233</v>
      </c>
      <c r="F1375" t="str">
        <f>"ACCT#188757/MIKE FISHER BULD"</f>
        <v>ACCT#188757/MIKE FISHER BULD</v>
      </c>
      <c r="G1375" s="4">
        <v>112</v>
      </c>
      <c r="H1375" t="str">
        <f>"ACCT#188757/MIKE FISHER BULD"</f>
        <v>ACCT#188757/MIKE FISHER BULD</v>
      </c>
    </row>
    <row r="1376" spans="1:8" x14ac:dyDescent="0.25">
      <c r="E1376" t="str">
        <f>"229311"</f>
        <v>229311</v>
      </c>
      <c r="F1376" t="str">
        <f>"ACCT#188757/R&amp;B-SIGN SHOP"</f>
        <v>ACCT#188757/R&amp;B-SIGN SHOP</v>
      </c>
      <c r="G1376" s="4">
        <v>95</v>
      </c>
      <c r="H1376" t="str">
        <f>"ACCT#188757/R&amp;B-SIGN SHOP"</f>
        <v>ACCT#188757/R&amp;B-SIGN SHOP</v>
      </c>
    </row>
    <row r="1377" spans="1:8" x14ac:dyDescent="0.25">
      <c r="E1377" t="str">
        <f>"229399"</f>
        <v>229399</v>
      </c>
      <c r="F1377" t="str">
        <f>"ACCT#188757/JUVENILE BOOTCAMP"</f>
        <v>ACCT#188757/JUVENILE BOOTCAMP</v>
      </c>
      <c r="G1377" s="4">
        <v>118.5</v>
      </c>
      <c r="H1377" t="str">
        <f>"ACCT#188757/JUVENILE BOOTCAMP"</f>
        <v>ACCT#188757/JUVENILE BOOTCAMP</v>
      </c>
    </row>
    <row r="1378" spans="1:8" x14ac:dyDescent="0.25">
      <c r="A1378" t="s">
        <v>381</v>
      </c>
      <c r="B1378">
        <v>4654</v>
      </c>
      <c r="C1378" s="4">
        <v>250</v>
      </c>
      <c r="D1378" s="1">
        <v>44376</v>
      </c>
      <c r="E1378" t="str">
        <f>"202106174063"</f>
        <v>202106174063</v>
      </c>
      <c r="F1378" t="str">
        <f>"57-931"</f>
        <v>57-931</v>
      </c>
      <c r="G1378" s="4">
        <v>250</v>
      </c>
      <c r="H1378" t="str">
        <f>"57-931"</f>
        <v>57-931</v>
      </c>
    </row>
    <row r="1379" spans="1:8" x14ac:dyDescent="0.25">
      <c r="A1379" t="s">
        <v>382</v>
      </c>
      <c r="B1379">
        <v>135958</v>
      </c>
      <c r="C1379" s="4">
        <v>185</v>
      </c>
      <c r="D1379" s="1">
        <v>44361</v>
      </c>
      <c r="E1379" t="str">
        <f>"504880"</f>
        <v>504880</v>
      </c>
      <c r="F1379" t="str">
        <f>"INV 504880"</f>
        <v>INV 504880</v>
      </c>
      <c r="G1379" s="4">
        <v>185</v>
      </c>
      <c r="H1379" t="str">
        <f>"INV 504880"</f>
        <v>INV 504880</v>
      </c>
    </row>
    <row r="1380" spans="1:8" x14ac:dyDescent="0.25">
      <c r="A1380" t="s">
        <v>383</v>
      </c>
      <c r="B1380">
        <v>4564</v>
      </c>
      <c r="C1380" s="4">
        <v>2775</v>
      </c>
      <c r="D1380" s="1">
        <v>44362</v>
      </c>
      <c r="E1380" t="str">
        <f>"202105253397"</f>
        <v>202105253397</v>
      </c>
      <c r="F1380" t="str">
        <f>"JP101042020"</f>
        <v>JP101042020</v>
      </c>
      <c r="G1380" s="4">
        <v>800</v>
      </c>
      <c r="H1380" t="str">
        <f>"JP101042020"</f>
        <v>JP101042020</v>
      </c>
    </row>
    <row r="1381" spans="1:8" x14ac:dyDescent="0.25">
      <c r="E1381" t="str">
        <f>"202105253402"</f>
        <v>202105253402</v>
      </c>
      <c r="F1381" t="str">
        <f>"17-272"</f>
        <v>17-272</v>
      </c>
      <c r="G1381" s="4">
        <v>950</v>
      </c>
      <c r="H1381" t="str">
        <f>"17-272"</f>
        <v>17-272</v>
      </c>
    </row>
    <row r="1382" spans="1:8" x14ac:dyDescent="0.25">
      <c r="E1382" t="str">
        <f>"202105253403"</f>
        <v>202105253403</v>
      </c>
      <c r="F1382" t="str">
        <f>"403089.6 /403089-5"</f>
        <v>403089.6 /403089-5</v>
      </c>
      <c r="G1382" s="4">
        <v>375</v>
      </c>
      <c r="H1382" t="str">
        <f>"403089.6 /403089-5"</f>
        <v>403089.6 /403089-5</v>
      </c>
    </row>
    <row r="1383" spans="1:8" x14ac:dyDescent="0.25">
      <c r="E1383" t="str">
        <f>"202105253404"</f>
        <v>202105253404</v>
      </c>
      <c r="F1383" t="str">
        <f>"JP 101042020B"</f>
        <v>JP 101042020B</v>
      </c>
      <c r="G1383" s="4">
        <v>250</v>
      </c>
      <c r="H1383" t="str">
        <f>"JP 101042020B"</f>
        <v>JP 101042020B</v>
      </c>
    </row>
    <row r="1384" spans="1:8" x14ac:dyDescent="0.25">
      <c r="E1384" t="str">
        <f>"202105253405"</f>
        <v>202105253405</v>
      </c>
      <c r="F1384" t="str">
        <f>"17-319"</f>
        <v>17-319</v>
      </c>
      <c r="G1384" s="4">
        <v>400</v>
      </c>
      <c r="H1384" t="str">
        <f>"17-319"</f>
        <v>17-319</v>
      </c>
    </row>
    <row r="1385" spans="1:8" x14ac:dyDescent="0.25">
      <c r="A1385" t="s">
        <v>383</v>
      </c>
      <c r="B1385">
        <v>4648</v>
      </c>
      <c r="C1385" s="4">
        <v>2375</v>
      </c>
      <c r="D1385" s="1">
        <v>44376</v>
      </c>
      <c r="E1385" t="str">
        <f>"202106164023"</f>
        <v>202106164023</v>
      </c>
      <c r="F1385" t="str">
        <f>"4010321-2"</f>
        <v>4010321-2</v>
      </c>
      <c r="G1385" s="4">
        <v>400</v>
      </c>
      <c r="H1385" t="str">
        <f>"4010321-2"</f>
        <v>4010321-2</v>
      </c>
    </row>
    <row r="1386" spans="1:8" x14ac:dyDescent="0.25">
      <c r="E1386" t="str">
        <f>"202106164027"</f>
        <v>202106164027</v>
      </c>
      <c r="F1386" t="str">
        <f>"301272016A"</f>
        <v>301272016A</v>
      </c>
      <c r="G1386" s="4">
        <v>250</v>
      </c>
      <c r="H1386" t="str">
        <f>"301272016A"</f>
        <v>301272016A</v>
      </c>
    </row>
    <row r="1387" spans="1:8" x14ac:dyDescent="0.25">
      <c r="E1387" t="str">
        <f>"202106164028"</f>
        <v>202106164028</v>
      </c>
      <c r="F1387" t="str">
        <f>"21-20724"</f>
        <v>21-20724</v>
      </c>
      <c r="G1387" s="4">
        <v>325</v>
      </c>
      <c r="H1387" t="str">
        <f>"21-20724"</f>
        <v>21-20724</v>
      </c>
    </row>
    <row r="1388" spans="1:8" x14ac:dyDescent="0.25">
      <c r="E1388" t="str">
        <f>"202106174088"</f>
        <v>202106174088</v>
      </c>
      <c r="F1388" t="str">
        <f>"16-257"</f>
        <v>16-257</v>
      </c>
      <c r="G1388" s="4">
        <v>1400</v>
      </c>
      <c r="H1388" t="str">
        <f>"16-257"</f>
        <v>16-257</v>
      </c>
    </row>
    <row r="1389" spans="1:8" x14ac:dyDescent="0.25">
      <c r="A1389" t="s">
        <v>384</v>
      </c>
      <c r="B1389">
        <v>136088</v>
      </c>
      <c r="C1389" s="4">
        <v>367.05</v>
      </c>
      <c r="D1389" s="1">
        <v>44375</v>
      </c>
      <c r="E1389" t="str">
        <f>"81152341"</f>
        <v>81152341</v>
      </c>
      <c r="F1389" t="str">
        <f>"INV 81152341"</f>
        <v>INV 81152341</v>
      </c>
      <c r="G1389" s="4">
        <v>367.05</v>
      </c>
      <c r="H1389" t="str">
        <f>"INV 81152341"</f>
        <v>INV 81152341</v>
      </c>
    </row>
    <row r="1390" spans="1:8" x14ac:dyDescent="0.25">
      <c r="A1390" t="s">
        <v>385</v>
      </c>
      <c r="B1390">
        <v>136089</v>
      </c>
      <c r="C1390" s="4">
        <v>856.59</v>
      </c>
      <c r="D1390" s="1">
        <v>44375</v>
      </c>
      <c r="E1390" t="str">
        <f>"844439268"</f>
        <v>844439268</v>
      </c>
      <c r="F1390" t="str">
        <f>"ACCT#1000310962 / WEST INFO CH"</f>
        <v>ACCT#1000310962 / WEST INFO CH</v>
      </c>
      <c r="G1390" s="4">
        <v>856.59</v>
      </c>
      <c r="H1390" t="str">
        <f>"ACCT#1000310962 / WEST INFO CH"</f>
        <v>ACCT#1000310962 / WEST INFO CH</v>
      </c>
    </row>
    <row r="1391" spans="1:8" x14ac:dyDescent="0.25">
      <c r="A1391" t="s">
        <v>386</v>
      </c>
      <c r="B1391">
        <v>136090</v>
      </c>
      <c r="C1391" s="4">
        <v>988</v>
      </c>
      <c r="D1391" s="1">
        <v>44375</v>
      </c>
      <c r="E1391" t="str">
        <f>"23724"</f>
        <v>23724</v>
      </c>
      <c r="F1391" t="str">
        <f>"Toxicology &amp; Blood Alcoho"</f>
        <v>Toxicology &amp; Blood Alcoho</v>
      </c>
      <c r="G1391" s="4">
        <v>988</v>
      </c>
      <c r="H1391" t="str">
        <f>"Toxicology &amp; Blood Alcoho"</f>
        <v>Toxicology &amp; Blood Alcoho</v>
      </c>
    </row>
    <row r="1392" spans="1:8" x14ac:dyDescent="0.25">
      <c r="A1392" t="s">
        <v>387</v>
      </c>
      <c r="B1392">
        <v>135959</v>
      </c>
      <c r="C1392" s="4">
        <v>764.61</v>
      </c>
      <c r="D1392" s="1">
        <v>44361</v>
      </c>
      <c r="E1392" t="str">
        <f>"0155923051221"</f>
        <v>0155923051221</v>
      </c>
      <c r="F1392" t="str">
        <f>"ACCT#8260160170155923"</f>
        <v>ACCT#8260160170155923</v>
      </c>
      <c r="G1392" s="4">
        <v>120.14</v>
      </c>
      <c r="H1392" t="str">
        <f>"ACCT#8260160170155923"</f>
        <v>ACCT#8260160170155923</v>
      </c>
    </row>
    <row r="1393" spans="1:8" x14ac:dyDescent="0.25">
      <c r="E1393" t="str">
        <f>"0167100051621"</f>
        <v>0167100051621</v>
      </c>
      <c r="F1393" t="str">
        <f>"ACCT#8260160170167100"</f>
        <v>ACCT#8260160170167100</v>
      </c>
      <c r="G1393" s="4">
        <v>644.47</v>
      </c>
      <c r="H1393" t="str">
        <f>"ACCT#8260160170167100"</f>
        <v>ACCT#8260160170167100</v>
      </c>
    </row>
    <row r="1394" spans="1:8" x14ac:dyDescent="0.25">
      <c r="A1394" t="s">
        <v>387</v>
      </c>
      <c r="B1394">
        <v>136091</v>
      </c>
      <c r="C1394" s="4">
        <v>3879.03</v>
      </c>
      <c r="D1394" s="1">
        <v>44375</v>
      </c>
      <c r="E1394" t="str">
        <f>"0155923061221"</f>
        <v>0155923061221</v>
      </c>
      <c r="F1394" t="str">
        <f>"ACCT#8260160170155923"</f>
        <v>ACCT#8260160170155923</v>
      </c>
      <c r="G1394" s="4">
        <v>120.14</v>
      </c>
      <c r="H1394" t="str">
        <f>"ACCT#8260160170155923"</f>
        <v>ACCT#8260160170155923</v>
      </c>
    </row>
    <row r="1395" spans="1:8" x14ac:dyDescent="0.25">
      <c r="E1395" t="str">
        <f>"202106164004"</f>
        <v>202106164004</v>
      </c>
      <c r="F1395" t="str">
        <f>"ACCT#8260163000003669"</f>
        <v>ACCT#8260163000003669</v>
      </c>
      <c r="G1395" s="4">
        <v>3066.17</v>
      </c>
      <c r="H1395" t="str">
        <f>"ACCT#8260163000003669"</f>
        <v>ACCT#8260163000003669</v>
      </c>
    </row>
    <row r="1396" spans="1:8" x14ac:dyDescent="0.25">
      <c r="E1396" t="str">
        <f>""</f>
        <v/>
      </c>
      <c r="F1396" t="str">
        <f>""</f>
        <v/>
      </c>
      <c r="H1396" t="str">
        <f>"ACCT#8260163000003669"</f>
        <v>ACCT#8260163000003669</v>
      </c>
    </row>
    <row r="1397" spans="1:8" x14ac:dyDescent="0.25">
      <c r="E1397" t="str">
        <f>"202106174075"</f>
        <v>202106174075</v>
      </c>
      <c r="F1397" t="str">
        <f>"ACCT#8260161110164314"</f>
        <v>ACCT#8260161110164314</v>
      </c>
      <c r="G1397" s="4">
        <v>692.72</v>
      </c>
      <c r="H1397" t="str">
        <f>"ACCT#8260161110164314"</f>
        <v>ACCT#8260161110164314</v>
      </c>
    </row>
    <row r="1398" spans="1:8" x14ac:dyDescent="0.25">
      <c r="A1398" t="s">
        <v>388</v>
      </c>
      <c r="B1398">
        <v>136092</v>
      </c>
      <c r="C1398" s="4">
        <v>32.4</v>
      </c>
      <c r="D1398" s="1">
        <v>44375</v>
      </c>
      <c r="E1398" t="str">
        <f>"202106174055"</f>
        <v>202106174055</v>
      </c>
      <c r="F1398" t="str">
        <f>"REIMBURSE/TOMMY POTTS"</f>
        <v>REIMBURSE/TOMMY POTTS</v>
      </c>
      <c r="G1398" s="4">
        <v>32.4</v>
      </c>
      <c r="H1398" t="str">
        <f>"REIMBURSE/TOMMY POTTS"</f>
        <v>REIMBURSE/TOMMY POTTS</v>
      </c>
    </row>
    <row r="1399" spans="1:8" x14ac:dyDescent="0.25">
      <c r="A1399" t="s">
        <v>389</v>
      </c>
      <c r="B1399">
        <v>1121</v>
      </c>
      <c r="C1399" s="4">
        <v>0</v>
      </c>
      <c r="D1399" s="1">
        <v>44362</v>
      </c>
      <c r="E1399" t="str">
        <f>"202106153963"</f>
        <v>202106153963</v>
      </c>
      <c r="F1399" t="str">
        <f>"ACCT# 72-56313 / 06032021"</f>
        <v>ACCT# 72-56313 / 06032021</v>
      </c>
      <c r="G1399" s="4">
        <v>-59.98</v>
      </c>
      <c r="H1399" t="str">
        <f>"ACCT# 72-56313 / 06032021"</f>
        <v>ACCT# 72-56313 / 06032021</v>
      </c>
    </row>
    <row r="1400" spans="1:8" x14ac:dyDescent="0.25">
      <c r="E1400" t="str">
        <f>"202106143938"</f>
        <v>202106143938</v>
      </c>
      <c r="F1400" t="str">
        <f>"ACCT #72-56313 / 06/03/2021"</f>
        <v>ACCT #72-56313 / 06/03/2021</v>
      </c>
      <c r="G1400" s="4">
        <v>59.98</v>
      </c>
      <c r="H1400" t="str">
        <f>"ACCT #72-56313 / 06/03/2021"</f>
        <v>ACCT #72-56313 / 06/03/2021</v>
      </c>
    </row>
    <row r="1401" spans="1:8" x14ac:dyDescent="0.25">
      <c r="A1401" t="s">
        <v>389</v>
      </c>
      <c r="B1401">
        <v>135960</v>
      </c>
      <c r="C1401" s="4">
        <v>125.71</v>
      </c>
      <c r="D1401" s="1">
        <v>44361</v>
      </c>
      <c r="E1401" t="str">
        <f>"100700708"</f>
        <v>100700708</v>
      </c>
      <c r="F1401" t="str">
        <f>"TRACTOR SUPPLY CREDIT PLAN"</f>
        <v>TRACTOR SUPPLY CREDIT PLAN</v>
      </c>
      <c r="G1401" s="4">
        <v>125.71</v>
      </c>
      <c r="H1401" t="str">
        <f>"INV#100-655-3550"</f>
        <v>INV#100-655-3550</v>
      </c>
    </row>
    <row r="1402" spans="1:8" x14ac:dyDescent="0.25">
      <c r="E1402" t="str">
        <f>""</f>
        <v/>
      </c>
      <c r="F1402" t="str">
        <f>""</f>
        <v/>
      </c>
      <c r="H1402" t="str">
        <f>"INV#100700708"</f>
        <v>INV#100700708</v>
      </c>
    </row>
    <row r="1403" spans="1:8" x14ac:dyDescent="0.25">
      <c r="E1403" t="str">
        <f>""</f>
        <v/>
      </c>
      <c r="F1403" t="str">
        <f>""</f>
        <v/>
      </c>
      <c r="H1403" t="str">
        <f>"INV#200725896"</f>
        <v>INV#200725896</v>
      </c>
    </row>
    <row r="1404" spans="1:8" x14ac:dyDescent="0.25">
      <c r="A1404" t="s">
        <v>390</v>
      </c>
      <c r="B1404">
        <v>136093</v>
      </c>
      <c r="C1404" s="4">
        <v>9759</v>
      </c>
      <c r="D1404" s="1">
        <v>44375</v>
      </c>
      <c r="E1404" t="str">
        <f>"000596459"</f>
        <v>000596459</v>
      </c>
      <c r="F1404" t="str">
        <f>"ACCT#4812W1083"</f>
        <v>ACCT#4812W1083</v>
      </c>
      <c r="G1404" s="4">
        <v>9759</v>
      </c>
      <c r="H1404" t="str">
        <f>"ACCT#4812W1083"</f>
        <v>ACCT#4812W1083</v>
      </c>
    </row>
    <row r="1405" spans="1:8" x14ac:dyDescent="0.25">
      <c r="A1405" t="s">
        <v>391</v>
      </c>
      <c r="B1405">
        <v>135961</v>
      </c>
      <c r="C1405" s="4">
        <v>951</v>
      </c>
      <c r="D1405" s="1">
        <v>44361</v>
      </c>
      <c r="E1405" t="str">
        <f>"21-001086"</f>
        <v>21-001086</v>
      </c>
      <c r="F1405" t="str">
        <f>"MH 21-001086/G. HERNANDEZ"</f>
        <v>MH 21-001086/G. HERNANDEZ</v>
      </c>
      <c r="G1405" s="4">
        <v>488</v>
      </c>
      <c r="H1405" t="str">
        <f>"MH 21-001086/G. HERNANDEZ"</f>
        <v>MH 21-001086/G. HERNANDEZ</v>
      </c>
    </row>
    <row r="1406" spans="1:8" x14ac:dyDescent="0.25">
      <c r="E1406" t="str">
        <f>"21-001157"</f>
        <v>21-001157</v>
      </c>
      <c r="F1406" t="str">
        <f>"MH-21-001157/G. HERNANDEZ"</f>
        <v>MH-21-001157/G. HERNANDEZ</v>
      </c>
      <c r="G1406" s="4">
        <v>463</v>
      </c>
      <c r="H1406" t="str">
        <f>"MH-21-001157/G. HERNANDEZ"</f>
        <v>MH-21-001157/G. HERNANDEZ</v>
      </c>
    </row>
    <row r="1407" spans="1:8" x14ac:dyDescent="0.25">
      <c r="A1407" t="s">
        <v>392</v>
      </c>
      <c r="B1407">
        <v>135962</v>
      </c>
      <c r="C1407" s="4">
        <v>537</v>
      </c>
      <c r="D1407" s="1">
        <v>44361</v>
      </c>
      <c r="E1407" t="str">
        <f>"11-328"</f>
        <v>11-328</v>
      </c>
      <c r="F1407" t="str">
        <f>"SERVICE"</f>
        <v>SERVICE</v>
      </c>
      <c r="G1407" s="4">
        <v>50</v>
      </c>
      <c r="H1407" t="str">
        <f>"SERVICE"</f>
        <v>SERVICE</v>
      </c>
    </row>
    <row r="1408" spans="1:8" x14ac:dyDescent="0.25">
      <c r="E1408" t="str">
        <f>"13310"</f>
        <v>13310</v>
      </c>
      <c r="F1408" t="str">
        <f>"SERVICE"</f>
        <v>SERVICE</v>
      </c>
      <c r="G1408" s="4">
        <v>310</v>
      </c>
      <c r="H1408" t="str">
        <f>"SERVICE"</f>
        <v>SERVICE</v>
      </c>
    </row>
    <row r="1409" spans="1:8" x14ac:dyDescent="0.25">
      <c r="E1409" t="str">
        <f>"13325"</f>
        <v>13325</v>
      </c>
      <c r="F1409" t="str">
        <f>"SERVICE"</f>
        <v>SERVICE</v>
      </c>
      <c r="G1409" s="4">
        <v>17</v>
      </c>
      <c r="H1409" t="str">
        <f>"SERVICE"</f>
        <v>SERVICE</v>
      </c>
    </row>
    <row r="1410" spans="1:8" x14ac:dyDescent="0.25">
      <c r="E1410" t="str">
        <f>"13611"</f>
        <v>13611</v>
      </c>
      <c r="F1410" t="str">
        <f>"SERVICE"</f>
        <v>SERVICE</v>
      </c>
      <c r="G1410" s="4">
        <v>80</v>
      </c>
      <c r="H1410" t="str">
        <f>"SERVICE"</f>
        <v>SERVICE</v>
      </c>
    </row>
    <row r="1411" spans="1:8" x14ac:dyDescent="0.25">
      <c r="E1411" t="str">
        <f>"13697"</f>
        <v>13697</v>
      </c>
      <c r="F1411" t="str">
        <f>"SERVICE"</f>
        <v>SERVICE</v>
      </c>
      <c r="G1411" s="4">
        <v>80</v>
      </c>
      <c r="H1411" t="str">
        <f>"SERVICE"</f>
        <v>SERVICE</v>
      </c>
    </row>
    <row r="1412" spans="1:8" x14ac:dyDescent="0.25">
      <c r="A1412" t="s">
        <v>392</v>
      </c>
      <c r="B1412">
        <v>136094</v>
      </c>
      <c r="C1412" s="4">
        <v>150</v>
      </c>
      <c r="D1412" s="1">
        <v>44375</v>
      </c>
      <c r="E1412" t="str">
        <f>"13101"</f>
        <v>13101</v>
      </c>
      <c r="F1412" t="str">
        <f>"SERVICE  04/05/2021"</f>
        <v>SERVICE  04/05/2021</v>
      </c>
      <c r="G1412" s="4">
        <v>75</v>
      </c>
      <c r="H1412" t="str">
        <f>"SERVICE  04/05/2021"</f>
        <v>SERVICE  04/05/2021</v>
      </c>
    </row>
    <row r="1413" spans="1:8" x14ac:dyDescent="0.25">
      <c r="E1413" t="str">
        <f>"13221"</f>
        <v>13221</v>
      </c>
      <c r="F1413" t="str">
        <f>"SERVICE"</f>
        <v>SERVICE</v>
      </c>
      <c r="G1413" s="4">
        <v>75</v>
      </c>
      <c r="H1413" t="str">
        <f>"SERVICE"</f>
        <v>SERVICE</v>
      </c>
    </row>
    <row r="1414" spans="1:8" x14ac:dyDescent="0.25">
      <c r="A1414" t="s">
        <v>393</v>
      </c>
      <c r="B1414">
        <v>136095</v>
      </c>
      <c r="C1414" s="4">
        <v>3335</v>
      </c>
      <c r="D1414" s="1">
        <v>44375</v>
      </c>
      <c r="E1414" t="str">
        <f>"3300004748"</f>
        <v>3300004748</v>
      </c>
      <c r="F1414" t="str">
        <f>"CUST#100010/JP#3"</f>
        <v>CUST#100010/JP#3</v>
      </c>
      <c r="G1414" s="4">
        <v>3335</v>
      </c>
      <c r="H1414" t="str">
        <f>"CUST#100010/JP#3"</f>
        <v>CUST#100010/JP#3</v>
      </c>
    </row>
    <row r="1415" spans="1:8" x14ac:dyDescent="0.25">
      <c r="A1415" t="s">
        <v>394</v>
      </c>
      <c r="B1415">
        <v>136096</v>
      </c>
      <c r="C1415" s="4">
        <v>2850</v>
      </c>
      <c r="D1415" s="1">
        <v>44375</v>
      </c>
      <c r="E1415" t="str">
        <f>"00007162"</f>
        <v>00007162</v>
      </c>
      <c r="F1415" t="str">
        <f>"CUST#BASTROPCO/PCT#3"</f>
        <v>CUST#BASTROPCO/PCT#3</v>
      </c>
      <c r="G1415" s="4">
        <v>2850</v>
      </c>
      <c r="H1415" t="str">
        <f>"CUST#BASTROPCO/PCT#3"</f>
        <v>CUST#BASTROPCO/PCT#3</v>
      </c>
    </row>
    <row r="1416" spans="1:8" x14ac:dyDescent="0.25">
      <c r="A1416" t="s">
        <v>395</v>
      </c>
      <c r="B1416">
        <v>4626</v>
      </c>
      <c r="C1416" s="4">
        <v>100</v>
      </c>
      <c r="D1416" s="1">
        <v>44362</v>
      </c>
      <c r="E1416" t="str">
        <f>"202106093851"</f>
        <v>202106093851</v>
      </c>
      <c r="F1416" t="str">
        <f>"1817-21"</f>
        <v>1817-21</v>
      </c>
      <c r="G1416" s="4">
        <v>100</v>
      </c>
      <c r="H1416" t="str">
        <f>"1817-21"</f>
        <v>1817-21</v>
      </c>
    </row>
    <row r="1417" spans="1:8" x14ac:dyDescent="0.25">
      <c r="A1417" t="s">
        <v>395</v>
      </c>
      <c r="B1417">
        <v>4697</v>
      </c>
      <c r="C1417" s="4">
        <v>1600</v>
      </c>
      <c r="D1417" s="1">
        <v>44376</v>
      </c>
      <c r="E1417" t="str">
        <f>"202106164024"</f>
        <v>202106164024</v>
      </c>
      <c r="F1417" t="str">
        <f>"17-150"</f>
        <v>17-150</v>
      </c>
      <c r="G1417" s="4">
        <v>800</v>
      </c>
      <c r="H1417" t="str">
        <f>"17-150"</f>
        <v>17-150</v>
      </c>
    </row>
    <row r="1418" spans="1:8" x14ac:dyDescent="0.25">
      <c r="E1418" t="str">
        <f>"202106164025"</f>
        <v>202106164025</v>
      </c>
      <c r="F1418" t="str">
        <f>"17-019"</f>
        <v>17-019</v>
      </c>
      <c r="G1418" s="4">
        <v>400</v>
      </c>
      <c r="H1418" t="str">
        <f>"17-019"</f>
        <v>17-019</v>
      </c>
    </row>
    <row r="1419" spans="1:8" x14ac:dyDescent="0.25">
      <c r="E1419" t="str">
        <f>"202106174087"</f>
        <v>202106174087</v>
      </c>
      <c r="F1419" t="str">
        <f>"17293"</f>
        <v>17293</v>
      </c>
      <c r="G1419" s="4">
        <v>400</v>
      </c>
      <c r="H1419" t="str">
        <f>"17293"</f>
        <v>17293</v>
      </c>
    </row>
    <row r="1420" spans="1:8" x14ac:dyDescent="0.25">
      <c r="A1420" t="s">
        <v>396</v>
      </c>
      <c r="B1420">
        <v>4639</v>
      </c>
      <c r="C1420" s="4">
        <v>914</v>
      </c>
      <c r="D1420" s="1">
        <v>44376</v>
      </c>
      <c r="E1420" t="str">
        <f>"202106224118"</f>
        <v>202106224118</v>
      </c>
      <c r="F1420" t="str">
        <f>"ACCT#33036/ANIMAL SHELTER"</f>
        <v>ACCT#33036/ANIMAL SHELTER</v>
      </c>
      <c r="G1420" s="4">
        <v>367</v>
      </c>
      <c r="H1420" t="str">
        <f>"REF#C211620342/ANIMAL SHELTER"</f>
        <v>REF#C211620342/ANIMAL SHELTER</v>
      </c>
    </row>
    <row r="1421" spans="1:8" x14ac:dyDescent="0.25">
      <c r="E1421" t="str">
        <f>"202106224119"</f>
        <v>202106224119</v>
      </c>
      <c r="F1421" t="str">
        <f>"ACCT#33036/ANIMAL SHELTER"</f>
        <v>ACCT#33036/ANIMAL SHELTER</v>
      </c>
      <c r="G1421" s="4">
        <v>547</v>
      </c>
      <c r="H1421" t="str">
        <f>"ACCT#33036/ANIMAL SHELTER"</f>
        <v>ACCT#33036/ANIMAL SHELTER</v>
      </c>
    </row>
    <row r="1422" spans="1:8" x14ac:dyDescent="0.25">
      <c r="A1422" t="s">
        <v>397</v>
      </c>
      <c r="B1422">
        <v>135963</v>
      </c>
      <c r="C1422" s="4">
        <v>698.9</v>
      </c>
      <c r="D1422" s="1">
        <v>44361</v>
      </c>
      <c r="E1422" t="str">
        <f>"2103"</f>
        <v>2103</v>
      </c>
      <c r="F1422" t="str">
        <f>"2007 FREIGHLINER/PCT#3"</f>
        <v>2007 FREIGHLINER/PCT#3</v>
      </c>
      <c r="G1422" s="4">
        <v>452.15</v>
      </c>
      <c r="H1422" t="str">
        <f>"2007 FREIGHLINER/PCT#3"</f>
        <v>2007 FREIGHLINER/PCT#3</v>
      </c>
    </row>
    <row r="1423" spans="1:8" x14ac:dyDescent="0.25">
      <c r="E1423" t="str">
        <f>"2121"</f>
        <v>2121</v>
      </c>
      <c r="F1423" t="str">
        <f>"2010 FRIGHTLINER/PCT#3"</f>
        <v>2010 FRIGHTLINER/PCT#3</v>
      </c>
      <c r="G1423" s="4">
        <v>246.75</v>
      </c>
      <c r="H1423" t="str">
        <f>"2010 FRIGHTLINER/PCT#3"</f>
        <v>2010 FRIGHTLINER/PCT#3</v>
      </c>
    </row>
    <row r="1424" spans="1:8" x14ac:dyDescent="0.25">
      <c r="A1424" t="s">
        <v>398</v>
      </c>
      <c r="B1424">
        <v>1122</v>
      </c>
      <c r="C1424" s="4">
        <v>0</v>
      </c>
      <c r="D1424" s="1">
        <v>44362</v>
      </c>
      <c r="E1424" t="str">
        <f>"202106153965"</f>
        <v>202106153965</v>
      </c>
      <c r="F1424" t="str">
        <f>"ACCT# 72-56313 / 06032021"</f>
        <v>ACCT# 72-56313 / 06032021</v>
      </c>
      <c r="G1424" s="4">
        <v>-59.2</v>
      </c>
      <c r="H1424" t="str">
        <f>"ACCT# 72-56313 / 06032021"</f>
        <v>ACCT# 72-56313 / 06032021</v>
      </c>
    </row>
    <row r="1425" spans="1:8" x14ac:dyDescent="0.25">
      <c r="E1425" t="str">
        <f>"202106143939"</f>
        <v>202106143939</v>
      </c>
      <c r="F1425" t="str">
        <f>"ACCT #72-56313 / 06/03/2021"</f>
        <v>ACCT #72-56313 / 06/03/2021</v>
      </c>
      <c r="G1425" s="4">
        <v>59.2</v>
      </c>
      <c r="H1425" t="str">
        <f>"ACCT #72-56313 / 06/03/2021"</f>
        <v>ACCT #72-56313 / 06/03/2021</v>
      </c>
    </row>
    <row r="1426" spans="1:8" x14ac:dyDescent="0.25">
      <c r="A1426" t="s">
        <v>399</v>
      </c>
      <c r="B1426">
        <v>136097</v>
      </c>
      <c r="C1426" s="4">
        <v>40445.199999999997</v>
      </c>
      <c r="D1426" s="1">
        <v>44375</v>
      </c>
      <c r="E1426" t="str">
        <f>"020-128324"</f>
        <v>020-128324</v>
      </c>
      <c r="F1426" t="str">
        <f>"CUST#42161/JURY SOFTWARE"</f>
        <v>CUST#42161/JURY SOFTWARE</v>
      </c>
      <c r="G1426" s="4">
        <v>-2322.1</v>
      </c>
      <c r="H1426" t="str">
        <f>"CUST#42161/JURY SOFTWARE"</f>
        <v>CUST#42161/JURY SOFTWARE</v>
      </c>
    </row>
    <row r="1427" spans="1:8" x14ac:dyDescent="0.25">
      <c r="E1427" t="str">
        <f>"130-120260"</f>
        <v>130-120260</v>
      </c>
      <c r="F1427" t="str">
        <f>"CUST#42161"</f>
        <v>CUST#42161</v>
      </c>
      <c r="G1427" s="4">
        <v>-1182.55</v>
      </c>
      <c r="H1427" t="str">
        <f>"CUST#42161"</f>
        <v>CUST#42161</v>
      </c>
    </row>
    <row r="1428" spans="1:8" x14ac:dyDescent="0.25">
      <c r="E1428" t="str">
        <f>"020-129150"</f>
        <v>020-129150</v>
      </c>
      <c r="F1428" t="str">
        <f>"CUST#42161/MAIN"</f>
        <v>CUST#42161/MAIN</v>
      </c>
      <c r="G1428" s="4">
        <v>4578.75</v>
      </c>
      <c r="H1428" t="str">
        <f>"CUST#42161/MAIN"</f>
        <v>CUST#42161/MAIN</v>
      </c>
    </row>
    <row r="1429" spans="1:8" x14ac:dyDescent="0.25">
      <c r="E1429" t="str">
        <f>"020-129173"</f>
        <v>020-129173</v>
      </c>
      <c r="F1429" t="str">
        <f>"CUST#42161"</f>
        <v>CUST#42161</v>
      </c>
      <c r="G1429" s="4">
        <v>37002.080000000002</v>
      </c>
      <c r="H1429" t="str">
        <f>"CUST#42161"</f>
        <v>CUST#42161</v>
      </c>
    </row>
    <row r="1430" spans="1:8" x14ac:dyDescent="0.25">
      <c r="E1430" t="str">
        <f>""</f>
        <v/>
      </c>
      <c r="F1430" t="str">
        <f>""</f>
        <v/>
      </c>
      <c r="H1430" t="str">
        <f>"CUST#42161"</f>
        <v>CUST#42161</v>
      </c>
    </row>
    <row r="1431" spans="1:8" x14ac:dyDescent="0.25">
      <c r="E1431" t="str">
        <f>"020-129448"</f>
        <v>020-129448</v>
      </c>
      <c r="F1431" t="str">
        <f>"CUST#42161"</f>
        <v>CUST#42161</v>
      </c>
      <c r="G1431" s="4">
        <v>3.92</v>
      </c>
      <c r="H1431" t="str">
        <f>"CUST#42161"</f>
        <v>CUST#42161</v>
      </c>
    </row>
    <row r="1432" spans="1:8" x14ac:dyDescent="0.25">
      <c r="E1432" t="str">
        <f>"130-119510"</f>
        <v>130-119510</v>
      </c>
      <c r="F1432" t="str">
        <f>"CUST#42161"</f>
        <v>CUST#42161</v>
      </c>
      <c r="G1432" s="4">
        <v>1182.55</v>
      </c>
      <c r="H1432" t="str">
        <f>"CUST#42161"</f>
        <v>CUST#42161</v>
      </c>
    </row>
    <row r="1433" spans="1:8" x14ac:dyDescent="0.25">
      <c r="E1433" t="str">
        <f>"130-120604"</f>
        <v>130-120604</v>
      </c>
      <c r="F1433" t="str">
        <f>"CUST#42161"</f>
        <v>CUST#42161</v>
      </c>
      <c r="G1433" s="4">
        <v>1182.55</v>
      </c>
      <c r="H1433" t="str">
        <f>"CUST#42161"</f>
        <v>CUST#42161</v>
      </c>
    </row>
    <row r="1434" spans="1:8" x14ac:dyDescent="0.25">
      <c r="A1434" t="s">
        <v>400</v>
      </c>
      <c r="B1434">
        <v>4637</v>
      </c>
      <c r="C1434" s="4">
        <v>2456.9699999999998</v>
      </c>
      <c r="D1434" s="1">
        <v>44376</v>
      </c>
      <c r="E1434" t="str">
        <f>"134475344"</f>
        <v>134475344</v>
      </c>
      <c r="F1434" t="str">
        <f>"INV 134475344"</f>
        <v>INV 134475344</v>
      </c>
      <c r="G1434" s="4">
        <v>2456.9699999999998</v>
      </c>
      <c r="H1434" t="str">
        <f>"INV 134475344"</f>
        <v>INV 134475344</v>
      </c>
    </row>
    <row r="1435" spans="1:8" x14ac:dyDescent="0.25">
      <c r="A1435" t="s">
        <v>401</v>
      </c>
      <c r="B1435">
        <v>4642</v>
      </c>
      <c r="C1435" s="4">
        <v>30.4</v>
      </c>
      <c r="D1435" s="1">
        <v>44376</v>
      </c>
      <c r="E1435" t="str">
        <f>"11529297"</f>
        <v>11529297</v>
      </c>
      <c r="F1435" t="str">
        <f>"ACCT#38049/PCT#4"</f>
        <v>ACCT#38049/PCT#4</v>
      </c>
      <c r="G1435" s="4">
        <v>30.4</v>
      </c>
      <c r="H1435" t="str">
        <f>"ACCT#38049/PCT#4"</f>
        <v>ACCT#38049/PCT#4</v>
      </c>
    </row>
    <row r="1436" spans="1:8" x14ac:dyDescent="0.25">
      <c r="A1436" t="s">
        <v>402</v>
      </c>
      <c r="B1436">
        <v>4689</v>
      </c>
      <c r="C1436" s="4">
        <v>825</v>
      </c>
      <c r="D1436" s="1">
        <v>44376</v>
      </c>
      <c r="E1436" t="str">
        <f>"79308375-00"</f>
        <v>79308375-00</v>
      </c>
      <c r="F1436" t="str">
        <f>"INV 79308375-00"</f>
        <v>INV 79308375-00</v>
      </c>
      <c r="G1436" s="4">
        <v>825</v>
      </c>
      <c r="H1436" t="str">
        <f>"INV 79308375-00"</f>
        <v>INV 79308375-00</v>
      </c>
    </row>
    <row r="1437" spans="1:8" x14ac:dyDescent="0.25">
      <c r="A1437" t="s">
        <v>403</v>
      </c>
      <c r="B1437">
        <v>135964</v>
      </c>
      <c r="C1437" s="4">
        <v>435</v>
      </c>
      <c r="D1437" s="1">
        <v>44361</v>
      </c>
      <c r="E1437" t="str">
        <f>"202106073766"</f>
        <v>202106073766</v>
      </c>
      <c r="F1437" t="str">
        <f>"Purchasing 101"</f>
        <v>Purchasing 101</v>
      </c>
      <c r="G1437" s="4">
        <v>435</v>
      </c>
      <c r="H1437" t="str">
        <f>"Purchasing 101"</f>
        <v>Purchasing 101</v>
      </c>
    </row>
    <row r="1438" spans="1:8" x14ac:dyDescent="0.25">
      <c r="A1438" t="s">
        <v>404</v>
      </c>
      <c r="B1438">
        <v>135965</v>
      </c>
      <c r="C1438" s="4">
        <v>240</v>
      </c>
      <c r="D1438" s="1">
        <v>44361</v>
      </c>
      <c r="E1438" t="str">
        <f>"202105263420"</f>
        <v>202105263420</v>
      </c>
      <c r="F1438" t="str">
        <f>"REIMBURSEMENT/VALERIE BULLOCK"</f>
        <v>REIMBURSEMENT/VALERIE BULLOCK</v>
      </c>
      <c r="G1438" s="4">
        <v>240</v>
      </c>
      <c r="H1438" t="str">
        <f>"REIMBURSEMENT/VALERIE BULLOCK"</f>
        <v>REIMBURSEMENT/VALERIE BULLOCK</v>
      </c>
    </row>
    <row r="1439" spans="1:8" x14ac:dyDescent="0.25">
      <c r="A1439" t="s">
        <v>405</v>
      </c>
      <c r="B1439">
        <v>136098</v>
      </c>
      <c r="C1439" s="4">
        <v>80</v>
      </c>
      <c r="D1439" s="1">
        <v>44375</v>
      </c>
      <c r="E1439" t="str">
        <f>"212812012-19802224"</f>
        <v>212812012-19802224</v>
      </c>
      <c r="F1439" t="str">
        <f>"INV 21281012-19802224"</f>
        <v>INV 21281012-19802224</v>
      </c>
      <c r="G1439" s="4">
        <v>80</v>
      </c>
      <c r="H1439" t="str">
        <f>"INV 21281012-19802224"</f>
        <v>INV 21281012-19802224</v>
      </c>
    </row>
    <row r="1440" spans="1:8" x14ac:dyDescent="0.25">
      <c r="A1440" t="s">
        <v>406</v>
      </c>
      <c r="B1440">
        <v>136099</v>
      </c>
      <c r="C1440" s="4">
        <v>1898.4</v>
      </c>
      <c r="D1440" s="1">
        <v>44375</v>
      </c>
      <c r="E1440" t="str">
        <f>"0047693"</f>
        <v>0047693</v>
      </c>
      <c r="F1440" t="str">
        <f>"INV 0047693  0049230"</f>
        <v>INV 0047693  0049230</v>
      </c>
      <c r="G1440" s="4">
        <v>1898.4</v>
      </c>
      <c r="H1440" t="str">
        <f>"INV 0047693"</f>
        <v>INV 0047693</v>
      </c>
    </row>
    <row r="1441" spans="1:8" x14ac:dyDescent="0.25">
      <c r="E1441" t="str">
        <f>""</f>
        <v/>
      </c>
      <c r="F1441" t="str">
        <f>""</f>
        <v/>
      </c>
      <c r="H1441" t="str">
        <f>"INV 0049230"</f>
        <v>INV 0049230</v>
      </c>
    </row>
    <row r="1442" spans="1:8" x14ac:dyDescent="0.25">
      <c r="A1442" t="s">
        <v>407</v>
      </c>
      <c r="B1442">
        <v>135966</v>
      </c>
      <c r="C1442" s="4">
        <v>4500</v>
      </c>
      <c r="D1442" s="1">
        <v>44361</v>
      </c>
      <c r="E1442" t="str">
        <f>"24482"</f>
        <v>24482</v>
      </c>
      <c r="F1442" t="str">
        <f>"License Plate Reader"</f>
        <v>License Plate Reader</v>
      </c>
      <c r="G1442" s="4">
        <v>4500</v>
      </c>
      <c r="H1442" t="str">
        <f>"FY 21-22"</f>
        <v>FY 21-22</v>
      </c>
    </row>
    <row r="1443" spans="1:8" x14ac:dyDescent="0.25">
      <c r="E1443" t="str">
        <f>""</f>
        <v/>
      </c>
      <c r="F1443" t="str">
        <f>""</f>
        <v/>
      </c>
      <c r="H1443" t="str">
        <f>"License Plate Reader Rene"</f>
        <v>License Plate Reader Rene</v>
      </c>
    </row>
    <row r="1444" spans="1:8" x14ac:dyDescent="0.25">
      <c r="A1444" t="s">
        <v>408</v>
      </c>
      <c r="B1444">
        <v>1112</v>
      </c>
      <c r="C1444" s="4">
        <v>0</v>
      </c>
      <c r="D1444" s="1">
        <v>44362</v>
      </c>
      <c r="E1444" t="str">
        <f>"202106153966"</f>
        <v>202106153966</v>
      </c>
      <c r="F1444" t="str">
        <f>"ACCT# 72-56313 / 06032021"</f>
        <v>ACCT# 72-56313 / 06032021</v>
      </c>
      <c r="G1444" s="4">
        <v>-27.59</v>
      </c>
      <c r="H1444" t="str">
        <f>"ACCT# 72-56313 / 06032021"</f>
        <v>ACCT# 72-56313 / 06032021</v>
      </c>
    </row>
    <row r="1445" spans="1:8" x14ac:dyDescent="0.25">
      <c r="E1445" t="str">
        <f>"202106143929"</f>
        <v>202106143929</v>
      </c>
      <c r="F1445" t="str">
        <f>"ACCT #72-56313 / 06/03/2021"</f>
        <v>ACCT #72-56313 / 06/03/2021</v>
      </c>
      <c r="G1445" s="4">
        <v>27.59</v>
      </c>
      <c r="H1445" t="str">
        <f>"ACCT #72-56313 / 06/03/2021"</f>
        <v>ACCT #72-56313 / 06/03/2021</v>
      </c>
    </row>
    <row r="1446" spans="1:8" x14ac:dyDescent="0.25">
      <c r="A1446" t="s">
        <v>409</v>
      </c>
      <c r="B1446">
        <v>136100</v>
      </c>
      <c r="C1446" s="4">
        <v>259.86</v>
      </c>
      <c r="D1446" s="1">
        <v>44375</v>
      </c>
      <c r="E1446" t="str">
        <f>"2013614"</f>
        <v>2013614</v>
      </c>
      <c r="F1446" t="str">
        <f>"ACCT#17460002268-003"</f>
        <v>ACCT#17460002268-003</v>
      </c>
      <c r="G1446" s="4">
        <v>259.86</v>
      </c>
      <c r="H1446" t="str">
        <f>"ACCT#17460002268-003"</f>
        <v>ACCT#17460002268-003</v>
      </c>
    </row>
    <row r="1447" spans="1:8" x14ac:dyDescent="0.25">
      <c r="A1447" t="s">
        <v>410</v>
      </c>
      <c r="B1447">
        <v>135967</v>
      </c>
      <c r="C1447" s="4">
        <v>17600</v>
      </c>
      <c r="D1447" s="1">
        <v>44361</v>
      </c>
      <c r="E1447" t="str">
        <f>"13573"</f>
        <v>13573</v>
      </c>
      <c r="F1447" t="str">
        <f>"VOTESAFE LICENSE"</f>
        <v>VOTESAFE LICENSE</v>
      </c>
      <c r="G1447" s="4">
        <v>17600</v>
      </c>
      <c r="H1447" t="str">
        <f>"VOTESAFE LICENSE"</f>
        <v>VOTESAFE LICENSE</v>
      </c>
    </row>
    <row r="1448" spans="1:8" x14ac:dyDescent="0.25">
      <c r="A1448" t="s">
        <v>411</v>
      </c>
      <c r="B1448">
        <v>4586</v>
      </c>
      <c r="C1448" s="4">
        <v>48589.7</v>
      </c>
      <c r="D1448" s="1">
        <v>44362</v>
      </c>
      <c r="E1448" t="str">
        <f>"8693959212122"</f>
        <v>8693959212122</v>
      </c>
      <c r="F1448" t="str">
        <f>"Statement"</f>
        <v>Statement</v>
      </c>
      <c r="G1448" s="4">
        <v>48589.7</v>
      </c>
      <c r="H1448" t="str">
        <f>"fuel"</f>
        <v>fuel</v>
      </c>
    </row>
    <row r="1449" spans="1:8" x14ac:dyDescent="0.25">
      <c r="E1449" t="str">
        <f>""</f>
        <v/>
      </c>
      <c r="F1449" t="str">
        <f>""</f>
        <v/>
      </c>
      <c r="H1449" t="str">
        <f>"tax"</f>
        <v>tax</v>
      </c>
    </row>
    <row r="1450" spans="1:8" x14ac:dyDescent="0.25">
      <c r="E1450" t="str">
        <f>""</f>
        <v/>
      </c>
      <c r="F1450" t="str">
        <f>""</f>
        <v/>
      </c>
      <c r="H1450" t="str">
        <f>"fuel"</f>
        <v>fuel</v>
      </c>
    </row>
    <row r="1451" spans="1:8" x14ac:dyDescent="0.25">
      <c r="E1451" t="str">
        <f>""</f>
        <v/>
      </c>
      <c r="F1451" t="str">
        <f>""</f>
        <v/>
      </c>
      <c r="H1451" t="str">
        <f>"tax"</f>
        <v>tax</v>
      </c>
    </row>
    <row r="1452" spans="1:8" x14ac:dyDescent="0.25">
      <c r="E1452" t="str">
        <f>""</f>
        <v/>
      </c>
      <c r="F1452" t="str">
        <f>""</f>
        <v/>
      </c>
      <c r="H1452" t="str">
        <f>"fuel"</f>
        <v>fuel</v>
      </c>
    </row>
    <row r="1453" spans="1:8" x14ac:dyDescent="0.25">
      <c r="E1453" t="str">
        <f>""</f>
        <v/>
      </c>
      <c r="F1453" t="str">
        <f>""</f>
        <v/>
      </c>
      <c r="H1453" t="str">
        <f>"tax"</f>
        <v>tax</v>
      </c>
    </row>
    <row r="1454" spans="1:8" x14ac:dyDescent="0.25">
      <c r="E1454" t="str">
        <f>""</f>
        <v/>
      </c>
      <c r="F1454" t="str">
        <f>""</f>
        <v/>
      </c>
      <c r="H1454" t="str">
        <f>"maintenance"</f>
        <v>maintenance</v>
      </c>
    </row>
    <row r="1455" spans="1:8" x14ac:dyDescent="0.25">
      <c r="E1455" t="str">
        <f>""</f>
        <v/>
      </c>
      <c r="F1455" t="str">
        <f>""</f>
        <v/>
      </c>
      <c r="H1455" t="str">
        <f>"fuel"</f>
        <v>fuel</v>
      </c>
    </row>
    <row r="1456" spans="1:8" x14ac:dyDescent="0.25">
      <c r="E1456" t="str">
        <f>""</f>
        <v/>
      </c>
      <c r="F1456" t="str">
        <f>""</f>
        <v/>
      </c>
      <c r="H1456" t="str">
        <f>"tax"</f>
        <v>tax</v>
      </c>
    </row>
    <row r="1457" spans="5:8" x14ac:dyDescent="0.25">
      <c r="E1457" t="str">
        <f>""</f>
        <v/>
      </c>
      <c r="F1457" t="str">
        <f>""</f>
        <v/>
      </c>
      <c r="H1457" t="str">
        <f>"maintenance"</f>
        <v>maintenance</v>
      </c>
    </row>
    <row r="1458" spans="5:8" x14ac:dyDescent="0.25">
      <c r="E1458" t="str">
        <f>""</f>
        <v/>
      </c>
      <c r="F1458" t="str">
        <f>""</f>
        <v/>
      </c>
      <c r="H1458" t="str">
        <f>"fuel"</f>
        <v>fuel</v>
      </c>
    </row>
    <row r="1459" spans="5:8" x14ac:dyDescent="0.25">
      <c r="E1459" t="str">
        <f>""</f>
        <v/>
      </c>
      <c r="F1459" t="str">
        <f>""</f>
        <v/>
      </c>
      <c r="H1459" t="str">
        <f>"maintenance"</f>
        <v>maintenance</v>
      </c>
    </row>
    <row r="1460" spans="5:8" x14ac:dyDescent="0.25">
      <c r="E1460" t="str">
        <f>""</f>
        <v/>
      </c>
      <c r="F1460" t="str">
        <f>""</f>
        <v/>
      </c>
      <c r="H1460" t="str">
        <f>"fuel"</f>
        <v>fuel</v>
      </c>
    </row>
    <row r="1461" spans="5:8" x14ac:dyDescent="0.25">
      <c r="E1461" t="str">
        <f>""</f>
        <v/>
      </c>
      <c r="F1461" t="str">
        <f>""</f>
        <v/>
      </c>
      <c r="H1461" t="str">
        <f>"tax"</f>
        <v>tax</v>
      </c>
    </row>
    <row r="1462" spans="5:8" x14ac:dyDescent="0.25">
      <c r="E1462" t="str">
        <f>""</f>
        <v/>
      </c>
      <c r="F1462" t="str">
        <f>""</f>
        <v/>
      </c>
      <c r="H1462" t="str">
        <f>"maintenance"</f>
        <v>maintenance</v>
      </c>
    </row>
    <row r="1463" spans="5:8" x14ac:dyDescent="0.25">
      <c r="E1463" t="str">
        <f>""</f>
        <v/>
      </c>
      <c r="F1463" t="str">
        <f>""</f>
        <v/>
      </c>
      <c r="H1463" t="str">
        <f>"fuel"</f>
        <v>fuel</v>
      </c>
    </row>
    <row r="1464" spans="5:8" x14ac:dyDescent="0.25">
      <c r="E1464" t="str">
        <f>""</f>
        <v/>
      </c>
      <c r="F1464" t="str">
        <f>""</f>
        <v/>
      </c>
      <c r="H1464" t="str">
        <f>"tax"</f>
        <v>tax</v>
      </c>
    </row>
    <row r="1465" spans="5:8" x14ac:dyDescent="0.25">
      <c r="E1465" t="str">
        <f>""</f>
        <v/>
      </c>
      <c r="F1465" t="str">
        <f>""</f>
        <v/>
      </c>
      <c r="H1465" t="str">
        <f>"maintenance"</f>
        <v>maintenance</v>
      </c>
    </row>
    <row r="1466" spans="5:8" x14ac:dyDescent="0.25">
      <c r="E1466" t="str">
        <f>""</f>
        <v/>
      </c>
      <c r="F1466" t="str">
        <f>""</f>
        <v/>
      </c>
      <c r="H1466" t="str">
        <f>"fuel"</f>
        <v>fuel</v>
      </c>
    </row>
    <row r="1467" spans="5:8" x14ac:dyDescent="0.25">
      <c r="E1467" t="str">
        <f>""</f>
        <v/>
      </c>
      <c r="F1467" t="str">
        <f>""</f>
        <v/>
      </c>
      <c r="H1467" t="str">
        <f>"tax"</f>
        <v>tax</v>
      </c>
    </row>
    <row r="1468" spans="5:8" x14ac:dyDescent="0.25">
      <c r="E1468" t="str">
        <f>""</f>
        <v/>
      </c>
      <c r="F1468" t="str">
        <f>""</f>
        <v/>
      </c>
      <c r="H1468" t="str">
        <f>"fuel"</f>
        <v>fuel</v>
      </c>
    </row>
    <row r="1469" spans="5:8" x14ac:dyDescent="0.25">
      <c r="E1469" t="str">
        <f>""</f>
        <v/>
      </c>
      <c r="F1469" t="str">
        <f>""</f>
        <v/>
      </c>
      <c r="H1469" t="str">
        <f>"tax"</f>
        <v>tax</v>
      </c>
    </row>
    <row r="1470" spans="5:8" x14ac:dyDescent="0.25">
      <c r="E1470" t="str">
        <f>""</f>
        <v/>
      </c>
      <c r="F1470" t="str">
        <f>""</f>
        <v/>
      </c>
      <c r="H1470" t="str">
        <f>"fuel"</f>
        <v>fuel</v>
      </c>
    </row>
    <row r="1471" spans="5:8" x14ac:dyDescent="0.25">
      <c r="E1471" t="str">
        <f>""</f>
        <v/>
      </c>
      <c r="F1471" t="str">
        <f>""</f>
        <v/>
      </c>
      <c r="H1471" t="str">
        <f>"tax"</f>
        <v>tax</v>
      </c>
    </row>
    <row r="1472" spans="5:8" x14ac:dyDescent="0.25">
      <c r="E1472" t="str">
        <f>""</f>
        <v/>
      </c>
      <c r="F1472" t="str">
        <f>""</f>
        <v/>
      </c>
      <c r="H1472" t="str">
        <f>"maintenance"</f>
        <v>maintenance</v>
      </c>
    </row>
    <row r="1473" spans="1:8" x14ac:dyDescent="0.25">
      <c r="E1473" t="str">
        <f>""</f>
        <v/>
      </c>
      <c r="F1473" t="str">
        <f>""</f>
        <v/>
      </c>
      <c r="H1473" t="str">
        <f>"maintenance"</f>
        <v>maintenance</v>
      </c>
    </row>
    <row r="1474" spans="1:8" x14ac:dyDescent="0.25">
      <c r="A1474" t="s">
        <v>412</v>
      </c>
      <c r="B1474">
        <v>135968</v>
      </c>
      <c r="C1474" s="4">
        <v>90</v>
      </c>
      <c r="D1474" s="1">
        <v>44361</v>
      </c>
      <c r="E1474" t="str">
        <f>"10422815"</f>
        <v>10422815</v>
      </c>
      <c r="F1474" t="str">
        <f>"ACCT#00010699-4/PCT#3"</f>
        <v>ACCT#00010699-4/PCT#3</v>
      </c>
      <c r="G1474" s="8">
        <v>90</v>
      </c>
      <c r="H1474" t="str">
        <f>"ACCT#00010699-4/PCT#3"</f>
        <v>ACCT#00010699-4/PCT#3</v>
      </c>
    </row>
    <row r="1475" spans="1:8" x14ac:dyDescent="0.25">
      <c r="A1475" t="s">
        <v>413</v>
      </c>
      <c r="B1475">
        <v>136101</v>
      </c>
      <c r="C1475" s="4">
        <v>1798.5</v>
      </c>
      <c r="D1475" s="1">
        <v>44375</v>
      </c>
      <c r="E1475" t="str">
        <f>"62306204"</f>
        <v>62306204</v>
      </c>
      <c r="F1475" t="str">
        <f>"CUST#90285-209209/PCT#1"</f>
        <v>CUST#90285-209209/PCT#1</v>
      </c>
      <c r="G1475" s="4">
        <v>1798.5</v>
      </c>
      <c r="H1475" t="str">
        <f>"CUST#90285-209209/PCT#1"</f>
        <v>CUST#90285-209209/PCT#1</v>
      </c>
    </row>
    <row r="1476" spans="1:8" x14ac:dyDescent="0.25">
      <c r="A1476" t="s">
        <v>414</v>
      </c>
      <c r="B1476">
        <v>136102</v>
      </c>
      <c r="C1476" s="4">
        <v>149.19999999999999</v>
      </c>
      <c r="D1476" s="1">
        <v>44375</v>
      </c>
      <c r="E1476" t="str">
        <f>"0521-DR14926"</f>
        <v>0521-DR14926</v>
      </c>
      <c r="F1476" t="str">
        <f>"CLIENT ID/ CXD14926/HR"</f>
        <v>CLIENT ID/ CXD14926/HR</v>
      </c>
      <c r="G1476" s="4">
        <v>149.19999999999999</v>
      </c>
      <c r="H1476" t="str">
        <f>"CLIENT ID/ CXD14926/HR"</f>
        <v>CLIENT ID/ CXD14926/HR</v>
      </c>
    </row>
    <row r="1477" spans="1:8" x14ac:dyDescent="0.25">
      <c r="A1477" t="s">
        <v>415</v>
      </c>
      <c r="B1477">
        <v>4571</v>
      </c>
      <c r="C1477" s="4">
        <v>7836.71</v>
      </c>
      <c r="D1477" s="1">
        <v>44362</v>
      </c>
      <c r="E1477" t="str">
        <f>"20849"</f>
        <v>20849</v>
      </c>
      <c r="F1477" t="str">
        <f>"COLD MIX/PCT#3"</f>
        <v>COLD MIX/PCT#3</v>
      </c>
      <c r="G1477" s="4">
        <v>2793.62</v>
      </c>
      <c r="H1477" t="str">
        <f>"COLD MIX/PCT#3"</f>
        <v>COLD MIX/PCT#3</v>
      </c>
    </row>
    <row r="1478" spans="1:8" x14ac:dyDescent="0.25">
      <c r="E1478" t="str">
        <f>"20879"</f>
        <v>20879</v>
      </c>
      <c r="F1478" t="str">
        <f t="shared" ref="F1478:F1484" si="30">"COLD MIX/PCT#4"</f>
        <v>COLD MIX/PCT#4</v>
      </c>
      <c r="G1478" s="4">
        <v>2530.59</v>
      </c>
      <c r="H1478" t="str">
        <f t="shared" ref="H1478:H1484" si="31">"COLD MIX/PCT#4"</f>
        <v>COLD MIX/PCT#4</v>
      </c>
    </row>
    <row r="1479" spans="1:8" x14ac:dyDescent="0.25">
      <c r="E1479" t="str">
        <f>"20925"</f>
        <v>20925</v>
      </c>
      <c r="F1479" t="str">
        <f t="shared" si="30"/>
        <v>COLD MIX/PCT#4</v>
      </c>
      <c r="G1479" s="4">
        <v>2512.5</v>
      </c>
      <c r="H1479" t="str">
        <f t="shared" si="31"/>
        <v>COLD MIX/PCT#4</v>
      </c>
    </row>
    <row r="1480" spans="1:8" x14ac:dyDescent="0.25">
      <c r="A1480" t="s">
        <v>415</v>
      </c>
      <c r="B1480">
        <v>4652</v>
      </c>
      <c r="C1480" s="4">
        <v>13798.39</v>
      </c>
      <c r="D1480" s="1">
        <v>44376</v>
      </c>
      <c r="E1480" t="str">
        <f>"20966"</f>
        <v>20966</v>
      </c>
      <c r="F1480" t="str">
        <f t="shared" si="30"/>
        <v>COLD MIX/PCT#4</v>
      </c>
      <c r="G1480" s="4">
        <v>2762.07</v>
      </c>
      <c r="H1480" t="str">
        <f t="shared" si="31"/>
        <v>COLD MIX/PCT#4</v>
      </c>
    </row>
    <row r="1481" spans="1:8" x14ac:dyDescent="0.25">
      <c r="E1481" t="str">
        <f>"21004"</f>
        <v>21004</v>
      </c>
      <c r="F1481" t="str">
        <f t="shared" si="30"/>
        <v>COLD MIX/PCT#4</v>
      </c>
      <c r="G1481" s="4">
        <v>2724.02</v>
      </c>
      <c r="H1481" t="str">
        <f t="shared" si="31"/>
        <v>COLD MIX/PCT#4</v>
      </c>
    </row>
    <row r="1482" spans="1:8" x14ac:dyDescent="0.25">
      <c r="E1482" t="str">
        <f>"21046"</f>
        <v>21046</v>
      </c>
      <c r="F1482" t="str">
        <f t="shared" si="30"/>
        <v>COLD MIX/PCT#4</v>
      </c>
      <c r="G1482" s="4">
        <v>2733.81</v>
      </c>
      <c r="H1482" t="str">
        <f t="shared" si="31"/>
        <v>COLD MIX/PCT#4</v>
      </c>
    </row>
    <row r="1483" spans="1:8" x14ac:dyDescent="0.25">
      <c r="E1483" t="str">
        <f>"21079"</f>
        <v>21079</v>
      </c>
      <c r="F1483" t="str">
        <f t="shared" si="30"/>
        <v>COLD MIX/PCT#4</v>
      </c>
      <c r="G1483" s="4">
        <v>2762.07</v>
      </c>
      <c r="H1483" t="str">
        <f t="shared" si="31"/>
        <v>COLD MIX/PCT#4</v>
      </c>
    </row>
    <row r="1484" spans="1:8" x14ac:dyDescent="0.25">
      <c r="E1484" t="str">
        <f>"21099"</f>
        <v>21099</v>
      </c>
      <c r="F1484" t="str">
        <f t="shared" si="30"/>
        <v>COLD MIX/PCT#4</v>
      </c>
      <c r="G1484" s="4">
        <v>2816.42</v>
      </c>
      <c r="H1484" t="str">
        <f t="shared" si="31"/>
        <v>COLD MIX/PCT#4</v>
      </c>
    </row>
    <row r="1485" spans="1:8" x14ac:dyDescent="0.25">
      <c r="A1485" t="s">
        <v>416</v>
      </c>
      <c r="B1485">
        <v>135750</v>
      </c>
      <c r="C1485" s="4">
        <v>9157.4500000000007</v>
      </c>
      <c r="D1485" s="1">
        <v>44356</v>
      </c>
      <c r="E1485" t="str">
        <f>"11189328"</f>
        <v>11189328</v>
      </c>
      <c r="F1485" t="str">
        <f>"ACCT#5150-005117630 / 06012021"</f>
        <v>ACCT#5150-005117630 / 06012021</v>
      </c>
      <c r="G1485" s="4">
        <v>262.81</v>
      </c>
      <c r="H1485" t="str">
        <f>"ACCT#5150-005117630 / 06012021"</f>
        <v>ACCT#5150-005117630 / 06012021</v>
      </c>
    </row>
    <row r="1486" spans="1:8" x14ac:dyDescent="0.25">
      <c r="E1486" t="str">
        <f>"11189335"</f>
        <v>11189335</v>
      </c>
      <c r="F1486" t="str">
        <f>"ACCT#5150-005117766 / 06012021"</f>
        <v>ACCT#5150-005117766 / 06012021</v>
      </c>
      <c r="G1486" s="4">
        <v>115.36</v>
      </c>
      <c r="H1486" t="str">
        <f>"ACCT#5150-005117766 / 06012021"</f>
        <v>ACCT#5150-005117766 / 06012021</v>
      </c>
    </row>
    <row r="1487" spans="1:8" x14ac:dyDescent="0.25">
      <c r="E1487" t="str">
        <f>"11189339"</f>
        <v>11189339</v>
      </c>
      <c r="F1487" t="str">
        <f>"ACCT#5150-005117838 / 06012021"</f>
        <v>ACCT#5150-005117838 / 06012021</v>
      </c>
      <c r="G1487" s="4">
        <v>106.76</v>
      </c>
      <c r="H1487" t="str">
        <f>"ACCT#5150-005117838 / 06012021"</f>
        <v>ACCT#5150-005117838 / 06012021</v>
      </c>
    </row>
    <row r="1488" spans="1:8" x14ac:dyDescent="0.25">
      <c r="E1488" t="str">
        <f>"11189341"</f>
        <v>11189341</v>
      </c>
      <c r="F1488" t="str">
        <f>"ACCT#5150-005117882 / 06012021"</f>
        <v>ACCT#5150-005117882 / 06012021</v>
      </c>
      <c r="G1488" s="4">
        <v>144.19</v>
      </c>
      <c r="H1488" t="str">
        <f>"ACCT#5150-005117882 / 06012021"</f>
        <v>ACCT#5150-005117882 / 06012021</v>
      </c>
    </row>
    <row r="1489" spans="1:8" x14ac:dyDescent="0.25">
      <c r="E1489" t="str">
        <f>"11189349"</f>
        <v>11189349</v>
      </c>
      <c r="F1489" t="str">
        <f>"ACCT#5150-005118183 / 06012021"</f>
        <v>ACCT#5150-005118183 / 06012021</v>
      </c>
      <c r="G1489" s="4">
        <v>618.96</v>
      </c>
      <c r="H1489" t="str">
        <f>"ACCT#5150-005118183 / 06012021"</f>
        <v>ACCT#5150-005118183 / 06012021</v>
      </c>
    </row>
    <row r="1490" spans="1:8" x14ac:dyDescent="0.25">
      <c r="E1490" t="str">
        <f>"11189379"</f>
        <v>11189379</v>
      </c>
      <c r="F1490" t="str">
        <f>"ACCT#5150-005129483 / 06012021"</f>
        <v>ACCT#5150-005129483 / 06012021</v>
      </c>
      <c r="G1490" s="4">
        <v>7772</v>
      </c>
      <c r="H1490" t="str">
        <f>"ACCT#5150-005129483 / 06012021"</f>
        <v>ACCT#5150-005129483 / 06012021</v>
      </c>
    </row>
    <row r="1491" spans="1:8" x14ac:dyDescent="0.25">
      <c r="E1491" t="str">
        <f>"11193435"</f>
        <v>11193435</v>
      </c>
      <c r="F1491" t="str">
        <f>"ACCT#5150-16203415 / 06012021"</f>
        <v>ACCT#5150-16203415 / 06012021</v>
      </c>
      <c r="G1491" s="4">
        <v>108.48</v>
      </c>
      <c r="H1491" t="str">
        <f>"ACCT#5150-16203415 / 06012021"</f>
        <v>ACCT#5150-16203415 / 06012021</v>
      </c>
    </row>
    <row r="1492" spans="1:8" x14ac:dyDescent="0.25">
      <c r="E1492" t="str">
        <f>"11193436"</f>
        <v>11193436</v>
      </c>
      <c r="F1492" t="str">
        <f>"ACCT#5150-16203417 / 06012021"</f>
        <v>ACCT#5150-16203417 / 06012021</v>
      </c>
      <c r="G1492" s="4">
        <v>28.89</v>
      </c>
      <c r="H1492" t="str">
        <f>"ACCT#5150-16203417 / 06012021"</f>
        <v>ACCT#5150-16203417 / 06012021</v>
      </c>
    </row>
    <row r="1493" spans="1:8" x14ac:dyDescent="0.25">
      <c r="A1493" t="s">
        <v>416</v>
      </c>
      <c r="B1493">
        <v>135969</v>
      </c>
      <c r="C1493" s="4">
        <v>1544.4</v>
      </c>
      <c r="D1493" s="1">
        <v>44361</v>
      </c>
      <c r="E1493" t="str">
        <f>"11189455"</f>
        <v>11189455</v>
      </c>
      <c r="F1493" t="str">
        <f>"ACCT#5150-005150524/PCT#1"</f>
        <v>ACCT#5150-005150524/PCT#1</v>
      </c>
      <c r="G1493" s="4">
        <v>1544.4</v>
      </c>
      <c r="H1493" t="str">
        <f>"ACCT#5150-005150524/PCT#1"</f>
        <v>ACCT#5150-005150524/PCT#1</v>
      </c>
    </row>
    <row r="1494" spans="1:8" x14ac:dyDescent="0.25">
      <c r="A1494" t="s">
        <v>417</v>
      </c>
      <c r="B1494">
        <v>135970</v>
      </c>
      <c r="C1494" s="4">
        <v>6796.59</v>
      </c>
      <c r="D1494" s="1">
        <v>44361</v>
      </c>
      <c r="E1494" t="str">
        <f>"0032049-2161-7"</f>
        <v>0032049-2161-7</v>
      </c>
      <c r="F1494" t="str">
        <f>"CUST ID:2-57060-55062/PCT#4"</f>
        <v>CUST ID:2-57060-55062/PCT#4</v>
      </c>
      <c r="G1494" s="4">
        <v>5243.04</v>
      </c>
      <c r="H1494" t="str">
        <f>"CUST ID:2-57060-55062/PCT#4"</f>
        <v>CUST ID:2-57060-55062/PCT#4</v>
      </c>
    </row>
    <row r="1495" spans="1:8" x14ac:dyDescent="0.25">
      <c r="E1495" t="str">
        <f>"0042924-2162-7"</f>
        <v>0042924-2162-7</v>
      </c>
      <c r="F1495" t="str">
        <f>"CUST#16-27603-83003"</f>
        <v>CUST#16-27603-83003</v>
      </c>
      <c r="G1495" s="4">
        <v>246.95</v>
      </c>
      <c r="H1495" t="str">
        <f>"CUST#16-27603-83003"</f>
        <v>CUST#16-27603-83003</v>
      </c>
    </row>
    <row r="1496" spans="1:8" x14ac:dyDescent="0.25">
      <c r="E1496" t="str">
        <f>"0118493-2161-4"</f>
        <v>0118493-2161-4</v>
      </c>
      <c r="F1496" t="str">
        <f>"CUST ID:2-56581-95066/ANIMAL C"</f>
        <v>CUST ID:2-56581-95066/ANIMAL C</v>
      </c>
      <c r="G1496" s="4">
        <v>454.7</v>
      </c>
      <c r="H1496" t="str">
        <f>"CUST ID:2-56581-95066/ANIMAL C"</f>
        <v>CUST ID:2-56581-95066/ANIMAL C</v>
      </c>
    </row>
    <row r="1497" spans="1:8" x14ac:dyDescent="0.25">
      <c r="E1497" t="str">
        <f>"6715017-2161-5"</f>
        <v>6715017-2161-5</v>
      </c>
      <c r="F1497" t="str">
        <f>"CUST ID:23-90244-23005/PCT#4"</f>
        <v>CUST ID:23-90244-23005/PCT#4</v>
      </c>
      <c r="G1497" s="4">
        <v>851.9</v>
      </c>
      <c r="H1497" t="str">
        <f>"CUST ID:23-90244-23005/PCT#4"</f>
        <v>CUST ID:23-90244-23005/PCT#4</v>
      </c>
    </row>
    <row r="1498" spans="1:8" x14ac:dyDescent="0.25">
      <c r="A1498" t="s">
        <v>418</v>
      </c>
      <c r="B1498">
        <v>136103</v>
      </c>
      <c r="C1498" s="4">
        <v>100</v>
      </c>
      <c r="D1498" s="1">
        <v>44375</v>
      </c>
      <c r="E1498" t="str">
        <f>"202106164014"</f>
        <v>202106164014</v>
      </c>
      <c r="F1498" t="str">
        <f>"RESTITUTION/ROEL FLORES"</f>
        <v>RESTITUTION/ROEL FLORES</v>
      </c>
      <c r="G1498" s="4">
        <v>100</v>
      </c>
      <c r="H1498" t="str">
        <f>"RESTITUTION/ROEL FLORES"</f>
        <v>RESTITUTION/ROEL FLORES</v>
      </c>
    </row>
    <row r="1499" spans="1:8" x14ac:dyDescent="0.25">
      <c r="A1499" t="s">
        <v>419</v>
      </c>
      <c r="B1499">
        <v>135971</v>
      </c>
      <c r="C1499" s="4">
        <v>200</v>
      </c>
      <c r="D1499" s="1">
        <v>44361</v>
      </c>
      <c r="E1499" t="str">
        <f>"202106043687"</f>
        <v>202106043687</v>
      </c>
      <c r="F1499" t="str">
        <f>"CASE ID 0014075266"</f>
        <v>CASE ID 0014075266</v>
      </c>
      <c r="G1499" s="4">
        <v>200</v>
      </c>
      <c r="H1499" t="str">
        <f>"CASE ID 0014075266"</f>
        <v>CASE ID 0014075266</v>
      </c>
    </row>
    <row r="1500" spans="1:8" x14ac:dyDescent="0.25">
      <c r="A1500" t="s">
        <v>420</v>
      </c>
      <c r="B1500">
        <v>4575</v>
      </c>
      <c r="C1500" s="4">
        <v>10938.61</v>
      </c>
      <c r="D1500" s="1">
        <v>44362</v>
      </c>
      <c r="E1500" t="str">
        <f>"27974"</f>
        <v>27974</v>
      </c>
      <c r="F1500" t="str">
        <f>"INV 27974"</f>
        <v>INV 27974</v>
      </c>
      <c r="G1500" s="4">
        <v>10938.61</v>
      </c>
      <c r="H1500" t="str">
        <f>"INV 27974"</f>
        <v>INV 27974</v>
      </c>
    </row>
    <row r="1501" spans="1:8" x14ac:dyDescent="0.25">
      <c r="A1501" t="s">
        <v>421</v>
      </c>
      <c r="B1501">
        <v>135972</v>
      </c>
      <c r="C1501" s="4">
        <v>70</v>
      </c>
      <c r="D1501" s="1">
        <v>44361</v>
      </c>
      <c r="E1501" t="str">
        <f>"13310"</f>
        <v>13310</v>
      </c>
      <c r="F1501" t="str">
        <f>"SERVICE"</f>
        <v>SERVICE</v>
      </c>
      <c r="G1501" s="4">
        <v>70</v>
      </c>
      <c r="H1501" t="str">
        <f>"SERVICE"</f>
        <v>SERVICE</v>
      </c>
    </row>
    <row r="1502" spans="1:8" x14ac:dyDescent="0.25">
      <c r="A1502" t="s">
        <v>422</v>
      </c>
      <c r="B1502">
        <v>136104</v>
      </c>
      <c r="C1502" s="4">
        <v>70</v>
      </c>
      <c r="D1502" s="1">
        <v>44375</v>
      </c>
      <c r="E1502" t="str">
        <f>"13221"</f>
        <v>13221</v>
      </c>
      <c r="F1502" t="str">
        <f>"SERVICE"</f>
        <v>SERVICE</v>
      </c>
      <c r="G1502" s="4">
        <v>70</v>
      </c>
      <c r="H1502" t="str">
        <f>"SERVICE"</f>
        <v>SERVICE</v>
      </c>
    </row>
    <row r="1503" spans="1:8" x14ac:dyDescent="0.25">
      <c r="A1503" t="s">
        <v>423</v>
      </c>
      <c r="B1503">
        <v>135973</v>
      </c>
      <c r="C1503" s="4">
        <v>239.29</v>
      </c>
      <c r="D1503" s="1">
        <v>44361</v>
      </c>
      <c r="E1503" t="str">
        <f>"6888347"</f>
        <v>6888347</v>
      </c>
      <c r="F1503" t="str">
        <f>"CUST#339435/PCT#3"</f>
        <v>CUST#339435/PCT#3</v>
      </c>
      <c r="G1503" s="4">
        <v>226.91</v>
      </c>
      <c r="H1503" t="str">
        <f>"CUST#339435/PCT#3"</f>
        <v>CUST#339435/PCT#3</v>
      </c>
    </row>
    <row r="1504" spans="1:8" x14ac:dyDescent="0.25">
      <c r="E1504" t="str">
        <f>"6891976"</f>
        <v>6891976</v>
      </c>
      <c r="F1504" t="str">
        <f>"CUST#339435/ORD#15186/02"</f>
        <v>CUST#339435/ORD#15186/02</v>
      </c>
      <c r="G1504" s="4">
        <v>12.38</v>
      </c>
      <c r="H1504" t="str">
        <f>"CUST#339435/ORD#15186/02"</f>
        <v>CUST#339435/ORD#15186/02</v>
      </c>
    </row>
    <row r="1505" spans="1:8" x14ac:dyDescent="0.25">
      <c r="A1505" t="s">
        <v>423</v>
      </c>
      <c r="B1505">
        <v>136105</v>
      </c>
      <c r="C1505" s="4">
        <v>12.75</v>
      </c>
      <c r="D1505" s="1">
        <v>44375</v>
      </c>
      <c r="E1505" t="str">
        <f>"6889712"</f>
        <v>6889712</v>
      </c>
      <c r="F1505" t="str">
        <f>"CUST#339435/PCT#3"</f>
        <v>CUST#339435/PCT#3</v>
      </c>
      <c r="G1505" s="4">
        <v>12.75</v>
      </c>
      <c r="H1505" t="str">
        <f>"CUST#339435/PCT#3"</f>
        <v>CUST#339435/PCT#3</v>
      </c>
    </row>
    <row r="1506" spans="1:8" x14ac:dyDescent="0.25">
      <c r="A1506" t="s">
        <v>424</v>
      </c>
      <c r="B1506">
        <v>136106</v>
      </c>
      <c r="C1506" s="4">
        <v>50</v>
      </c>
      <c r="D1506" s="1">
        <v>44375</v>
      </c>
      <c r="E1506" t="str">
        <f>"202106164009"</f>
        <v>202106164009</v>
      </c>
      <c r="F1506" t="str">
        <f>"RESTITUTION/MARCUS MANZANARES"</f>
        <v>RESTITUTION/MARCUS MANZANARES</v>
      </c>
      <c r="G1506" s="4">
        <v>50</v>
      </c>
      <c r="H1506" t="str">
        <f>"RESTITUTION/MARCUS MANZANARES"</f>
        <v>RESTITUTION/MARCUS MANZANARES</v>
      </c>
    </row>
    <row r="1507" spans="1:8" x14ac:dyDescent="0.25">
      <c r="A1507" t="s">
        <v>425</v>
      </c>
      <c r="B1507">
        <v>136107</v>
      </c>
      <c r="C1507" s="4">
        <v>75.75</v>
      </c>
      <c r="D1507" s="1">
        <v>44375</v>
      </c>
      <c r="E1507" t="str">
        <f>"417643"</f>
        <v>417643</v>
      </c>
      <c r="F1507" t="str">
        <f>"EIN#27-4523962/ANIMAL SHELTER"</f>
        <v>EIN#27-4523962/ANIMAL SHELTER</v>
      </c>
      <c r="G1507" s="4">
        <v>75.75</v>
      </c>
      <c r="H1507" t="str">
        <f>"EIN#27-4523962/ANIMAL SHELTER"</f>
        <v>EIN#27-4523962/ANIMAL SHELTER</v>
      </c>
    </row>
    <row r="1508" spans="1:8" x14ac:dyDescent="0.25">
      <c r="A1508" t="s">
        <v>426</v>
      </c>
      <c r="B1508">
        <v>135974</v>
      </c>
      <c r="C1508" s="4">
        <v>7476.92</v>
      </c>
      <c r="D1508" s="1">
        <v>44361</v>
      </c>
      <c r="E1508" t="str">
        <f>"202106083779"</f>
        <v>202106083779</v>
      </c>
      <c r="F1508" t="str">
        <f>"CUST#1000113183/ANIMAL SVCS"</f>
        <v>CUST#1000113183/ANIMAL SVCS</v>
      </c>
      <c r="G1508" s="4">
        <v>3559.66</v>
      </c>
      <c r="H1508" t="str">
        <f>"CUST#1000113183/ANIMAL SVCS"</f>
        <v>CUST#1000113183/ANIMAL SVCS</v>
      </c>
    </row>
    <row r="1509" spans="1:8" x14ac:dyDescent="0.25">
      <c r="E1509" t="str">
        <f>""</f>
        <v/>
      </c>
      <c r="F1509" t="str">
        <f>""</f>
        <v/>
      </c>
      <c r="H1509" t="str">
        <f>"CUST#1000113183/ANIMAL SVCS"</f>
        <v>CUST#1000113183/ANIMAL SVCS</v>
      </c>
    </row>
    <row r="1510" spans="1:8" x14ac:dyDescent="0.25">
      <c r="E1510" t="str">
        <f>"9013309054"</f>
        <v>9013309054</v>
      </c>
      <c r="F1510" t="str">
        <f>"CUST#1000113183"</f>
        <v>CUST#1000113183</v>
      </c>
      <c r="G1510" s="4">
        <v>520</v>
      </c>
      <c r="H1510" t="str">
        <f>"CUST#1000113183"</f>
        <v>CUST#1000113183</v>
      </c>
    </row>
    <row r="1511" spans="1:8" x14ac:dyDescent="0.25">
      <c r="E1511" t="str">
        <f>"9013335692"</f>
        <v>9013335692</v>
      </c>
      <c r="F1511" t="str">
        <f>"CUST#1000113183"</f>
        <v>CUST#1000113183</v>
      </c>
      <c r="G1511" s="4">
        <v>1006.4</v>
      </c>
      <c r="H1511" t="str">
        <f>"CUST#1000113183"</f>
        <v>CUST#1000113183</v>
      </c>
    </row>
    <row r="1512" spans="1:8" x14ac:dyDescent="0.25">
      <c r="E1512" t="str">
        <f>"9013357832"</f>
        <v>9013357832</v>
      </c>
      <c r="F1512" t="str">
        <f>"CUST#1000113183"</f>
        <v>CUST#1000113183</v>
      </c>
      <c r="G1512" s="4">
        <v>160.5</v>
      </c>
      <c r="H1512" t="str">
        <f>"CUST#1000113183"</f>
        <v>CUST#1000113183</v>
      </c>
    </row>
    <row r="1513" spans="1:8" x14ac:dyDescent="0.25">
      <c r="E1513" t="str">
        <f>"9013357835"</f>
        <v>9013357835</v>
      </c>
      <c r="F1513" t="str">
        <f>"CUST#1000113183"</f>
        <v>CUST#1000113183</v>
      </c>
      <c r="G1513" s="4">
        <v>934.36</v>
      </c>
      <c r="H1513" t="str">
        <f>"CUST#1000113183"</f>
        <v>CUST#1000113183</v>
      </c>
    </row>
    <row r="1514" spans="1:8" x14ac:dyDescent="0.25">
      <c r="E1514" t="str">
        <f>"9013357838"</f>
        <v>9013357838</v>
      </c>
      <c r="F1514" t="str">
        <f>"CUST#1000113183"</f>
        <v>CUST#1000113183</v>
      </c>
      <c r="G1514" s="4">
        <v>1296</v>
      </c>
      <c r="H1514" t="str">
        <f>"CUST#1000113183"</f>
        <v>CUST#1000113183</v>
      </c>
    </row>
    <row r="1515" spans="1:8" x14ac:dyDescent="0.25">
      <c r="A1515" t="s">
        <v>426</v>
      </c>
      <c r="B1515">
        <v>136108</v>
      </c>
      <c r="C1515" s="4">
        <v>567.62</v>
      </c>
      <c r="D1515" s="1">
        <v>44375</v>
      </c>
      <c r="E1515" t="str">
        <f>"9013368693"</f>
        <v>9013368693</v>
      </c>
      <c r="F1515" t="str">
        <f>"CUST#1000113183/ANIMAL SHELTER"</f>
        <v>CUST#1000113183/ANIMAL SHELTER</v>
      </c>
      <c r="G1515" s="4">
        <v>61.73</v>
      </c>
      <c r="H1515" t="str">
        <f>"CUST#1000113183/ANIMAL SHELTER"</f>
        <v>CUST#1000113183/ANIMAL SHELTER</v>
      </c>
    </row>
    <row r="1516" spans="1:8" x14ac:dyDescent="0.25">
      <c r="E1516" t="str">
        <f>"9013402370"</f>
        <v>9013402370</v>
      </c>
      <c r="F1516" t="str">
        <f>"CUST#1000113183/ANIMAL SHELTER"</f>
        <v>CUST#1000113183/ANIMAL SHELTER</v>
      </c>
      <c r="G1516" s="4">
        <v>300</v>
      </c>
      <c r="H1516" t="str">
        <f>"CUST#1000113183/ANIMAL SHELTER"</f>
        <v>CUST#1000113183/ANIMAL SHELTER</v>
      </c>
    </row>
    <row r="1517" spans="1:8" x14ac:dyDescent="0.25">
      <c r="E1517" t="str">
        <f>"9013437278"</f>
        <v>9013437278</v>
      </c>
      <c r="F1517" t="str">
        <f>"CUST#1000113183/ANIMAL SHELTER"</f>
        <v>CUST#1000113183/ANIMAL SHELTER</v>
      </c>
      <c r="G1517" s="4">
        <v>144.16</v>
      </c>
      <c r="H1517" t="str">
        <f>"CUST#1000113183/ANIMAL SHELTER"</f>
        <v>CUST#1000113183/ANIMAL SHELTER</v>
      </c>
    </row>
    <row r="1518" spans="1:8" x14ac:dyDescent="0.25">
      <c r="E1518" t="str">
        <f>"9500694324"</f>
        <v>9500694324</v>
      </c>
      <c r="F1518" t="str">
        <f>"CUST#1000113183/ANIMAL SHELTER"</f>
        <v>CUST#1000113183/ANIMAL SHELTER</v>
      </c>
      <c r="G1518" s="4">
        <v>61.73</v>
      </c>
      <c r="H1518" t="str">
        <f>"CUST#1000113183/ANIMAL SHELTER"</f>
        <v>CUST#1000113183/ANIMAL SHELTER</v>
      </c>
    </row>
    <row r="1519" spans="1:8" x14ac:dyDescent="0.25">
      <c r="A1519" t="s">
        <v>30</v>
      </c>
      <c r="B1519">
        <v>135975</v>
      </c>
      <c r="C1519" s="4">
        <v>18</v>
      </c>
      <c r="D1519" s="1">
        <v>44361</v>
      </c>
      <c r="E1519" t="str">
        <f>"202106043673"</f>
        <v>202106043673</v>
      </c>
      <c r="F1519" t="str">
        <f>"ACCT#015397/JUVENILE BOOT CAMP"</f>
        <v>ACCT#015397/JUVENILE BOOT CAMP</v>
      </c>
      <c r="G1519" s="4">
        <v>18</v>
      </c>
      <c r="H1519" t="str">
        <f>"ACCT#015397/JUVENILE BOOT CAMP"</f>
        <v>ACCT#015397/JUVENILE BOOT CAMP</v>
      </c>
    </row>
    <row r="1520" spans="1:8" x14ac:dyDescent="0.25">
      <c r="A1520" t="s">
        <v>36</v>
      </c>
      <c r="B1520">
        <v>135976</v>
      </c>
      <c r="C1520" s="4">
        <v>142.08000000000001</v>
      </c>
      <c r="D1520" s="1">
        <v>44361</v>
      </c>
      <c r="E1520" t="str">
        <f>"287290524359-APTF"</f>
        <v>287290524359-APTF</v>
      </c>
      <c r="F1520" t="str">
        <f>"INV 287290524359X05272021"</f>
        <v>INV 287290524359X05272021</v>
      </c>
      <c r="G1520" s="4">
        <v>142.08000000000001</v>
      </c>
      <c r="H1520" t="str">
        <f>"INV 287290524359X05272021"</f>
        <v>INV 287290524359X05272021</v>
      </c>
    </row>
    <row r="1521" spans="1:8" x14ac:dyDescent="0.25">
      <c r="A1521" t="s">
        <v>47</v>
      </c>
      <c r="B1521">
        <v>135977</v>
      </c>
      <c r="C1521" s="4">
        <v>151.63</v>
      </c>
      <c r="D1521" s="1">
        <v>44361</v>
      </c>
      <c r="E1521" t="str">
        <f>"R483617-R483622"</f>
        <v>R483617-R483622</v>
      </c>
      <c r="F1521" t="str">
        <f>"2020 PROPERTY TAXES"</f>
        <v>2020 PROPERTY TAXES</v>
      </c>
      <c r="G1521" s="4">
        <v>151.63</v>
      </c>
      <c r="H1521" t="str">
        <f>"2020 PROPERTY TAXES"</f>
        <v>2020 PROPERTY TAXES</v>
      </c>
    </row>
    <row r="1522" spans="1:8" x14ac:dyDescent="0.25">
      <c r="A1522" t="s">
        <v>61</v>
      </c>
      <c r="B1522">
        <v>135751</v>
      </c>
      <c r="C1522" s="4">
        <v>188.15</v>
      </c>
      <c r="D1522" s="1">
        <v>44356</v>
      </c>
      <c r="E1522" t="str">
        <f>"202106083800"</f>
        <v>202106083800</v>
      </c>
      <c r="F1522" t="str">
        <f>"ACCT#5000057374 / 06032021"</f>
        <v>ACCT#5000057374 / 06032021</v>
      </c>
      <c r="G1522" s="4">
        <v>188.15</v>
      </c>
      <c r="H1522" t="str">
        <f>"ACCT#5000057374 / 06032021"</f>
        <v>ACCT#5000057374 / 06032021</v>
      </c>
    </row>
    <row r="1523" spans="1:8" x14ac:dyDescent="0.25">
      <c r="A1523" t="s">
        <v>427</v>
      </c>
      <c r="B1523">
        <v>135978</v>
      </c>
      <c r="C1523" s="4">
        <v>15000</v>
      </c>
      <c r="D1523" s="1">
        <v>44361</v>
      </c>
      <c r="E1523" t="str">
        <f>"202106073768"</f>
        <v>202106073768</v>
      </c>
      <c r="F1523" t="str">
        <f>"Monthly Payment"</f>
        <v>Monthly Payment</v>
      </c>
      <c r="G1523" s="4">
        <v>15000</v>
      </c>
      <c r="H1523" t="str">
        <f>"04/17/21 - 05/16/21"</f>
        <v>04/17/21 - 05/16/21</v>
      </c>
    </row>
    <row r="1524" spans="1:8" x14ac:dyDescent="0.25">
      <c r="A1524" t="s">
        <v>428</v>
      </c>
      <c r="B1524">
        <v>135979</v>
      </c>
      <c r="C1524" s="4">
        <v>100</v>
      </c>
      <c r="D1524" s="1">
        <v>44361</v>
      </c>
      <c r="E1524" t="str">
        <f>"84466"</f>
        <v>84466</v>
      </c>
      <c r="F1524" t="str">
        <f>"DRUG SCREEN/JUVENILE BOOTCAMP"</f>
        <v>DRUG SCREEN/JUVENILE BOOTCAMP</v>
      </c>
      <c r="G1524" s="4">
        <v>100</v>
      </c>
      <c r="H1524" t="str">
        <f>"DRUG SCREEN/JUVENILE BOOTCAMP"</f>
        <v>DRUG SCREEN/JUVENILE BOOTCAMP</v>
      </c>
    </row>
    <row r="1525" spans="1:8" x14ac:dyDescent="0.25">
      <c r="A1525" t="s">
        <v>429</v>
      </c>
      <c r="B1525">
        <v>1097</v>
      </c>
      <c r="C1525" s="4">
        <v>391150</v>
      </c>
      <c r="D1525" s="1">
        <v>44361</v>
      </c>
      <c r="E1525" t="str">
        <f>"202106083807"</f>
        <v>202106083807</v>
      </c>
      <c r="F1525" t="str">
        <f>"DEBT SERVICE PMT - SERIES 2015"</f>
        <v>DEBT SERVICE PMT - SERIES 2015</v>
      </c>
      <c r="G1525" s="4">
        <v>391150</v>
      </c>
      <c r="H1525" t="str">
        <f>"DEBT SERVICE PMT - SERIES 2015"</f>
        <v>DEBT SERVICE PMT - SERIES 2015</v>
      </c>
    </row>
    <row r="1526" spans="1:8" x14ac:dyDescent="0.25">
      <c r="E1526" t="str">
        <f>""</f>
        <v/>
      </c>
      <c r="F1526" t="str">
        <f>""</f>
        <v/>
      </c>
      <c r="H1526" t="str">
        <f>"DEBT SERVICE PMT - SERIES 2015"</f>
        <v>DEBT SERVICE PMT - SERIES 2015</v>
      </c>
    </row>
    <row r="1527" spans="1:8" x14ac:dyDescent="0.25">
      <c r="A1527" t="s">
        <v>162</v>
      </c>
      <c r="B1527">
        <v>4627</v>
      </c>
      <c r="C1527" s="4">
        <v>13339</v>
      </c>
      <c r="D1527" s="1">
        <v>44362</v>
      </c>
      <c r="E1527" t="str">
        <f>"BRX-118"</f>
        <v>BRX-118</v>
      </c>
      <c r="F1527" t="str">
        <f>"BD HOLT CO"</f>
        <v>BD HOLT CO</v>
      </c>
      <c r="G1527" s="4">
        <v>13339</v>
      </c>
      <c r="H1527" t="str">
        <f>"BRX-118"</f>
        <v>BRX-118</v>
      </c>
    </row>
    <row r="1528" spans="1:8" x14ac:dyDescent="0.25">
      <c r="A1528" t="s">
        <v>163</v>
      </c>
      <c r="B1528">
        <v>135980</v>
      </c>
      <c r="C1528" s="4">
        <v>727.95</v>
      </c>
      <c r="D1528" s="1">
        <v>44361</v>
      </c>
      <c r="E1528" t="str">
        <f>"202106093845"</f>
        <v>202106093845</v>
      </c>
      <c r="F1528" t="str">
        <f>"Statement"</f>
        <v>Statement</v>
      </c>
      <c r="G1528" s="4">
        <v>727.95</v>
      </c>
      <c r="H1528" t="str">
        <f>"1530936"</f>
        <v>1530936</v>
      </c>
    </row>
    <row r="1529" spans="1:8" x14ac:dyDescent="0.25">
      <c r="E1529" t="str">
        <f>""</f>
        <v/>
      </c>
      <c r="F1529" t="str">
        <f>""</f>
        <v/>
      </c>
      <c r="H1529" t="str">
        <f>"2510960"</f>
        <v>2510960</v>
      </c>
    </row>
    <row r="1530" spans="1:8" x14ac:dyDescent="0.25">
      <c r="E1530" t="str">
        <f>""</f>
        <v/>
      </c>
      <c r="F1530" t="str">
        <f>""</f>
        <v/>
      </c>
      <c r="H1530" t="str">
        <f>"6110653"</f>
        <v>6110653</v>
      </c>
    </row>
    <row r="1531" spans="1:8" x14ac:dyDescent="0.25">
      <c r="E1531" t="str">
        <f>""</f>
        <v/>
      </c>
      <c r="F1531" t="str">
        <f>""</f>
        <v/>
      </c>
      <c r="H1531" t="str">
        <f>"5542904"</f>
        <v>5542904</v>
      </c>
    </row>
    <row r="1532" spans="1:8" x14ac:dyDescent="0.25">
      <c r="A1532" t="s">
        <v>430</v>
      </c>
      <c r="B1532">
        <v>4628</v>
      </c>
      <c r="C1532" s="4">
        <v>106902.78</v>
      </c>
      <c r="D1532" s="1">
        <v>44362</v>
      </c>
      <c r="E1532" t="str">
        <f>"4284"</f>
        <v>4284</v>
      </c>
      <c r="F1532" t="str">
        <f>"HMGP ADMIN DR 4272-029"</f>
        <v>HMGP ADMIN DR 4272-029</v>
      </c>
      <c r="G1532" s="4">
        <v>1075</v>
      </c>
      <c r="H1532" t="str">
        <f>"HMGP ADMIN DR 4272-029"</f>
        <v>HMGP ADMIN DR 4272-029</v>
      </c>
    </row>
    <row r="1533" spans="1:8" x14ac:dyDescent="0.25">
      <c r="E1533" t="str">
        <f>"4285"</f>
        <v>4285</v>
      </c>
      <c r="F1533" t="str">
        <f>"HMGP ADMIN DR 5233-007"</f>
        <v>HMGP ADMIN DR 5233-007</v>
      </c>
      <c r="G1533" s="4">
        <v>19950</v>
      </c>
      <c r="H1533" t="str">
        <f>"HMGP ADMIN DR 5233-007"</f>
        <v>HMGP ADMIN DR 5233-007</v>
      </c>
    </row>
    <row r="1534" spans="1:8" x14ac:dyDescent="0.25">
      <c r="E1534" t="str">
        <f>"4297"</f>
        <v>4297</v>
      </c>
      <c r="F1534" t="str">
        <f>"GENERAL ADMIN - WILDFIRE"</f>
        <v>GENERAL ADMIN - WILDFIRE</v>
      </c>
      <c r="G1534" s="4">
        <v>85877.78</v>
      </c>
      <c r="H1534" t="str">
        <f>"GENERAL ADMIN - WILDFIRE"</f>
        <v>GENERAL ADMIN - WILDFIRE</v>
      </c>
    </row>
    <row r="1535" spans="1:8" x14ac:dyDescent="0.25">
      <c r="A1535" t="s">
        <v>336</v>
      </c>
      <c r="B1535">
        <v>135981</v>
      </c>
      <c r="C1535" s="4">
        <v>2659.85</v>
      </c>
      <c r="D1535" s="1">
        <v>44361</v>
      </c>
      <c r="E1535" t="str">
        <f>"20390448"</f>
        <v>20390448</v>
      </c>
      <c r="F1535" t="str">
        <f>"CISCO Wireless Modem"</f>
        <v>CISCO Wireless Modem</v>
      </c>
      <c r="G1535" s="4">
        <v>2659.85</v>
      </c>
      <c r="H1535" t="str">
        <f>"CISCO Wireless Modem"</f>
        <v>CISCO Wireless Modem</v>
      </c>
    </row>
    <row r="1536" spans="1:8" x14ac:dyDescent="0.25">
      <c r="A1536" t="s">
        <v>366</v>
      </c>
      <c r="B1536">
        <v>135982</v>
      </c>
      <c r="C1536" s="4">
        <v>1297.42</v>
      </c>
      <c r="D1536" s="1">
        <v>44361</v>
      </c>
      <c r="E1536" t="str">
        <f>"202106033513"</f>
        <v>202106033513</v>
      </c>
      <c r="F1536" t="str">
        <f>"WORKERS COMP. 3RD QTR"</f>
        <v>WORKERS COMP. 3RD QTR</v>
      </c>
      <c r="G1536" s="4">
        <v>1297.42</v>
      </c>
      <c r="H1536" t="str">
        <f>"WORKERS COMP. 3RD QTR"</f>
        <v>WORKERS COMP. 3RD QTR</v>
      </c>
    </row>
    <row r="1537" spans="1:8" x14ac:dyDescent="0.25">
      <c r="A1537" t="s">
        <v>431</v>
      </c>
      <c r="B1537">
        <v>136109</v>
      </c>
      <c r="C1537" s="4">
        <v>986437.8</v>
      </c>
      <c r="D1537" s="1">
        <v>44375</v>
      </c>
      <c r="E1537" t="str">
        <f>"202106224138"</f>
        <v>202106224138</v>
      </c>
      <c r="F1537" t="str">
        <f>"DR-4029 / PW-911"</f>
        <v>DR-4029 / PW-911</v>
      </c>
      <c r="G1537" s="4">
        <v>986437.8</v>
      </c>
      <c r="H1537" t="str">
        <f>"DR-4029 / PW-911"</f>
        <v>DR-4029 / PW-911</v>
      </c>
    </row>
    <row r="1538" spans="1:8" x14ac:dyDescent="0.25">
      <c r="A1538" t="s">
        <v>432</v>
      </c>
      <c r="B1538">
        <v>1160</v>
      </c>
      <c r="C1538" s="4">
        <v>4439.45</v>
      </c>
      <c r="D1538" s="1">
        <v>44376</v>
      </c>
      <c r="E1538" t="str">
        <f>"202106294206"</f>
        <v>202106294206</v>
      </c>
      <c r="F1538" t="str">
        <f>"ROUNDING - JUNE 2021"</f>
        <v>ROUNDING - JUNE 2021</v>
      </c>
      <c r="G1538" s="4">
        <v>0.03</v>
      </c>
      <c r="H1538" t="str">
        <f>"ROUNDING - JUNE 2021"</f>
        <v>ROUNDING - JUNE 2021</v>
      </c>
    </row>
    <row r="1539" spans="1:8" x14ac:dyDescent="0.25">
      <c r="E1539" t="str">
        <f>"AS 202106093830"</f>
        <v>AS 202106093830</v>
      </c>
      <c r="F1539" t="str">
        <f t="shared" ref="F1539:F1552" si="32">"ALLSTATE"</f>
        <v>ALLSTATE</v>
      </c>
      <c r="G1539" s="4">
        <v>397.52</v>
      </c>
      <c r="H1539" t="str">
        <f t="shared" ref="H1539:H1552" si="33">"ALLSTATE"</f>
        <v>ALLSTATE</v>
      </c>
    </row>
    <row r="1540" spans="1:8" x14ac:dyDescent="0.25">
      <c r="E1540" t="str">
        <f>"AS 202106093832"</f>
        <v>AS 202106093832</v>
      </c>
      <c r="F1540" t="str">
        <f t="shared" si="32"/>
        <v>ALLSTATE</v>
      </c>
      <c r="G1540" s="4">
        <v>27.14</v>
      </c>
      <c r="H1540" t="str">
        <f t="shared" si="33"/>
        <v>ALLSTATE</v>
      </c>
    </row>
    <row r="1541" spans="1:8" x14ac:dyDescent="0.25">
      <c r="E1541" t="str">
        <f>"AS 202106224151"</f>
        <v>AS 202106224151</v>
      </c>
      <c r="F1541" t="str">
        <f t="shared" si="32"/>
        <v>ALLSTATE</v>
      </c>
      <c r="G1541" s="4">
        <v>397.52</v>
      </c>
      <c r="H1541" t="str">
        <f t="shared" si="33"/>
        <v>ALLSTATE</v>
      </c>
    </row>
    <row r="1542" spans="1:8" x14ac:dyDescent="0.25">
      <c r="E1542" t="str">
        <f>"AS 202106224152"</f>
        <v>AS 202106224152</v>
      </c>
      <c r="F1542" t="str">
        <f t="shared" si="32"/>
        <v>ALLSTATE</v>
      </c>
      <c r="G1542" s="4">
        <v>27.14</v>
      </c>
      <c r="H1542" t="str">
        <f t="shared" si="33"/>
        <v>ALLSTATE</v>
      </c>
    </row>
    <row r="1543" spans="1:8" x14ac:dyDescent="0.25">
      <c r="E1543" t="str">
        <f>"ASD202106093830"</f>
        <v>ASD202106093830</v>
      </c>
      <c r="F1543" t="str">
        <f t="shared" si="32"/>
        <v>ALLSTATE</v>
      </c>
      <c r="G1543" s="4">
        <v>170.21</v>
      </c>
      <c r="H1543" t="str">
        <f t="shared" si="33"/>
        <v>ALLSTATE</v>
      </c>
    </row>
    <row r="1544" spans="1:8" x14ac:dyDescent="0.25">
      <c r="E1544" t="str">
        <f>"ASD202106224151"</f>
        <v>ASD202106224151</v>
      </c>
      <c r="F1544" t="str">
        <f t="shared" si="32"/>
        <v>ALLSTATE</v>
      </c>
      <c r="G1544" s="4">
        <v>170.21</v>
      </c>
      <c r="H1544" t="str">
        <f t="shared" si="33"/>
        <v>ALLSTATE</v>
      </c>
    </row>
    <row r="1545" spans="1:8" x14ac:dyDescent="0.25">
      <c r="E1545" t="str">
        <f>"ASI202106093830"</f>
        <v>ASI202106093830</v>
      </c>
      <c r="F1545" t="str">
        <f t="shared" si="32"/>
        <v>ALLSTATE</v>
      </c>
      <c r="G1545" s="4">
        <v>532.82000000000005</v>
      </c>
      <c r="H1545" t="str">
        <f t="shared" si="33"/>
        <v>ALLSTATE</v>
      </c>
    </row>
    <row r="1546" spans="1:8" x14ac:dyDescent="0.25">
      <c r="E1546" t="str">
        <f>"ASI202106093832"</f>
        <v>ASI202106093832</v>
      </c>
      <c r="F1546" t="str">
        <f t="shared" si="32"/>
        <v>ALLSTATE</v>
      </c>
      <c r="G1546" s="4">
        <v>67.150000000000006</v>
      </c>
      <c r="H1546" t="str">
        <f t="shared" si="33"/>
        <v>ALLSTATE</v>
      </c>
    </row>
    <row r="1547" spans="1:8" x14ac:dyDescent="0.25">
      <c r="E1547" t="str">
        <f>"ASI202106224151"</f>
        <v>ASI202106224151</v>
      </c>
      <c r="F1547" t="str">
        <f t="shared" si="32"/>
        <v>ALLSTATE</v>
      </c>
      <c r="G1547" s="4">
        <v>532.82000000000005</v>
      </c>
      <c r="H1547" t="str">
        <f t="shared" si="33"/>
        <v>ALLSTATE</v>
      </c>
    </row>
    <row r="1548" spans="1:8" x14ac:dyDescent="0.25">
      <c r="E1548" t="str">
        <f>"ASI202106224152"</f>
        <v>ASI202106224152</v>
      </c>
      <c r="F1548" t="str">
        <f t="shared" si="32"/>
        <v>ALLSTATE</v>
      </c>
      <c r="G1548" s="4">
        <v>67.150000000000006</v>
      </c>
      <c r="H1548" t="str">
        <f t="shared" si="33"/>
        <v>ALLSTATE</v>
      </c>
    </row>
    <row r="1549" spans="1:8" x14ac:dyDescent="0.25">
      <c r="E1549" t="str">
        <f>"AST202106093830"</f>
        <v>AST202106093830</v>
      </c>
      <c r="F1549" t="str">
        <f t="shared" si="32"/>
        <v>ALLSTATE</v>
      </c>
      <c r="G1549" s="4">
        <v>993.46</v>
      </c>
      <c r="H1549" t="str">
        <f t="shared" si="33"/>
        <v>ALLSTATE</v>
      </c>
    </row>
    <row r="1550" spans="1:8" x14ac:dyDescent="0.25">
      <c r="E1550" t="str">
        <f>"AST202106093832"</f>
        <v>AST202106093832</v>
      </c>
      <c r="F1550" t="str">
        <f t="shared" si="32"/>
        <v>ALLSTATE</v>
      </c>
      <c r="G1550" s="4">
        <v>31.41</v>
      </c>
      <c r="H1550" t="str">
        <f t="shared" si="33"/>
        <v>ALLSTATE</v>
      </c>
    </row>
    <row r="1551" spans="1:8" x14ac:dyDescent="0.25">
      <c r="E1551" t="str">
        <f>"AST202106224151"</f>
        <v>AST202106224151</v>
      </c>
      <c r="F1551" t="str">
        <f t="shared" si="32"/>
        <v>ALLSTATE</v>
      </c>
      <c r="G1551" s="4">
        <v>993.46</v>
      </c>
      <c r="H1551" t="str">
        <f t="shared" si="33"/>
        <v>ALLSTATE</v>
      </c>
    </row>
    <row r="1552" spans="1:8" x14ac:dyDescent="0.25">
      <c r="E1552" t="str">
        <f>"AST202106224152"</f>
        <v>AST202106224152</v>
      </c>
      <c r="F1552" t="str">
        <f t="shared" si="32"/>
        <v>ALLSTATE</v>
      </c>
      <c r="G1552" s="4">
        <v>31.41</v>
      </c>
      <c r="H1552" t="str">
        <f t="shared" si="33"/>
        <v>ALLSTATE</v>
      </c>
    </row>
    <row r="1553" spans="1:8" x14ac:dyDescent="0.25">
      <c r="A1553" t="s">
        <v>433</v>
      </c>
      <c r="B1553">
        <v>1156</v>
      </c>
      <c r="C1553" s="4">
        <v>26706.22</v>
      </c>
      <c r="D1553" s="1">
        <v>44376</v>
      </c>
      <c r="E1553" t="str">
        <f>"202106294202"</f>
        <v>202106294202</v>
      </c>
      <c r="F1553" t="str">
        <f>"RETIREE INS - JUNE 2021"</f>
        <v>RETIREE INS - JUNE 2021</v>
      </c>
      <c r="G1553" s="4">
        <v>26706.22</v>
      </c>
      <c r="H1553" t="str">
        <f>"RETIREE INS - JUNE 2021"</f>
        <v>RETIREE INS - JUNE 2021</v>
      </c>
    </row>
    <row r="1554" spans="1:8" x14ac:dyDescent="0.25">
      <c r="A1554" t="s">
        <v>434</v>
      </c>
      <c r="B1554">
        <v>1092</v>
      </c>
      <c r="C1554" s="4">
        <v>1757.39</v>
      </c>
      <c r="D1554" s="1">
        <v>44358</v>
      </c>
      <c r="E1554" t="str">
        <f>"DHM202106093834"</f>
        <v>DHM202106093834</v>
      </c>
      <c r="F1554" t="str">
        <f>"AP - DENTAL HMO"</f>
        <v>AP - DENTAL HMO</v>
      </c>
      <c r="G1554" s="4">
        <v>33.590000000000003</v>
      </c>
      <c r="H1554" t="str">
        <f>"AP - DENTAL HMO"</f>
        <v>AP - DENTAL HMO</v>
      </c>
    </row>
    <row r="1555" spans="1:8" x14ac:dyDescent="0.25">
      <c r="E1555" t="str">
        <f>"DTX202106093834"</f>
        <v>DTX202106093834</v>
      </c>
      <c r="F1555" t="str">
        <f>"AP - TEXAS DENTAL"</f>
        <v>AP - TEXAS DENTAL</v>
      </c>
      <c r="G1555" s="4">
        <v>326.47000000000003</v>
      </c>
      <c r="H1555" t="str">
        <f>"AP - TEXAS DENTAL"</f>
        <v>AP - TEXAS DENTAL</v>
      </c>
    </row>
    <row r="1556" spans="1:8" x14ac:dyDescent="0.25">
      <c r="E1556" t="str">
        <f>"FD 202106093834"</f>
        <v>FD 202106093834</v>
      </c>
      <c r="F1556" t="str">
        <f>"AP - FT DEARBORN PRE-TAX"</f>
        <v>AP - FT DEARBORN PRE-TAX</v>
      </c>
      <c r="G1556" s="4">
        <v>65.84</v>
      </c>
      <c r="H1556" t="str">
        <f>"AP - FT DEARBORN PRE-TAX"</f>
        <v>AP - FT DEARBORN PRE-TAX</v>
      </c>
    </row>
    <row r="1557" spans="1:8" x14ac:dyDescent="0.25">
      <c r="E1557" t="str">
        <f>"FDT202106093834"</f>
        <v>FDT202106093834</v>
      </c>
      <c r="F1557" t="str">
        <f>"AP - FT DEARBORN AFTER TAX"</f>
        <v>AP - FT DEARBORN AFTER TAX</v>
      </c>
      <c r="G1557" s="4">
        <v>65.209999999999994</v>
      </c>
      <c r="H1557" t="str">
        <f>"AP - FT DEARBORN AFTER TAX"</f>
        <v>AP - FT DEARBORN AFTER TAX</v>
      </c>
    </row>
    <row r="1558" spans="1:8" x14ac:dyDescent="0.25">
      <c r="E1558" t="str">
        <f>"FLX202106093834"</f>
        <v>FLX202106093834</v>
      </c>
      <c r="F1558" t="str">
        <f>"AP - TEX FLEX"</f>
        <v>AP - TEX FLEX</v>
      </c>
      <c r="G1558" s="4">
        <v>94.5</v>
      </c>
      <c r="H1558" t="str">
        <f>"AP - TEX FLEX"</f>
        <v>AP - TEX FLEX</v>
      </c>
    </row>
    <row r="1559" spans="1:8" x14ac:dyDescent="0.25">
      <c r="E1559" t="str">
        <f>"HSA202106093834"</f>
        <v>HSA202106093834</v>
      </c>
      <c r="F1559" t="str">
        <f>"AP- HSA"</f>
        <v>AP- HSA</v>
      </c>
      <c r="G1559" s="4">
        <v>20</v>
      </c>
      <c r="H1559" t="str">
        <f>"AP- HSA"</f>
        <v>AP- HSA</v>
      </c>
    </row>
    <row r="1560" spans="1:8" x14ac:dyDescent="0.25">
      <c r="E1560" t="str">
        <f>"MHS202106093834"</f>
        <v>MHS202106093834</v>
      </c>
      <c r="F1560" t="str">
        <f>"AP - HEALTH SELECT MEDICAL"</f>
        <v>AP - HEALTH SELECT MEDICAL</v>
      </c>
      <c r="G1560" s="4">
        <v>718.14</v>
      </c>
      <c r="H1560" t="str">
        <f>"AP - HEALTH SELECT MEDICAL"</f>
        <v>AP - HEALTH SELECT MEDICAL</v>
      </c>
    </row>
    <row r="1561" spans="1:8" x14ac:dyDescent="0.25">
      <c r="E1561" t="str">
        <f>"MSW202106093834"</f>
        <v>MSW202106093834</v>
      </c>
      <c r="F1561" t="str">
        <f>"AP - SCOTT &amp; WHITE MEDICAL"</f>
        <v>AP - SCOTT &amp; WHITE MEDICAL</v>
      </c>
      <c r="G1561" s="4">
        <v>372.42</v>
      </c>
      <c r="H1561" t="str">
        <f>"AP - SCOTT &amp; WHITE MEDICAL"</f>
        <v>AP - SCOTT &amp; WHITE MEDICAL</v>
      </c>
    </row>
    <row r="1562" spans="1:8" x14ac:dyDescent="0.25">
      <c r="E1562" t="str">
        <f>"SPE202106093834"</f>
        <v>SPE202106093834</v>
      </c>
      <c r="F1562" t="str">
        <f>"AP - STATE VISION"</f>
        <v>AP - STATE VISION</v>
      </c>
      <c r="G1562" s="4">
        <v>61.22</v>
      </c>
      <c r="H1562" t="str">
        <f>"AP - STATE VISION"</f>
        <v>AP - STATE VISION</v>
      </c>
    </row>
    <row r="1563" spans="1:8" x14ac:dyDescent="0.25">
      <c r="A1563" t="s">
        <v>434</v>
      </c>
      <c r="B1563">
        <v>1150</v>
      </c>
      <c r="C1563" s="4">
        <v>1757.39</v>
      </c>
      <c r="D1563" s="1">
        <v>44372</v>
      </c>
      <c r="E1563" t="str">
        <f>"DHM202106224153"</f>
        <v>DHM202106224153</v>
      </c>
      <c r="F1563" t="str">
        <f>"AP - DENTAL HMO"</f>
        <v>AP - DENTAL HMO</v>
      </c>
      <c r="G1563" s="4">
        <v>33.590000000000003</v>
      </c>
      <c r="H1563" t="str">
        <f>"AP - DENTAL HMO"</f>
        <v>AP - DENTAL HMO</v>
      </c>
    </row>
    <row r="1564" spans="1:8" x14ac:dyDescent="0.25">
      <c r="E1564" t="str">
        <f>"DTX202106224153"</f>
        <v>DTX202106224153</v>
      </c>
      <c r="F1564" t="str">
        <f>"AP - TEXAS DENTAL"</f>
        <v>AP - TEXAS DENTAL</v>
      </c>
      <c r="G1564" s="4">
        <v>326.47000000000003</v>
      </c>
      <c r="H1564" t="str">
        <f>"AP - TEXAS DENTAL"</f>
        <v>AP - TEXAS DENTAL</v>
      </c>
    </row>
    <row r="1565" spans="1:8" x14ac:dyDescent="0.25">
      <c r="E1565" t="str">
        <f>"FD 202106224153"</f>
        <v>FD 202106224153</v>
      </c>
      <c r="F1565" t="str">
        <f>"AP - FT DEARBORN PRE-TAX"</f>
        <v>AP - FT DEARBORN PRE-TAX</v>
      </c>
      <c r="G1565" s="4">
        <v>65.84</v>
      </c>
      <c r="H1565" t="str">
        <f>"AP - FT DEARBORN PRE-TAX"</f>
        <v>AP - FT DEARBORN PRE-TAX</v>
      </c>
    </row>
    <row r="1566" spans="1:8" x14ac:dyDescent="0.25">
      <c r="E1566" t="str">
        <f>"FDT202106224153"</f>
        <v>FDT202106224153</v>
      </c>
      <c r="F1566" t="str">
        <f>"AP - FT DEARBORN AFTER TAX"</f>
        <v>AP - FT DEARBORN AFTER TAX</v>
      </c>
      <c r="G1566" s="4">
        <v>65.209999999999994</v>
      </c>
      <c r="H1566" t="str">
        <f>"AP - FT DEARBORN AFTER TAX"</f>
        <v>AP - FT DEARBORN AFTER TAX</v>
      </c>
    </row>
    <row r="1567" spans="1:8" x14ac:dyDescent="0.25">
      <c r="E1567" t="str">
        <f>"FLX202106224153"</f>
        <v>FLX202106224153</v>
      </c>
      <c r="F1567" t="str">
        <f>"AP - TEX FLEX"</f>
        <v>AP - TEX FLEX</v>
      </c>
      <c r="G1567" s="4">
        <v>94.5</v>
      </c>
      <c r="H1567" t="str">
        <f>"AP - TEX FLEX"</f>
        <v>AP - TEX FLEX</v>
      </c>
    </row>
    <row r="1568" spans="1:8" x14ac:dyDescent="0.25">
      <c r="E1568" t="str">
        <f>"HSA202106224153"</f>
        <v>HSA202106224153</v>
      </c>
      <c r="F1568" t="str">
        <f>"AP- HSA"</f>
        <v>AP- HSA</v>
      </c>
      <c r="G1568" s="4">
        <v>20</v>
      </c>
      <c r="H1568" t="str">
        <f>"AP- HSA"</f>
        <v>AP- HSA</v>
      </c>
    </row>
    <row r="1569" spans="1:8" x14ac:dyDescent="0.25">
      <c r="E1569" t="str">
        <f>"MHS202106224153"</f>
        <v>MHS202106224153</v>
      </c>
      <c r="F1569" t="str">
        <f>"AP - HEALTH SELECT MEDICAL"</f>
        <v>AP - HEALTH SELECT MEDICAL</v>
      </c>
      <c r="G1569" s="4">
        <v>718.14</v>
      </c>
      <c r="H1569" t="str">
        <f>"AP - HEALTH SELECT MEDICAL"</f>
        <v>AP - HEALTH SELECT MEDICAL</v>
      </c>
    </row>
    <row r="1570" spans="1:8" x14ac:dyDescent="0.25">
      <c r="E1570" t="str">
        <f>"MSW202106224153"</f>
        <v>MSW202106224153</v>
      </c>
      <c r="F1570" t="str">
        <f>"AP - SCOTT &amp; WHITE MEDICAL"</f>
        <v>AP - SCOTT &amp; WHITE MEDICAL</v>
      </c>
      <c r="G1570" s="4">
        <v>372.42</v>
      </c>
      <c r="H1570" t="str">
        <f>"AP - SCOTT &amp; WHITE MEDICAL"</f>
        <v>AP - SCOTT &amp; WHITE MEDICAL</v>
      </c>
    </row>
    <row r="1571" spans="1:8" x14ac:dyDescent="0.25">
      <c r="E1571" t="str">
        <f>"SPE202106224153"</f>
        <v>SPE202106224153</v>
      </c>
      <c r="F1571" t="str">
        <f>"AP - STATE VISION"</f>
        <v>AP - STATE VISION</v>
      </c>
      <c r="G1571" s="4">
        <v>61.22</v>
      </c>
      <c r="H1571" t="str">
        <f>"AP - STATE VISION"</f>
        <v>AP - STATE VISION</v>
      </c>
    </row>
    <row r="1572" spans="1:8" x14ac:dyDescent="0.25">
      <c r="A1572" t="s">
        <v>435</v>
      </c>
      <c r="B1572">
        <v>1161</v>
      </c>
      <c r="C1572" s="4">
        <v>4425.88</v>
      </c>
      <c r="D1572" s="1">
        <v>44376</v>
      </c>
      <c r="E1572" t="str">
        <f>"202106294207"</f>
        <v>202106294207</v>
      </c>
      <c r="F1572" t="str">
        <f>"ROUNDING - JUNE 2021"</f>
        <v>ROUNDING - JUNE 2021</v>
      </c>
      <c r="G1572" s="4">
        <v>0.44</v>
      </c>
      <c r="H1572" t="str">
        <f>"ROUNDING - JUNE 2021"</f>
        <v>ROUNDING - JUNE 2021</v>
      </c>
    </row>
    <row r="1573" spans="1:8" x14ac:dyDescent="0.25">
      <c r="E1573" t="str">
        <f>"CL 202106093830"</f>
        <v>CL 202106093830</v>
      </c>
      <c r="F1573" t="str">
        <f t="shared" ref="F1573:F1592" si="34">"COLONIAL"</f>
        <v>COLONIAL</v>
      </c>
      <c r="G1573" s="4">
        <v>539.33000000000004</v>
      </c>
      <c r="H1573" t="str">
        <f t="shared" ref="H1573:H1592" si="35">"COLONIAL"</f>
        <v>COLONIAL</v>
      </c>
    </row>
    <row r="1574" spans="1:8" x14ac:dyDescent="0.25">
      <c r="E1574" t="str">
        <f>"CL 202106093832"</f>
        <v>CL 202106093832</v>
      </c>
      <c r="F1574" t="str">
        <f t="shared" si="34"/>
        <v>COLONIAL</v>
      </c>
      <c r="G1574" s="4">
        <v>14.49</v>
      </c>
      <c r="H1574" t="str">
        <f t="shared" si="35"/>
        <v>COLONIAL</v>
      </c>
    </row>
    <row r="1575" spans="1:8" x14ac:dyDescent="0.25">
      <c r="E1575" t="str">
        <f>"CL 202106224151"</f>
        <v>CL 202106224151</v>
      </c>
      <c r="F1575" t="str">
        <f t="shared" si="34"/>
        <v>COLONIAL</v>
      </c>
      <c r="G1575" s="4">
        <v>539.33000000000004</v>
      </c>
      <c r="H1575" t="str">
        <f t="shared" si="35"/>
        <v>COLONIAL</v>
      </c>
    </row>
    <row r="1576" spans="1:8" x14ac:dyDescent="0.25">
      <c r="E1576" t="str">
        <f>"CL 202106224152"</f>
        <v>CL 202106224152</v>
      </c>
      <c r="F1576" t="str">
        <f t="shared" si="34"/>
        <v>COLONIAL</v>
      </c>
      <c r="G1576" s="4">
        <v>14.49</v>
      </c>
      <c r="H1576" t="str">
        <f t="shared" si="35"/>
        <v>COLONIAL</v>
      </c>
    </row>
    <row r="1577" spans="1:8" x14ac:dyDescent="0.25">
      <c r="E1577" t="str">
        <f>"CLC202106093830"</f>
        <v>CLC202106093830</v>
      </c>
      <c r="F1577" t="str">
        <f t="shared" si="34"/>
        <v>COLONIAL</v>
      </c>
      <c r="G1577" s="4">
        <v>33.99</v>
      </c>
      <c r="H1577" t="str">
        <f t="shared" si="35"/>
        <v>COLONIAL</v>
      </c>
    </row>
    <row r="1578" spans="1:8" x14ac:dyDescent="0.25">
      <c r="E1578" t="str">
        <f>"CLC202106224151"</f>
        <v>CLC202106224151</v>
      </c>
      <c r="F1578" t="str">
        <f t="shared" si="34"/>
        <v>COLONIAL</v>
      </c>
      <c r="G1578" s="4">
        <v>33.99</v>
      </c>
      <c r="H1578" t="str">
        <f t="shared" si="35"/>
        <v>COLONIAL</v>
      </c>
    </row>
    <row r="1579" spans="1:8" x14ac:dyDescent="0.25">
      <c r="E1579" t="str">
        <f>"CLI202106093830"</f>
        <v>CLI202106093830</v>
      </c>
      <c r="F1579" t="str">
        <f t="shared" si="34"/>
        <v>COLONIAL</v>
      </c>
      <c r="G1579" s="4">
        <v>538.16999999999996</v>
      </c>
      <c r="H1579" t="str">
        <f t="shared" si="35"/>
        <v>COLONIAL</v>
      </c>
    </row>
    <row r="1580" spans="1:8" x14ac:dyDescent="0.25">
      <c r="E1580" t="str">
        <f>"CLI202106224151"</f>
        <v>CLI202106224151</v>
      </c>
      <c r="F1580" t="str">
        <f t="shared" si="34"/>
        <v>COLONIAL</v>
      </c>
      <c r="G1580" s="4">
        <v>538.16999999999996</v>
      </c>
      <c r="H1580" t="str">
        <f t="shared" si="35"/>
        <v>COLONIAL</v>
      </c>
    </row>
    <row r="1581" spans="1:8" x14ac:dyDescent="0.25">
      <c r="E1581" t="str">
        <f>"CLK202106093830"</f>
        <v>CLK202106093830</v>
      </c>
      <c r="F1581" t="str">
        <f t="shared" si="34"/>
        <v>COLONIAL</v>
      </c>
      <c r="G1581" s="4">
        <v>27.09</v>
      </c>
      <c r="H1581" t="str">
        <f t="shared" si="35"/>
        <v>COLONIAL</v>
      </c>
    </row>
    <row r="1582" spans="1:8" x14ac:dyDescent="0.25">
      <c r="E1582" t="str">
        <f>"CLK202106224151"</f>
        <v>CLK202106224151</v>
      </c>
      <c r="F1582" t="str">
        <f t="shared" si="34"/>
        <v>COLONIAL</v>
      </c>
      <c r="G1582" s="4">
        <v>27.09</v>
      </c>
      <c r="H1582" t="str">
        <f t="shared" si="35"/>
        <v>COLONIAL</v>
      </c>
    </row>
    <row r="1583" spans="1:8" x14ac:dyDescent="0.25">
      <c r="E1583" t="str">
        <f>"CLS202106093830"</f>
        <v>CLS202106093830</v>
      </c>
      <c r="F1583" t="str">
        <f t="shared" si="34"/>
        <v>COLONIAL</v>
      </c>
      <c r="G1583" s="4">
        <v>442.26</v>
      </c>
      <c r="H1583" t="str">
        <f t="shared" si="35"/>
        <v>COLONIAL</v>
      </c>
    </row>
    <row r="1584" spans="1:8" x14ac:dyDescent="0.25">
      <c r="E1584" t="str">
        <f>"CLS202106093832"</f>
        <v>CLS202106093832</v>
      </c>
      <c r="F1584" t="str">
        <f t="shared" si="34"/>
        <v>COLONIAL</v>
      </c>
      <c r="G1584" s="4">
        <v>15.73</v>
      </c>
      <c r="H1584" t="str">
        <f t="shared" si="35"/>
        <v>COLONIAL</v>
      </c>
    </row>
    <row r="1585" spans="1:8" x14ac:dyDescent="0.25">
      <c r="E1585" t="str">
        <f>"CLS202106224151"</f>
        <v>CLS202106224151</v>
      </c>
      <c r="F1585" t="str">
        <f t="shared" si="34"/>
        <v>COLONIAL</v>
      </c>
      <c r="G1585" s="4">
        <v>368.46</v>
      </c>
      <c r="H1585" t="str">
        <f t="shared" si="35"/>
        <v>COLONIAL</v>
      </c>
    </row>
    <row r="1586" spans="1:8" x14ac:dyDescent="0.25">
      <c r="E1586" t="str">
        <f>"CLS202106224152"</f>
        <v>CLS202106224152</v>
      </c>
      <c r="F1586" t="str">
        <f t="shared" si="34"/>
        <v>COLONIAL</v>
      </c>
      <c r="G1586" s="4">
        <v>15.73</v>
      </c>
      <c r="H1586" t="str">
        <f t="shared" si="35"/>
        <v>COLONIAL</v>
      </c>
    </row>
    <row r="1587" spans="1:8" x14ac:dyDescent="0.25">
      <c r="E1587" t="str">
        <f>"CLT202106093830"</f>
        <v>CLT202106093830</v>
      </c>
      <c r="F1587" t="str">
        <f t="shared" si="34"/>
        <v>COLONIAL</v>
      </c>
      <c r="G1587" s="4">
        <v>260.32</v>
      </c>
      <c r="H1587" t="str">
        <f t="shared" si="35"/>
        <v>COLONIAL</v>
      </c>
    </row>
    <row r="1588" spans="1:8" x14ac:dyDescent="0.25">
      <c r="E1588" t="str">
        <f>"CLT202106224151"</f>
        <v>CLT202106224151</v>
      </c>
      <c r="F1588" t="str">
        <f t="shared" si="34"/>
        <v>COLONIAL</v>
      </c>
      <c r="G1588" s="4">
        <v>260.32</v>
      </c>
      <c r="H1588" t="str">
        <f t="shared" si="35"/>
        <v>COLONIAL</v>
      </c>
    </row>
    <row r="1589" spans="1:8" x14ac:dyDescent="0.25">
      <c r="E1589" t="str">
        <f>"CLU202106093830"</f>
        <v>CLU202106093830</v>
      </c>
      <c r="F1589" t="str">
        <f t="shared" si="34"/>
        <v>COLONIAL</v>
      </c>
      <c r="G1589" s="4">
        <v>111.55</v>
      </c>
      <c r="H1589" t="str">
        <f t="shared" si="35"/>
        <v>COLONIAL</v>
      </c>
    </row>
    <row r="1590" spans="1:8" x14ac:dyDescent="0.25">
      <c r="E1590" t="str">
        <f>"CLU202106224151"</f>
        <v>CLU202106224151</v>
      </c>
      <c r="F1590" t="str">
        <f t="shared" si="34"/>
        <v>COLONIAL</v>
      </c>
      <c r="G1590" s="4">
        <v>111.55</v>
      </c>
      <c r="H1590" t="str">
        <f t="shared" si="35"/>
        <v>COLONIAL</v>
      </c>
    </row>
    <row r="1591" spans="1:8" x14ac:dyDescent="0.25">
      <c r="E1591" t="str">
        <f>"CLW202106093830"</f>
        <v>CLW202106093830</v>
      </c>
      <c r="F1591" t="str">
        <f t="shared" si="34"/>
        <v>COLONIAL</v>
      </c>
      <c r="G1591" s="4">
        <v>266.69</v>
      </c>
      <c r="H1591" t="str">
        <f t="shared" si="35"/>
        <v>COLONIAL</v>
      </c>
    </row>
    <row r="1592" spans="1:8" x14ac:dyDescent="0.25">
      <c r="E1592" t="str">
        <f>"CLW202106224151"</f>
        <v>CLW202106224151</v>
      </c>
      <c r="F1592" t="str">
        <f t="shared" si="34"/>
        <v>COLONIAL</v>
      </c>
      <c r="G1592" s="4">
        <v>266.69</v>
      </c>
      <c r="H1592" t="str">
        <f t="shared" si="35"/>
        <v>COLONIAL</v>
      </c>
    </row>
    <row r="1593" spans="1:8" x14ac:dyDescent="0.25">
      <c r="A1593" t="s">
        <v>436</v>
      </c>
      <c r="B1593">
        <v>1093</v>
      </c>
      <c r="C1593" s="4">
        <v>7862.37</v>
      </c>
      <c r="D1593" s="1">
        <v>44358</v>
      </c>
      <c r="E1593" t="str">
        <f>"CPI202106093830"</f>
        <v>CPI202106093830</v>
      </c>
      <c r="F1593" t="str">
        <f>"DEFERRED COMP 457B PAYABLE"</f>
        <v>DEFERRED COMP 457B PAYABLE</v>
      </c>
      <c r="G1593" s="4">
        <v>7767.37</v>
      </c>
      <c r="H1593" t="str">
        <f>"DEFERRED COMP 457B PAYABLE"</f>
        <v>DEFERRED COMP 457B PAYABLE</v>
      </c>
    </row>
    <row r="1594" spans="1:8" x14ac:dyDescent="0.25">
      <c r="E1594" t="str">
        <f>"CPI202106093832"</f>
        <v>CPI202106093832</v>
      </c>
      <c r="F1594" t="str">
        <f>"DEFERRED COMP 457B PAYABLE"</f>
        <v>DEFERRED COMP 457B PAYABLE</v>
      </c>
      <c r="G1594" s="4">
        <v>95</v>
      </c>
      <c r="H1594" t="str">
        <f>"DEFERRED COMP 457B PAYABLE"</f>
        <v>DEFERRED COMP 457B PAYABLE</v>
      </c>
    </row>
    <row r="1595" spans="1:8" x14ac:dyDescent="0.25">
      <c r="A1595" t="s">
        <v>436</v>
      </c>
      <c r="B1595">
        <v>1151</v>
      </c>
      <c r="C1595" s="4">
        <v>7862.18</v>
      </c>
      <c r="D1595" s="1">
        <v>44372</v>
      </c>
      <c r="E1595" t="str">
        <f>"CPI202106224151"</f>
        <v>CPI202106224151</v>
      </c>
      <c r="F1595" t="str">
        <f>"DEFERRED COMP 457B PAYABLE"</f>
        <v>DEFERRED COMP 457B PAYABLE</v>
      </c>
      <c r="G1595" s="4">
        <v>7767.18</v>
      </c>
      <c r="H1595" t="str">
        <f>"DEFERRED COMP 457B PAYABLE"</f>
        <v>DEFERRED COMP 457B PAYABLE</v>
      </c>
    </row>
    <row r="1596" spans="1:8" x14ac:dyDescent="0.25">
      <c r="E1596" t="str">
        <f>"CPI202106224152"</f>
        <v>CPI202106224152</v>
      </c>
      <c r="F1596" t="str">
        <f>"DEFERRED COMP 457B PAYABLE"</f>
        <v>DEFERRED COMP 457B PAYABLE</v>
      </c>
      <c r="G1596" s="4">
        <v>95</v>
      </c>
      <c r="H1596" t="str">
        <f>"DEFERRED COMP 457B PAYABLE"</f>
        <v>DEFERRED COMP 457B PAYABLE</v>
      </c>
    </row>
    <row r="1597" spans="1:8" x14ac:dyDescent="0.25">
      <c r="A1597" t="s">
        <v>437</v>
      </c>
      <c r="B1597">
        <v>1157</v>
      </c>
      <c r="C1597" s="4">
        <v>41765.58</v>
      </c>
      <c r="D1597" s="1">
        <v>44376</v>
      </c>
      <c r="E1597" t="str">
        <f>"202106294200"</f>
        <v>202106294200</v>
      </c>
      <c r="F1597" t="str">
        <f>"RETIREE INS - JUNE 2021"</f>
        <v>RETIREE INS - JUNE 2021</v>
      </c>
      <c r="G1597" s="4">
        <v>3359.7</v>
      </c>
      <c r="H1597" t="str">
        <f>"RETIREE INS - JUNE 2021"</f>
        <v>RETIREE INS - JUNE 2021</v>
      </c>
    </row>
    <row r="1598" spans="1:8" x14ac:dyDescent="0.25">
      <c r="E1598" t="str">
        <f>"202106294201"</f>
        <v>202106294201</v>
      </c>
      <c r="F1598" t="str">
        <f>"COBRA INS - JUNE 2021"</f>
        <v>COBRA INS - JUNE 2021</v>
      </c>
      <c r="G1598" s="4">
        <v>207.7</v>
      </c>
      <c r="H1598" t="str">
        <f>"COBRA INS - JUNE 2021"</f>
        <v>COBRA INS - JUNE 2021</v>
      </c>
    </row>
    <row r="1599" spans="1:8" x14ac:dyDescent="0.25">
      <c r="E1599" t="str">
        <f>"ADC202106093830"</f>
        <v>ADC202106093830</v>
      </c>
      <c r="F1599" t="str">
        <f t="shared" ref="F1599:F1611" si="36">"GUARDIAN"</f>
        <v>GUARDIAN</v>
      </c>
      <c r="G1599" s="4">
        <v>4.92</v>
      </c>
      <c r="H1599" t="str">
        <f t="shared" ref="H1599:H1662" si="37">"GUARDIAN"</f>
        <v>GUARDIAN</v>
      </c>
    </row>
    <row r="1600" spans="1:8" x14ac:dyDescent="0.25">
      <c r="E1600" t="str">
        <f>"ADC202106093832"</f>
        <v>ADC202106093832</v>
      </c>
      <c r="F1600" t="str">
        <f t="shared" si="36"/>
        <v>GUARDIAN</v>
      </c>
      <c r="G1600" s="4">
        <v>0.16</v>
      </c>
      <c r="H1600" t="str">
        <f t="shared" si="37"/>
        <v>GUARDIAN</v>
      </c>
    </row>
    <row r="1601" spans="5:8" x14ac:dyDescent="0.25">
      <c r="E1601" t="str">
        <f>"ADC202106224151"</f>
        <v>ADC202106224151</v>
      </c>
      <c r="F1601" t="str">
        <f t="shared" si="36"/>
        <v>GUARDIAN</v>
      </c>
      <c r="G1601" s="4">
        <v>4.62</v>
      </c>
      <c r="H1601" t="str">
        <f t="shared" si="37"/>
        <v>GUARDIAN</v>
      </c>
    </row>
    <row r="1602" spans="5:8" x14ac:dyDescent="0.25">
      <c r="E1602" t="str">
        <f>"ADC202106224152"</f>
        <v>ADC202106224152</v>
      </c>
      <c r="F1602" t="str">
        <f t="shared" si="36"/>
        <v>GUARDIAN</v>
      </c>
      <c r="G1602" s="4">
        <v>0.16</v>
      </c>
      <c r="H1602" t="str">
        <f t="shared" si="37"/>
        <v>GUARDIAN</v>
      </c>
    </row>
    <row r="1603" spans="5:8" x14ac:dyDescent="0.25">
      <c r="E1603" t="str">
        <f>"ADE202106093830"</f>
        <v>ADE202106093830</v>
      </c>
      <c r="F1603" t="str">
        <f t="shared" si="36"/>
        <v>GUARDIAN</v>
      </c>
      <c r="G1603" s="4">
        <v>232.67</v>
      </c>
      <c r="H1603" t="str">
        <f t="shared" si="37"/>
        <v>GUARDIAN</v>
      </c>
    </row>
    <row r="1604" spans="5:8" x14ac:dyDescent="0.25">
      <c r="E1604" t="str">
        <f>"ADE202106093832"</f>
        <v>ADE202106093832</v>
      </c>
      <c r="F1604" t="str">
        <f t="shared" si="36"/>
        <v>GUARDIAN</v>
      </c>
      <c r="G1604" s="4">
        <v>5.55</v>
      </c>
      <c r="H1604" t="str">
        <f t="shared" si="37"/>
        <v>GUARDIAN</v>
      </c>
    </row>
    <row r="1605" spans="5:8" x14ac:dyDescent="0.25">
      <c r="E1605" t="str">
        <f>"ADE202106224151"</f>
        <v>ADE202106224151</v>
      </c>
      <c r="F1605" t="str">
        <f t="shared" si="36"/>
        <v>GUARDIAN</v>
      </c>
      <c r="G1605" s="4">
        <v>229.67</v>
      </c>
      <c r="H1605" t="str">
        <f t="shared" si="37"/>
        <v>GUARDIAN</v>
      </c>
    </row>
    <row r="1606" spans="5:8" x14ac:dyDescent="0.25">
      <c r="E1606" t="str">
        <f>"ADE202106224152"</f>
        <v>ADE202106224152</v>
      </c>
      <c r="F1606" t="str">
        <f t="shared" si="36"/>
        <v>GUARDIAN</v>
      </c>
      <c r="G1606" s="4">
        <v>5.55</v>
      </c>
      <c r="H1606" t="str">
        <f t="shared" si="37"/>
        <v>GUARDIAN</v>
      </c>
    </row>
    <row r="1607" spans="5:8" x14ac:dyDescent="0.25">
      <c r="E1607" t="str">
        <f>"ADS202106093830"</f>
        <v>ADS202106093830</v>
      </c>
      <c r="F1607" t="str">
        <f t="shared" si="36"/>
        <v>GUARDIAN</v>
      </c>
      <c r="G1607" s="4">
        <v>41.49</v>
      </c>
      <c r="H1607" t="str">
        <f t="shared" si="37"/>
        <v>GUARDIAN</v>
      </c>
    </row>
    <row r="1608" spans="5:8" x14ac:dyDescent="0.25">
      <c r="E1608" t="str">
        <f>"ADS202106093832"</f>
        <v>ADS202106093832</v>
      </c>
      <c r="F1608" t="str">
        <f t="shared" si="36"/>
        <v>GUARDIAN</v>
      </c>
      <c r="G1608" s="4">
        <v>0.53</v>
      </c>
      <c r="H1608" t="str">
        <f t="shared" si="37"/>
        <v>GUARDIAN</v>
      </c>
    </row>
    <row r="1609" spans="5:8" x14ac:dyDescent="0.25">
      <c r="E1609" t="str">
        <f>"ADS202106224151"</f>
        <v>ADS202106224151</v>
      </c>
      <c r="F1609" t="str">
        <f t="shared" si="36"/>
        <v>GUARDIAN</v>
      </c>
      <c r="G1609" s="4">
        <v>39.99</v>
      </c>
      <c r="H1609" t="str">
        <f t="shared" si="37"/>
        <v>GUARDIAN</v>
      </c>
    </row>
    <row r="1610" spans="5:8" x14ac:dyDescent="0.25">
      <c r="E1610" t="str">
        <f>"ADS202106224152"</f>
        <v>ADS202106224152</v>
      </c>
      <c r="F1610" t="str">
        <f t="shared" si="36"/>
        <v>GUARDIAN</v>
      </c>
      <c r="G1610" s="4">
        <v>0.53</v>
      </c>
      <c r="H1610" t="str">
        <f t="shared" si="37"/>
        <v>GUARDIAN</v>
      </c>
    </row>
    <row r="1611" spans="5:8" x14ac:dyDescent="0.25">
      <c r="E1611" t="str">
        <f>"GDC202106093830"</f>
        <v>GDC202106093830</v>
      </c>
      <c r="F1611" t="str">
        <f t="shared" si="36"/>
        <v>GUARDIAN</v>
      </c>
      <c r="G1611" s="4">
        <v>2716.8</v>
      </c>
      <c r="H1611" t="str">
        <f t="shared" si="37"/>
        <v>GUARDIAN</v>
      </c>
    </row>
    <row r="1612" spans="5:8" x14ac:dyDescent="0.25">
      <c r="E1612" t="str">
        <f>""</f>
        <v/>
      </c>
      <c r="F1612" t="str">
        <f>""</f>
        <v/>
      </c>
      <c r="H1612" t="str">
        <f t="shared" si="37"/>
        <v>GUARDIAN</v>
      </c>
    </row>
    <row r="1613" spans="5:8" x14ac:dyDescent="0.25">
      <c r="E1613" t="str">
        <f>""</f>
        <v/>
      </c>
      <c r="F1613" t="str">
        <f>""</f>
        <v/>
      </c>
      <c r="H1613" t="str">
        <f t="shared" si="37"/>
        <v>GUARDIAN</v>
      </c>
    </row>
    <row r="1614" spans="5:8" x14ac:dyDescent="0.25">
      <c r="E1614" t="str">
        <f>""</f>
        <v/>
      </c>
      <c r="F1614" t="str">
        <f>""</f>
        <v/>
      </c>
      <c r="H1614" t="str">
        <f t="shared" si="37"/>
        <v>GUARDIAN</v>
      </c>
    </row>
    <row r="1615" spans="5:8" x14ac:dyDescent="0.25">
      <c r="E1615" t="str">
        <f>""</f>
        <v/>
      </c>
      <c r="F1615" t="str">
        <f>""</f>
        <v/>
      </c>
      <c r="H1615" t="str">
        <f t="shared" si="37"/>
        <v>GUARDIAN</v>
      </c>
    </row>
    <row r="1616" spans="5:8" x14ac:dyDescent="0.25">
      <c r="E1616" t="str">
        <f>""</f>
        <v/>
      </c>
      <c r="F1616" t="str">
        <f>""</f>
        <v/>
      </c>
      <c r="H1616" t="str">
        <f t="shared" si="37"/>
        <v>GUARDIAN</v>
      </c>
    </row>
    <row r="1617" spans="5:8" x14ac:dyDescent="0.25">
      <c r="E1617" t="str">
        <f>""</f>
        <v/>
      </c>
      <c r="F1617" t="str">
        <f>""</f>
        <v/>
      </c>
      <c r="H1617" t="str">
        <f t="shared" si="37"/>
        <v>GUARDIAN</v>
      </c>
    </row>
    <row r="1618" spans="5:8" x14ac:dyDescent="0.25">
      <c r="E1618" t="str">
        <f>""</f>
        <v/>
      </c>
      <c r="F1618" t="str">
        <f>""</f>
        <v/>
      </c>
      <c r="H1618" t="str">
        <f t="shared" si="37"/>
        <v>GUARDIAN</v>
      </c>
    </row>
    <row r="1619" spans="5:8" x14ac:dyDescent="0.25">
      <c r="E1619" t="str">
        <f>""</f>
        <v/>
      </c>
      <c r="F1619" t="str">
        <f>""</f>
        <v/>
      </c>
      <c r="H1619" t="str">
        <f t="shared" si="37"/>
        <v>GUARDIAN</v>
      </c>
    </row>
    <row r="1620" spans="5:8" x14ac:dyDescent="0.25">
      <c r="E1620" t="str">
        <f>""</f>
        <v/>
      </c>
      <c r="F1620" t="str">
        <f>""</f>
        <v/>
      </c>
      <c r="H1620" t="str">
        <f t="shared" si="37"/>
        <v>GUARDIAN</v>
      </c>
    </row>
    <row r="1621" spans="5:8" x14ac:dyDescent="0.25">
      <c r="E1621" t="str">
        <f>""</f>
        <v/>
      </c>
      <c r="F1621" t="str">
        <f>""</f>
        <v/>
      </c>
      <c r="H1621" t="str">
        <f t="shared" si="37"/>
        <v>GUARDIAN</v>
      </c>
    </row>
    <row r="1622" spans="5:8" x14ac:dyDescent="0.25">
      <c r="E1622" t="str">
        <f>""</f>
        <v/>
      </c>
      <c r="F1622" t="str">
        <f>""</f>
        <v/>
      </c>
      <c r="H1622" t="str">
        <f t="shared" si="37"/>
        <v>GUARDIAN</v>
      </c>
    </row>
    <row r="1623" spans="5:8" x14ac:dyDescent="0.25">
      <c r="E1623" t="str">
        <f>""</f>
        <v/>
      </c>
      <c r="F1623" t="str">
        <f>""</f>
        <v/>
      </c>
      <c r="H1623" t="str">
        <f t="shared" si="37"/>
        <v>GUARDIAN</v>
      </c>
    </row>
    <row r="1624" spans="5:8" x14ac:dyDescent="0.25">
      <c r="E1624" t="str">
        <f>""</f>
        <v/>
      </c>
      <c r="F1624" t="str">
        <f>""</f>
        <v/>
      </c>
      <c r="H1624" t="str">
        <f t="shared" si="37"/>
        <v>GUARDIAN</v>
      </c>
    </row>
    <row r="1625" spans="5:8" x14ac:dyDescent="0.25">
      <c r="E1625" t="str">
        <f>""</f>
        <v/>
      </c>
      <c r="F1625" t="str">
        <f>""</f>
        <v/>
      </c>
      <c r="H1625" t="str">
        <f t="shared" si="37"/>
        <v>GUARDIAN</v>
      </c>
    </row>
    <row r="1626" spans="5:8" x14ac:dyDescent="0.25">
      <c r="E1626" t="str">
        <f>""</f>
        <v/>
      </c>
      <c r="F1626" t="str">
        <f>""</f>
        <v/>
      </c>
      <c r="H1626" t="str">
        <f t="shared" si="37"/>
        <v>GUARDIAN</v>
      </c>
    </row>
    <row r="1627" spans="5:8" x14ac:dyDescent="0.25">
      <c r="E1627" t="str">
        <f>""</f>
        <v/>
      </c>
      <c r="F1627" t="str">
        <f>""</f>
        <v/>
      </c>
      <c r="H1627" t="str">
        <f t="shared" si="37"/>
        <v>GUARDIAN</v>
      </c>
    </row>
    <row r="1628" spans="5:8" x14ac:dyDescent="0.25">
      <c r="E1628" t="str">
        <f>""</f>
        <v/>
      </c>
      <c r="F1628" t="str">
        <f>""</f>
        <v/>
      </c>
      <c r="H1628" t="str">
        <f t="shared" si="37"/>
        <v>GUARDIAN</v>
      </c>
    </row>
    <row r="1629" spans="5:8" x14ac:dyDescent="0.25">
      <c r="E1629" t="str">
        <f>""</f>
        <v/>
      </c>
      <c r="F1629" t="str">
        <f>""</f>
        <v/>
      </c>
      <c r="H1629" t="str">
        <f t="shared" si="37"/>
        <v>GUARDIAN</v>
      </c>
    </row>
    <row r="1630" spans="5:8" x14ac:dyDescent="0.25">
      <c r="E1630" t="str">
        <f>""</f>
        <v/>
      </c>
      <c r="F1630" t="str">
        <f>""</f>
        <v/>
      </c>
      <c r="H1630" t="str">
        <f t="shared" si="37"/>
        <v>GUARDIAN</v>
      </c>
    </row>
    <row r="1631" spans="5:8" x14ac:dyDescent="0.25">
      <c r="E1631" t="str">
        <f>""</f>
        <v/>
      </c>
      <c r="F1631" t="str">
        <f>""</f>
        <v/>
      </c>
      <c r="H1631" t="str">
        <f t="shared" si="37"/>
        <v>GUARDIAN</v>
      </c>
    </row>
    <row r="1632" spans="5:8" x14ac:dyDescent="0.25">
      <c r="E1632" t="str">
        <f>""</f>
        <v/>
      </c>
      <c r="F1632" t="str">
        <f>""</f>
        <v/>
      </c>
      <c r="H1632" t="str">
        <f t="shared" si="37"/>
        <v>GUARDIAN</v>
      </c>
    </row>
    <row r="1633" spans="5:8" x14ac:dyDescent="0.25">
      <c r="E1633" t="str">
        <f>""</f>
        <v/>
      </c>
      <c r="F1633" t="str">
        <f>""</f>
        <v/>
      </c>
      <c r="H1633" t="str">
        <f t="shared" si="37"/>
        <v>GUARDIAN</v>
      </c>
    </row>
    <row r="1634" spans="5:8" x14ac:dyDescent="0.25">
      <c r="E1634" t="str">
        <f>""</f>
        <v/>
      </c>
      <c r="F1634" t="str">
        <f>""</f>
        <v/>
      </c>
      <c r="H1634" t="str">
        <f t="shared" si="37"/>
        <v>GUARDIAN</v>
      </c>
    </row>
    <row r="1635" spans="5:8" x14ac:dyDescent="0.25">
      <c r="E1635" t="str">
        <f>""</f>
        <v/>
      </c>
      <c r="F1635" t="str">
        <f>""</f>
        <v/>
      </c>
      <c r="H1635" t="str">
        <f t="shared" si="37"/>
        <v>GUARDIAN</v>
      </c>
    </row>
    <row r="1636" spans="5:8" x14ac:dyDescent="0.25">
      <c r="E1636" t="str">
        <f>""</f>
        <v/>
      </c>
      <c r="F1636" t="str">
        <f>""</f>
        <v/>
      </c>
      <c r="H1636" t="str">
        <f t="shared" si="37"/>
        <v>GUARDIAN</v>
      </c>
    </row>
    <row r="1637" spans="5:8" x14ac:dyDescent="0.25">
      <c r="E1637" t="str">
        <f>""</f>
        <v/>
      </c>
      <c r="F1637" t="str">
        <f>""</f>
        <v/>
      </c>
      <c r="H1637" t="str">
        <f t="shared" si="37"/>
        <v>GUARDIAN</v>
      </c>
    </row>
    <row r="1638" spans="5:8" x14ac:dyDescent="0.25">
      <c r="E1638" t="str">
        <f>""</f>
        <v/>
      </c>
      <c r="F1638" t="str">
        <f>""</f>
        <v/>
      </c>
      <c r="H1638" t="str">
        <f t="shared" si="37"/>
        <v>GUARDIAN</v>
      </c>
    </row>
    <row r="1639" spans="5:8" x14ac:dyDescent="0.25">
      <c r="E1639" t="str">
        <f>""</f>
        <v/>
      </c>
      <c r="F1639" t="str">
        <f>""</f>
        <v/>
      </c>
      <c r="H1639" t="str">
        <f t="shared" si="37"/>
        <v>GUARDIAN</v>
      </c>
    </row>
    <row r="1640" spans="5:8" x14ac:dyDescent="0.25">
      <c r="E1640" t="str">
        <f>""</f>
        <v/>
      </c>
      <c r="F1640" t="str">
        <f>""</f>
        <v/>
      </c>
      <c r="H1640" t="str">
        <f t="shared" si="37"/>
        <v>GUARDIAN</v>
      </c>
    </row>
    <row r="1641" spans="5:8" x14ac:dyDescent="0.25">
      <c r="E1641" t="str">
        <f>""</f>
        <v/>
      </c>
      <c r="F1641" t="str">
        <f>""</f>
        <v/>
      </c>
      <c r="H1641" t="str">
        <f t="shared" si="37"/>
        <v>GUARDIAN</v>
      </c>
    </row>
    <row r="1642" spans="5:8" x14ac:dyDescent="0.25">
      <c r="E1642" t="str">
        <f>""</f>
        <v/>
      </c>
      <c r="F1642" t="str">
        <f>""</f>
        <v/>
      </c>
      <c r="H1642" t="str">
        <f t="shared" si="37"/>
        <v>GUARDIAN</v>
      </c>
    </row>
    <row r="1643" spans="5:8" x14ac:dyDescent="0.25">
      <c r="E1643" t="str">
        <f>""</f>
        <v/>
      </c>
      <c r="F1643" t="str">
        <f>""</f>
        <v/>
      </c>
      <c r="H1643" t="str">
        <f t="shared" si="37"/>
        <v>GUARDIAN</v>
      </c>
    </row>
    <row r="1644" spans="5:8" x14ac:dyDescent="0.25">
      <c r="E1644" t="str">
        <f>""</f>
        <v/>
      </c>
      <c r="F1644" t="str">
        <f>""</f>
        <v/>
      </c>
      <c r="H1644" t="str">
        <f t="shared" si="37"/>
        <v>GUARDIAN</v>
      </c>
    </row>
    <row r="1645" spans="5:8" x14ac:dyDescent="0.25">
      <c r="E1645" t="str">
        <f>"GDC202106093832"</f>
        <v>GDC202106093832</v>
      </c>
      <c r="F1645" t="str">
        <f>"GUARDIAN"</f>
        <v>GUARDIAN</v>
      </c>
      <c r="G1645" s="4">
        <v>101.88</v>
      </c>
      <c r="H1645" t="str">
        <f t="shared" si="37"/>
        <v>GUARDIAN</v>
      </c>
    </row>
    <row r="1646" spans="5:8" x14ac:dyDescent="0.25">
      <c r="E1646" t="str">
        <f>""</f>
        <v/>
      </c>
      <c r="F1646" t="str">
        <f>""</f>
        <v/>
      </c>
      <c r="H1646" t="str">
        <f t="shared" si="37"/>
        <v>GUARDIAN</v>
      </c>
    </row>
    <row r="1647" spans="5:8" x14ac:dyDescent="0.25">
      <c r="E1647" t="str">
        <f>"GDC202106224151"</f>
        <v>GDC202106224151</v>
      </c>
      <c r="F1647" t="str">
        <f>"GUARDIAN"</f>
        <v>GUARDIAN</v>
      </c>
      <c r="G1647" s="4">
        <v>2716.8</v>
      </c>
      <c r="H1647" t="str">
        <f t="shared" si="37"/>
        <v>GUARDIAN</v>
      </c>
    </row>
    <row r="1648" spans="5:8" x14ac:dyDescent="0.25">
      <c r="E1648" t="str">
        <f>""</f>
        <v/>
      </c>
      <c r="F1648" t="str">
        <f>""</f>
        <v/>
      </c>
      <c r="H1648" t="str">
        <f t="shared" si="37"/>
        <v>GUARDIAN</v>
      </c>
    </row>
    <row r="1649" spans="5:8" x14ac:dyDescent="0.25">
      <c r="E1649" t="str">
        <f>""</f>
        <v/>
      </c>
      <c r="F1649" t="str">
        <f>""</f>
        <v/>
      </c>
      <c r="H1649" t="str">
        <f t="shared" si="37"/>
        <v>GUARDIAN</v>
      </c>
    </row>
    <row r="1650" spans="5:8" x14ac:dyDescent="0.25">
      <c r="E1650" t="str">
        <f>""</f>
        <v/>
      </c>
      <c r="F1650" t="str">
        <f>""</f>
        <v/>
      </c>
      <c r="H1650" t="str">
        <f t="shared" si="37"/>
        <v>GUARDIAN</v>
      </c>
    </row>
    <row r="1651" spans="5:8" x14ac:dyDescent="0.25">
      <c r="E1651" t="str">
        <f>""</f>
        <v/>
      </c>
      <c r="F1651" t="str">
        <f>""</f>
        <v/>
      </c>
      <c r="H1651" t="str">
        <f t="shared" si="37"/>
        <v>GUARDIAN</v>
      </c>
    </row>
    <row r="1652" spans="5:8" x14ac:dyDescent="0.25">
      <c r="E1652" t="str">
        <f>""</f>
        <v/>
      </c>
      <c r="F1652" t="str">
        <f>""</f>
        <v/>
      </c>
      <c r="H1652" t="str">
        <f t="shared" si="37"/>
        <v>GUARDIAN</v>
      </c>
    </row>
    <row r="1653" spans="5:8" x14ac:dyDescent="0.25">
      <c r="E1653" t="str">
        <f>""</f>
        <v/>
      </c>
      <c r="F1653" t="str">
        <f>""</f>
        <v/>
      </c>
      <c r="H1653" t="str">
        <f t="shared" si="37"/>
        <v>GUARDIAN</v>
      </c>
    </row>
    <row r="1654" spans="5:8" x14ac:dyDescent="0.25">
      <c r="E1654" t="str">
        <f>""</f>
        <v/>
      </c>
      <c r="F1654" t="str">
        <f>""</f>
        <v/>
      </c>
      <c r="H1654" t="str">
        <f t="shared" si="37"/>
        <v>GUARDIAN</v>
      </c>
    </row>
    <row r="1655" spans="5:8" x14ac:dyDescent="0.25">
      <c r="E1655" t="str">
        <f>""</f>
        <v/>
      </c>
      <c r="F1655" t="str">
        <f>""</f>
        <v/>
      </c>
      <c r="H1655" t="str">
        <f t="shared" si="37"/>
        <v>GUARDIAN</v>
      </c>
    </row>
    <row r="1656" spans="5:8" x14ac:dyDescent="0.25">
      <c r="E1656" t="str">
        <f>""</f>
        <v/>
      </c>
      <c r="F1656" t="str">
        <f>""</f>
        <v/>
      </c>
      <c r="H1656" t="str">
        <f t="shared" si="37"/>
        <v>GUARDIAN</v>
      </c>
    </row>
    <row r="1657" spans="5:8" x14ac:dyDescent="0.25">
      <c r="E1657" t="str">
        <f>""</f>
        <v/>
      </c>
      <c r="F1657" t="str">
        <f>""</f>
        <v/>
      </c>
      <c r="H1657" t="str">
        <f t="shared" si="37"/>
        <v>GUARDIAN</v>
      </c>
    </row>
    <row r="1658" spans="5:8" x14ac:dyDescent="0.25">
      <c r="E1658" t="str">
        <f>""</f>
        <v/>
      </c>
      <c r="F1658" t="str">
        <f>""</f>
        <v/>
      </c>
      <c r="H1658" t="str">
        <f t="shared" si="37"/>
        <v>GUARDIAN</v>
      </c>
    </row>
    <row r="1659" spans="5:8" x14ac:dyDescent="0.25">
      <c r="E1659" t="str">
        <f>""</f>
        <v/>
      </c>
      <c r="F1659" t="str">
        <f>""</f>
        <v/>
      </c>
      <c r="H1659" t="str">
        <f t="shared" si="37"/>
        <v>GUARDIAN</v>
      </c>
    </row>
    <row r="1660" spans="5:8" x14ac:dyDescent="0.25">
      <c r="E1660" t="str">
        <f>""</f>
        <v/>
      </c>
      <c r="F1660" t="str">
        <f>""</f>
        <v/>
      </c>
      <c r="H1660" t="str">
        <f t="shared" si="37"/>
        <v>GUARDIAN</v>
      </c>
    </row>
    <row r="1661" spans="5:8" x14ac:dyDescent="0.25">
      <c r="E1661" t="str">
        <f>""</f>
        <v/>
      </c>
      <c r="F1661" t="str">
        <f>""</f>
        <v/>
      </c>
      <c r="H1661" t="str">
        <f t="shared" si="37"/>
        <v>GUARDIAN</v>
      </c>
    </row>
    <row r="1662" spans="5:8" x14ac:dyDescent="0.25">
      <c r="E1662" t="str">
        <f>""</f>
        <v/>
      </c>
      <c r="F1662" t="str">
        <f>""</f>
        <v/>
      </c>
      <c r="H1662" t="str">
        <f t="shared" si="37"/>
        <v>GUARDIAN</v>
      </c>
    </row>
    <row r="1663" spans="5:8" x14ac:dyDescent="0.25">
      <c r="E1663" t="str">
        <f>""</f>
        <v/>
      </c>
      <c r="F1663" t="str">
        <f>""</f>
        <v/>
      </c>
      <c r="H1663" t="str">
        <f t="shared" ref="H1663:H1726" si="38">"GUARDIAN"</f>
        <v>GUARDIAN</v>
      </c>
    </row>
    <row r="1664" spans="5:8" x14ac:dyDescent="0.25">
      <c r="E1664" t="str">
        <f>""</f>
        <v/>
      </c>
      <c r="F1664" t="str">
        <f>""</f>
        <v/>
      </c>
      <c r="H1664" t="str">
        <f t="shared" si="38"/>
        <v>GUARDIAN</v>
      </c>
    </row>
    <row r="1665" spans="5:8" x14ac:dyDescent="0.25">
      <c r="E1665" t="str">
        <f>""</f>
        <v/>
      </c>
      <c r="F1665" t="str">
        <f>""</f>
        <v/>
      </c>
      <c r="H1665" t="str">
        <f t="shared" si="38"/>
        <v>GUARDIAN</v>
      </c>
    </row>
    <row r="1666" spans="5:8" x14ac:dyDescent="0.25">
      <c r="E1666" t="str">
        <f>""</f>
        <v/>
      </c>
      <c r="F1666" t="str">
        <f>""</f>
        <v/>
      </c>
      <c r="H1666" t="str">
        <f t="shared" si="38"/>
        <v>GUARDIAN</v>
      </c>
    </row>
    <row r="1667" spans="5:8" x14ac:dyDescent="0.25">
      <c r="E1667" t="str">
        <f>""</f>
        <v/>
      </c>
      <c r="F1667" t="str">
        <f>""</f>
        <v/>
      </c>
      <c r="H1667" t="str">
        <f t="shared" si="38"/>
        <v>GUARDIAN</v>
      </c>
    </row>
    <row r="1668" spans="5:8" x14ac:dyDescent="0.25">
      <c r="E1668" t="str">
        <f>""</f>
        <v/>
      </c>
      <c r="F1668" t="str">
        <f>""</f>
        <v/>
      </c>
      <c r="H1668" t="str">
        <f t="shared" si="38"/>
        <v>GUARDIAN</v>
      </c>
    </row>
    <row r="1669" spans="5:8" x14ac:dyDescent="0.25">
      <c r="E1669" t="str">
        <f>""</f>
        <v/>
      </c>
      <c r="F1669" t="str">
        <f>""</f>
        <v/>
      </c>
      <c r="H1669" t="str">
        <f t="shared" si="38"/>
        <v>GUARDIAN</v>
      </c>
    </row>
    <row r="1670" spans="5:8" x14ac:dyDescent="0.25">
      <c r="E1670" t="str">
        <f>""</f>
        <v/>
      </c>
      <c r="F1670" t="str">
        <f>""</f>
        <v/>
      </c>
      <c r="H1670" t="str">
        <f t="shared" si="38"/>
        <v>GUARDIAN</v>
      </c>
    </row>
    <row r="1671" spans="5:8" x14ac:dyDescent="0.25">
      <c r="E1671" t="str">
        <f>""</f>
        <v/>
      </c>
      <c r="F1671" t="str">
        <f>""</f>
        <v/>
      </c>
      <c r="H1671" t="str">
        <f t="shared" si="38"/>
        <v>GUARDIAN</v>
      </c>
    </row>
    <row r="1672" spans="5:8" x14ac:dyDescent="0.25">
      <c r="E1672" t="str">
        <f>""</f>
        <v/>
      </c>
      <c r="F1672" t="str">
        <f>""</f>
        <v/>
      </c>
      <c r="H1672" t="str">
        <f t="shared" si="38"/>
        <v>GUARDIAN</v>
      </c>
    </row>
    <row r="1673" spans="5:8" x14ac:dyDescent="0.25">
      <c r="E1673" t="str">
        <f>""</f>
        <v/>
      </c>
      <c r="F1673" t="str">
        <f>""</f>
        <v/>
      </c>
      <c r="H1673" t="str">
        <f t="shared" si="38"/>
        <v>GUARDIAN</v>
      </c>
    </row>
    <row r="1674" spans="5:8" x14ac:dyDescent="0.25">
      <c r="E1674" t="str">
        <f>""</f>
        <v/>
      </c>
      <c r="F1674" t="str">
        <f>""</f>
        <v/>
      </c>
      <c r="H1674" t="str">
        <f t="shared" si="38"/>
        <v>GUARDIAN</v>
      </c>
    </row>
    <row r="1675" spans="5:8" x14ac:dyDescent="0.25">
      <c r="E1675" t="str">
        <f>""</f>
        <v/>
      </c>
      <c r="F1675" t="str">
        <f>""</f>
        <v/>
      </c>
      <c r="H1675" t="str">
        <f t="shared" si="38"/>
        <v>GUARDIAN</v>
      </c>
    </row>
    <row r="1676" spans="5:8" x14ac:dyDescent="0.25">
      <c r="E1676" t="str">
        <f>""</f>
        <v/>
      </c>
      <c r="F1676" t="str">
        <f>""</f>
        <v/>
      </c>
      <c r="H1676" t="str">
        <f t="shared" si="38"/>
        <v>GUARDIAN</v>
      </c>
    </row>
    <row r="1677" spans="5:8" x14ac:dyDescent="0.25">
      <c r="E1677" t="str">
        <f>""</f>
        <v/>
      </c>
      <c r="F1677" t="str">
        <f>""</f>
        <v/>
      </c>
      <c r="H1677" t="str">
        <f t="shared" si="38"/>
        <v>GUARDIAN</v>
      </c>
    </row>
    <row r="1678" spans="5:8" x14ac:dyDescent="0.25">
      <c r="E1678" t="str">
        <f>""</f>
        <v/>
      </c>
      <c r="F1678" t="str">
        <f>""</f>
        <v/>
      </c>
      <c r="H1678" t="str">
        <f t="shared" si="38"/>
        <v>GUARDIAN</v>
      </c>
    </row>
    <row r="1679" spans="5:8" x14ac:dyDescent="0.25">
      <c r="E1679" t="str">
        <f>""</f>
        <v/>
      </c>
      <c r="F1679" t="str">
        <f>""</f>
        <v/>
      </c>
      <c r="H1679" t="str">
        <f t="shared" si="38"/>
        <v>GUARDIAN</v>
      </c>
    </row>
    <row r="1680" spans="5:8" x14ac:dyDescent="0.25">
      <c r="E1680" t="str">
        <f>""</f>
        <v/>
      </c>
      <c r="F1680" t="str">
        <f>""</f>
        <v/>
      </c>
      <c r="H1680" t="str">
        <f t="shared" si="38"/>
        <v>GUARDIAN</v>
      </c>
    </row>
    <row r="1681" spans="5:8" x14ac:dyDescent="0.25">
      <c r="E1681" t="str">
        <f>"GDC202106224152"</f>
        <v>GDC202106224152</v>
      </c>
      <c r="F1681" t="str">
        <f>"GUARDIAN"</f>
        <v>GUARDIAN</v>
      </c>
      <c r="G1681" s="4">
        <v>101.88</v>
      </c>
      <c r="H1681" t="str">
        <f t="shared" si="38"/>
        <v>GUARDIAN</v>
      </c>
    </row>
    <row r="1682" spans="5:8" x14ac:dyDescent="0.25">
      <c r="E1682" t="str">
        <f>""</f>
        <v/>
      </c>
      <c r="F1682" t="str">
        <f>""</f>
        <v/>
      </c>
      <c r="H1682" t="str">
        <f t="shared" si="38"/>
        <v>GUARDIAN</v>
      </c>
    </row>
    <row r="1683" spans="5:8" x14ac:dyDescent="0.25">
      <c r="E1683" t="str">
        <f>"GDE202106093830"</f>
        <v>GDE202106093830</v>
      </c>
      <c r="F1683" t="str">
        <f>"GUARDIAN"</f>
        <v>GUARDIAN</v>
      </c>
      <c r="G1683" s="4">
        <v>4570.83</v>
      </c>
      <c r="H1683" t="str">
        <f t="shared" si="38"/>
        <v>GUARDIAN</v>
      </c>
    </row>
    <row r="1684" spans="5:8" x14ac:dyDescent="0.25">
      <c r="E1684" t="str">
        <f>""</f>
        <v/>
      </c>
      <c r="F1684" t="str">
        <f>""</f>
        <v/>
      </c>
      <c r="H1684" t="str">
        <f t="shared" si="38"/>
        <v>GUARDIAN</v>
      </c>
    </row>
    <row r="1685" spans="5:8" x14ac:dyDescent="0.25">
      <c r="E1685" t="str">
        <f>""</f>
        <v/>
      </c>
      <c r="F1685" t="str">
        <f>""</f>
        <v/>
      </c>
      <c r="H1685" t="str">
        <f t="shared" si="38"/>
        <v>GUARDIAN</v>
      </c>
    </row>
    <row r="1686" spans="5:8" x14ac:dyDescent="0.25">
      <c r="E1686" t="str">
        <f>""</f>
        <v/>
      </c>
      <c r="F1686" t="str">
        <f>""</f>
        <v/>
      </c>
      <c r="H1686" t="str">
        <f t="shared" si="38"/>
        <v>GUARDIAN</v>
      </c>
    </row>
    <row r="1687" spans="5:8" x14ac:dyDescent="0.25">
      <c r="E1687" t="str">
        <f>""</f>
        <v/>
      </c>
      <c r="F1687" t="str">
        <f>""</f>
        <v/>
      </c>
      <c r="H1687" t="str">
        <f t="shared" si="38"/>
        <v>GUARDIAN</v>
      </c>
    </row>
    <row r="1688" spans="5:8" x14ac:dyDescent="0.25">
      <c r="E1688" t="str">
        <f>""</f>
        <v/>
      </c>
      <c r="F1688" t="str">
        <f>""</f>
        <v/>
      </c>
      <c r="H1688" t="str">
        <f t="shared" si="38"/>
        <v>GUARDIAN</v>
      </c>
    </row>
    <row r="1689" spans="5:8" x14ac:dyDescent="0.25">
      <c r="E1689" t="str">
        <f>""</f>
        <v/>
      </c>
      <c r="F1689" t="str">
        <f>""</f>
        <v/>
      </c>
      <c r="H1689" t="str">
        <f t="shared" si="38"/>
        <v>GUARDIAN</v>
      </c>
    </row>
    <row r="1690" spans="5:8" x14ac:dyDescent="0.25">
      <c r="E1690" t="str">
        <f>""</f>
        <v/>
      </c>
      <c r="F1690" t="str">
        <f>""</f>
        <v/>
      </c>
      <c r="H1690" t="str">
        <f t="shared" si="38"/>
        <v>GUARDIAN</v>
      </c>
    </row>
    <row r="1691" spans="5:8" x14ac:dyDescent="0.25">
      <c r="E1691" t="str">
        <f>""</f>
        <v/>
      </c>
      <c r="F1691" t="str">
        <f>""</f>
        <v/>
      </c>
      <c r="H1691" t="str">
        <f t="shared" si="38"/>
        <v>GUARDIAN</v>
      </c>
    </row>
    <row r="1692" spans="5:8" x14ac:dyDescent="0.25">
      <c r="E1692" t="str">
        <f>""</f>
        <v/>
      </c>
      <c r="F1692" t="str">
        <f>""</f>
        <v/>
      </c>
      <c r="H1692" t="str">
        <f t="shared" si="38"/>
        <v>GUARDIAN</v>
      </c>
    </row>
    <row r="1693" spans="5:8" x14ac:dyDescent="0.25">
      <c r="E1693" t="str">
        <f>""</f>
        <v/>
      </c>
      <c r="F1693" t="str">
        <f>""</f>
        <v/>
      </c>
      <c r="H1693" t="str">
        <f t="shared" si="38"/>
        <v>GUARDIAN</v>
      </c>
    </row>
    <row r="1694" spans="5:8" x14ac:dyDescent="0.25">
      <c r="E1694" t="str">
        <f>""</f>
        <v/>
      </c>
      <c r="F1694" t="str">
        <f>""</f>
        <v/>
      </c>
      <c r="H1694" t="str">
        <f t="shared" si="38"/>
        <v>GUARDIAN</v>
      </c>
    </row>
    <row r="1695" spans="5:8" x14ac:dyDescent="0.25">
      <c r="E1695" t="str">
        <f>""</f>
        <v/>
      </c>
      <c r="F1695" t="str">
        <f>""</f>
        <v/>
      </c>
      <c r="H1695" t="str">
        <f t="shared" si="38"/>
        <v>GUARDIAN</v>
      </c>
    </row>
    <row r="1696" spans="5:8" x14ac:dyDescent="0.25">
      <c r="E1696" t="str">
        <f>""</f>
        <v/>
      </c>
      <c r="F1696" t="str">
        <f>""</f>
        <v/>
      </c>
      <c r="H1696" t="str">
        <f t="shared" si="38"/>
        <v>GUARDIAN</v>
      </c>
    </row>
    <row r="1697" spans="5:8" x14ac:dyDescent="0.25">
      <c r="E1697" t="str">
        <f>""</f>
        <v/>
      </c>
      <c r="F1697" t="str">
        <f>""</f>
        <v/>
      </c>
      <c r="H1697" t="str">
        <f t="shared" si="38"/>
        <v>GUARDIAN</v>
      </c>
    </row>
    <row r="1698" spans="5:8" x14ac:dyDescent="0.25">
      <c r="E1698" t="str">
        <f>""</f>
        <v/>
      </c>
      <c r="F1698" t="str">
        <f>""</f>
        <v/>
      </c>
      <c r="H1698" t="str">
        <f t="shared" si="38"/>
        <v>GUARDIAN</v>
      </c>
    </row>
    <row r="1699" spans="5:8" x14ac:dyDescent="0.25">
      <c r="E1699" t="str">
        <f>""</f>
        <v/>
      </c>
      <c r="F1699" t="str">
        <f>""</f>
        <v/>
      </c>
      <c r="H1699" t="str">
        <f t="shared" si="38"/>
        <v>GUARDIAN</v>
      </c>
    </row>
    <row r="1700" spans="5:8" x14ac:dyDescent="0.25">
      <c r="E1700" t="str">
        <f>""</f>
        <v/>
      </c>
      <c r="F1700" t="str">
        <f>""</f>
        <v/>
      </c>
      <c r="H1700" t="str">
        <f t="shared" si="38"/>
        <v>GUARDIAN</v>
      </c>
    </row>
    <row r="1701" spans="5:8" x14ac:dyDescent="0.25">
      <c r="E1701" t="str">
        <f>""</f>
        <v/>
      </c>
      <c r="F1701" t="str">
        <f>""</f>
        <v/>
      </c>
      <c r="H1701" t="str">
        <f t="shared" si="38"/>
        <v>GUARDIAN</v>
      </c>
    </row>
    <row r="1702" spans="5:8" x14ac:dyDescent="0.25">
      <c r="E1702" t="str">
        <f>""</f>
        <v/>
      </c>
      <c r="F1702" t="str">
        <f>""</f>
        <v/>
      </c>
      <c r="H1702" t="str">
        <f t="shared" si="38"/>
        <v>GUARDIAN</v>
      </c>
    </row>
    <row r="1703" spans="5:8" x14ac:dyDescent="0.25">
      <c r="E1703" t="str">
        <f>""</f>
        <v/>
      </c>
      <c r="F1703" t="str">
        <f>""</f>
        <v/>
      </c>
      <c r="H1703" t="str">
        <f t="shared" si="38"/>
        <v>GUARDIAN</v>
      </c>
    </row>
    <row r="1704" spans="5:8" x14ac:dyDescent="0.25">
      <c r="E1704" t="str">
        <f>""</f>
        <v/>
      </c>
      <c r="F1704" t="str">
        <f>""</f>
        <v/>
      </c>
      <c r="H1704" t="str">
        <f t="shared" si="38"/>
        <v>GUARDIAN</v>
      </c>
    </row>
    <row r="1705" spans="5:8" x14ac:dyDescent="0.25">
      <c r="E1705" t="str">
        <f>""</f>
        <v/>
      </c>
      <c r="F1705" t="str">
        <f>""</f>
        <v/>
      </c>
      <c r="H1705" t="str">
        <f t="shared" si="38"/>
        <v>GUARDIAN</v>
      </c>
    </row>
    <row r="1706" spans="5:8" x14ac:dyDescent="0.25">
      <c r="E1706" t="str">
        <f>""</f>
        <v/>
      </c>
      <c r="F1706" t="str">
        <f>""</f>
        <v/>
      </c>
      <c r="H1706" t="str">
        <f t="shared" si="38"/>
        <v>GUARDIAN</v>
      </c>
    </row>
    <row r="1707" spans="5:8" x14ac:dyDescent="0.25">
      <c r="E1707" t="str">
        <f>""</f>
        <v/>
      </c>
      <c r="F1707" t="str">
        <f>""</f>
        <v/>
      </c>
      <c r="H1707" t="str">
        <f t="shared" si="38"/>
        <v>GUARDIAN</v>
      </c>
    </row>
    <row r="1708" spans="5:8" x14ac:dyDescent="0.25">
      <c r="E1708" t="str">
        <f>""</f>
        <v/>
      </c>
      <c r="F1708" t="str">
        <f>""</f>
        <v/>
      </c>
      <c r="H1708" t="str">
        <f t="shared" si="38"/>
        <v>GUARDIAN</v>
      </c>
    </row>
    <row r="1709" spans="5:8" x14ac:dyDescent="0.25">
      <c r="E1709" t="str">
        <f>""</f>
        <v/>
      </c>
      <c r="F1709" t="str">
        <f>""</f>
        <v/>
      </c>
      <c r="H1709" t="str">
        <f t="shared" si="38"/>
        <v>GUARDIAN</v>
      </c>
    </row>
    <row r="1710" spans="5:8" x14ac:dyDescent="0.25">
      <c r="E1710" t="str">
        <f>""</f>
        <v/>
      </c>
      <c r="F1710" t="str">
        <f>""</f>
        <v/>
      </c>
      <c r="H1710" t="str">
        <f t="shared" si="38"/>
        <v>GUARDIAN</v>
      </c>
    </row>
    <row r="1711" spans="5:8" x14ac:dyDescent="0.25">
      <c r="E1711" t="str">
        <f>""</f>
        <v/>
      </c>
      <c r="F1711" t="str">
        <f>""</f>
        <v/>
      </c>
      <c r="H1711" t="str">
        <f t="shared" si="38"/>
        <v>GUARDIAN</v>
      </c>
    </row>
    <row r="1712" spans="5:8" x14ac:dyDescent="0.25">
      <c r="E1712" t="str">
        <f>""</f>
        <v/>
      </c>
      <c r="F1712" t="str">
        <f>""</f>
        <v/>
      </c>
      <c r="H1712" t="str">
        <f t="shared" si="38"/>
        <v>GUARDIAN</v>
      </c>
    </row>
    <row r="1713" spans="5:8" x14ac:dyDescent="0.25">
      <c r="E1713" t="str">
        <f>""</f>
        <v/>
      </c>
      <c r="F1713" t="str">
        <f>""</f>
        <v/>
      </c>
      <c r="H1713" t="str">
        <f t="shared" si="38"/>
        <v>GUARDIAN</v>
      </c>
    </row>
    <row r="1714" spans="5:8" x14ac:dyDescent="0.25">
      <c r="E1714" t="str">
        <f>""</f>
        <v/>
      </c>
      <c r="F1714" t="str">
        <f>""</f>
        <v/>
      </c>
      <c r="H1714" t="str">
        <f t="shared" si="38"/>
        <v>GUARDIAN</v>
      </c>
    </row>
    <row r="1715" spans="5:8" x14ac:dyDescent="0.25">
      <c r="E1715" t="str">
        <f>""</f>
        <v/>
      </c>
      <c r="F1715" t="str">
        <f>""</f>
        <v/>
      </c>
      <c r="H1715" t="str">
        <f t="shared" si="38"/>
        <v>GUARDIAN</v>
      </c>
    </row>
    <row r="1716" spans="5:8" x14ac:dyDescent="0.25">
      <c r="E1716" t="str">
        <f>""</f>
        <v/>
      </c>
      <c r="F1716" t="str">
        <f>""</f>
        <v/>
      </c>
      <c r="H1716" t="str">
        <f t="shared" si="38"/>
        <v>GUARDIAN</v>
      </c>
    </row>
    <row r="1717" spans="5:8" x14ac:dyDescent="0.25">
      <c r="E1717" t="str">
        <f>""</f>
        <v/>
      </c>
      <c r="F1717" t="str">
        <f>""</f>
        <v/>
      </c>
      <c r="H1717" t="str">
        <f t="shared" si="38"/>
        <v>GUARDIAN</v>
      </c>
    </row>
    <row r="1718" spans="5:8" x14ac:dyDescent="0.25">
      <c r="E1718" t="str">
        <f>""</f>
        <v/>
      </c>
      <c r="F1718" t="str">
        <f>""</f>
        <v/>
      </c>
      <c r="H1718" t="str">
        <f t="shared" si="38"/>
        <v>GUARDIAN</v>
      </c>
    </row>
    <row r="1719" spans="5:8" x14ac:dyDescent="0.25">
      <c r="E1719" t="str">
        <f>""</f>
        <v/>
      </c>
      <c r="F1719" t="str">
        <f>""</f>
        <v/>
      </c>
      <c r="H1719" t="str">
        <f t="shared" si="38"/>
        <v>GUARDIAN</v>
      </c>
    </row>
    <row r="1720" spans="5:8" x14ac:dyDescent="0.25">
      <c r="E1720" t="str">
        <f>""</f>
        <v/>
      </c>
      <c r="F1720" t="str">
        <f>""</f>
        <v/>
      </c>
      <c r="H1720" t="str">
        <f t="shared" si="38"/>
        <v>GUARDIAN</v>
      </c>
    </row>
    <row r="1721" spans="5:8" x14ac:dyDescent="0.25">
      <c r="E1721" t="str">
        <f>""</f>
        <v/>
      </c>
      <c r="F1721" t="str">
        <f>""</f>
        <v/>
      </c>
      <c r="H1721" t="str">
        <f t="shared" si="38"/>
        <v>GUARDIAN</v>
      </c>
    </row>
    <row r="1722" spans="5:8" x14ac:dyDescent="0.25">
      <c r="E1722" t="str">
        <f>""</f>
        <v/>
      </c>
      <c r="F1722" t="str">
        <f>""</f>
        <v/>
      </c>
      <c r="H1722" t="str">
        <f t="shared" si="38"/>
        <v>GUARDIAN</v>
      </c>
    </row>
    <row r="1723" spans="5:8" x14ac:dyDescent="0.25">
      <c r="E1723" t="str">
        <f>""</f>
        <v/>
      </c>
      <c r="F1723" t="str">
        <f>""</f>
        <v/>
      </c>
      <c r="H1723" t="str">
        <f t="shared" si="38"/>
        <v>GUARDIAN</v>
      </c>
    </row>
    <row r="1724" spans="5:8" x14ac:dyDescent="0.25">
      <c r="E1724" t="str">
        <f>""</f>
        <v/>
      </c>
      <c r="F1724" t="str">
        <f>""</f>
        <v/>
      </c>
      <c r="H1724" t="str">
        <f t="shared" si="38"/>
        <v>GUARDIAN</v>
      </c>
    </row>
    <row r="1725" spans="5:8" x14ac:dyDescent="0.25">
      <c r="E1725" t="str">
        <f>""</f>
        <v/>
      </c>
      <c r="F1725" t="str">
        <f>""</f>
        <v/>
      </c>
      <c r="H1725" t="str">
        <f t="shared" si="38"/>
        <v>GUARDIAN</v>
      </c>
    </row>
    <row r="1726" spans="5:8" x14ac:dyDescent="0.25">
      <c r="E1726" t="str">
        <f>"GDE202106093832"</f>
        <v>GDE202106093832</v>
      </c>
      <c r="F1726" t="str">
        <f>"GUARDIAN"</f>
        <v>GUARDIAN</v>
      </c>
      <c r="G1726" s="4">
        <v>153.9</v>
      </c>
      <c r="H1726" t="str">
        <f t="shared" si="38"/>
        <v>GUARDIAN</v>
      </c>
    </row>
    <row r="1727" spans="5:8" x14ac:dyDescent="0.25">
      <c r="E1727" t="str">
        <f>"GDE202106224151"</f>
        <v>GDE202106224151</v>
      </c>
      <c r="F1727" t="str">
        <f>"GUARDIAN"</f>
        <v>GUARDIAN</v>
      </c>
      <c r="G1727" s="4">
        <v>4509.2700000000004</v>
      </c>
      <c r="H1727" t="str">
        <f t="shared" ref="H1727:H1790" si="39">"GUARDIAN"</f>
        <v>GUARDIAN</v>
      </c>
    </row>
    <row r="1728" spans="5:8" x14ac:dyDescent="0.25">
      <c r="E1728" t="str">
        <f>""</f>
        <v/>
      </c>
      <c r="F1728" t="str">
        <f>""</f>
        <v/>
      </c>
      <c r="H1728" t="str">
        <f t="shared" si="39"/>
        <v>GUARDIAN</v>
      </c>
    </row>
    <row r="1729" spans="5:8" x14ac:dyDescent="0.25">
      <c r="E1729" t="str">
        <f>""</f>
        <v/>
      </c>
      <c r="F1729" t="str">
        <f>""</f>
        <v/>
      </c>
      <c r="H1729" t="str">
        <f t="shared" si="39"/>
        <v>GUARDIAN</v>
      </c>
    </row>
    <row r="1730" spans="5:8" x14ac:dyDescent="0.25">
      <c r="E1730" t="str">
        <f>""</f>
        <v/>
      </c>
      <c r="F1730" t="str">
        <f>""</f>
        <v/>
      </c>
      <c r="H1730" t="str">
        <f t="shared" si="39"/>
        <v>GUARDIAN</v>
      </c>
    </row>
    <row r="1731" spans="5:8" x14ac:dyDescent="0.25">
      <c r="E1731" t="str">
        <f>""</f>
        <v/>
      </c>
      <c r="F1731" t="str">
        <f>""</f>
        <v/>
      </c>
      <c r="H1731" t="str">
        <f t="shared" si="39"/>
        <v>GUARDIAN</v>
      </c>
    </row>
    <row r="1732" spans="5:8" x14ac:dyDescent="0.25">
      <c r="E1732" t="str">
        <f>""</f>
        <v/>
      </c>
      <c r="F1732" t="str">
        <f>""</f>
        <v/>
      </c>
      <c r="H1732" t="str">
        <f t="shared" si="39"/>
        <v>GUARDIAN</v>
      </c>
    </row>
    <row r="1733" spans="5:8" x14ac:dyDescent="0.25">
      <c r="E1733" t="str">
        <f>""</f>
        <v/>
      </c>
      <c r="F1733" t="str">
        <f>""</f>
        <v/>
      </c>
      <c r="H1733" t="str">
        <f t="shared" si="39"/>
        <v>GUARDIAN</v>
      </c>
    </row>
    <row r="1734" spans="5:8" x14ac:dyDescent="0.25">
      <c r="E1734" t="str">
        <f>""</f>
        <v/>
      </c>
      <c r="F1734" t="str">
        <f>""</f>
        <v/>
      </c>
      <c r="H1734" t="str">
        <f t="shared" si="39"/>
        <v>GUARDIAN</v>
      </c>
    </row>
    <row r="1735" spans="5:8" x14ac:dyDescent="0.25">
      <c r="E1735" t="str">
        <f>""</f>
        <v/>
      </c>
      <c r="F1735" t="str">
        <f>""</f>
        <v/>
      </c>
      <c r="H1735" t="str">
        <f t="shared" si="39"/>
        <v>GUARDIAN</v>
      </c>
    </row>
    <row r="1736" spans="5:8" x14ac:dyDescent="0.25">
      <c r="E1736" t="str">
        <f>""</f>
        <v/>
      </c>
      <c r="F1736" t="str">
        <f>""</f>
        <v/>
      </c>
      <c r="H1736" t="str">
        <f t="shared" si="39"/>
        <v>GUARDIAN</v>
      </c>
    </row>
    <row r="1737" spans="5:8" x14ac:dyDescent="0.25">
      <c r="E1737" t="str">
        <f>""</f>
        <v/>
      </c>
      <c r="F1737" t="str">
        <f>""</f>
        <v/>
      </c>
      <c r="H1737" t="str">
        <f t="shared" si="39"/>
        <v>GUARDIAN</v>
      </c>
    </row>
    <row r="1738" spans="5:8" x14ac:dyDescent="0.25">
      <c r="E1738" t="str">
        <f>""</f>
        <v/>
      </c>
      <c r="F1738" t="str">
        <f>""</f>
        <v/>
      </c>
      <c r="H1738" t="str">
        <f t="shared" si="39"/>
        <v>GUARDIAN</v>
      </c>
    </row>
    <row r="1739" spans="5:8" x14ac:dyDescent="0.25">
      <c r="E1739" t="str">
        <f>""</f>
        <v/>
      </c>
      <c r="F1739" t="str">
        <f>""</f>
        <v/>
      </c>
      <c r="H1739" t="str">
        <f t="shared" si="39"/>
        <v>GUARDIAN</v>
      </c>
    </row>
    <row r="1740" spans="5:8" x14ac:dyDescent="0.25">
      <c r="E1740" t="str">
        <f>""</f>
        <v/>
      </c>
      <c r="F1740" t="str">
        <f>""</f>
        <v/>
      </c>
      <c r="H1740" t="str">
        <f t="shared" si="39"/>
        <v>GUARDIAN</v>
      </c>
    </row>
    <row r="1741" spans="5:8" x14ac:dyDescent="0.25">
      <c r="E1741" t="str">
        <f>""</f>
        <v/>
      </c>
      <c r="F1741" t="str">
        <f>""</f>
        <v/>
      </c>
      <c r="H1741" t="str">
        <f t="shared" si="39"/>
        <v>GUARDIAN</v>
      </c>
    </row>
    <row r="1742" spans="5:8" x14ac:dyDescent="0.25">
      <c r="E1742" t="str">
        <f>""</f>
        <v/>
      </c>
      <c r="F1742" t="str">
        <f>""</f>
        <v/>
      </c>
      <c r="H1742" t="str">
        <f t="shared" si="39"/>
        <v>GUARDIAN</v>
      </c>
    </row>
    <row r="1743" spans="5:8" x14ac:dyDescent="0.25">
      <c r="E1743" t="str">
        <f>""</f>
        <v/>
      </c>
      <c r="F1743" t="str">
        <f>""</f>
        <v/>
      </c>
      <c r="H1743" t="str">
        <f t="shared" si="39"/>
        <v>GUARDIAN</v>
      </c>
    </row>
    <row r="1744" spans="5:8" x14ac:dyDescent="0.25">
      <c r="E1744" t="str">
        <f>""</f>
        <v/>
      </c>
      <c r="F1744" t="str">
        <f>""</f>
        <v/>
      </c>
      <c r="H1744" t="str">
        <f t="shared" si="39"/>
        <v>GUARDIAN</v>
      </c>
    </row>
    <row r="1745" spans="5:8" x14ac:dyDescent="0.25">
      <c r="E1745" t="str">
        <f>""</f>
        <v/>
      </c>
      <c r="F1745" t="str">
        <f>""</f>
        <v/>
      </c>
      <c r="H1745" t="str">
        <f t="shared" si="39"/>
        <v>GUARDIAN</v>
      </c>
    </row>
    <row r="1746" spans="5:8" x14ac:dyDescent="0.25">
      <c r="E1746" t="str">
        <f>""</f>
        <v/>
      </c>
      <c r="F1746" t="str">
        <f>""</f>
        <v/>
      </c>
      <c r="H1746" t="str">
        <f t="shared" si="39"/>
        <v>GUARDIAN</v>
      </c>
    </row>
    <row r="1747" spans="5:8" x14ac:dyDescent="0.25">
      <c r="E1747" t="str">
        <f>""</f>
        <v/>
      </c>
      <c r="F1747" t="str">
        <f>""</f>
        <v/>
      </c>
      <c r="H1747" t="str">
        <f t="shared" si="39"/>
        <v>GUARDIAN</v>
      </c>
    </row>
    <row r="1748" spans="5:8" x14ac:dyDescent="0.25">
      <c r="E1748" t="str">
        <f>""</f>
        <v/>
      </c>
      <c r="F1748" t="str">
        <f>""</f>
        <v/>
      </c>
      <c r="H1748" t="str">
        <f t="shared" si="39"/>
        <v>GUARDIAN</v>
      </c>
    </row>
    <row r="1749" spans="5:8" x14ac:dyDescent="0.25">
      <c r="E1749" t="str">
        <f>""</f>
        <v/>
      </c>
      <c r="F1749" t="str">
        <f>""</f>
        <v/>
      </c>
      <c r="H1749" t="str">
        <f t="shared" si="39"/>
        <v>GUARDIAN</v>
      </c>
    </row>
    <row r="1750" spans="5:8" x14ac:dyDescent="0.25">
      <c r="E1750" t="str">
        <f>""</f>
        <v/>
      </c>
      <c r="F1750" t="str">
        <f>""</f>
        <v/>
      </c>
      <c r="H1750" t="str">
        <f t="shared" si="39"/>
        <v>GUARDIAN</v>
      </c>
    </row>
    <row r="1751" spans="5:8" x14ac:dyDescent="0.25">
      <c r="E1751" t="str">
        <f>""</f>
        <v/>
      </c>
      <c r="F1751" t="str">
        <f>""</f>
        <v/>
      </c>
      <c r="H1751" t="str">
        <f t="shared" si="39"/>
        <v>GUARDIAN</v>
      </c>
    </row>
    <row r="1752" spans="5:8" x14ac:dyDescent="0.25">
      <c r="E1752" t="str">
        <f>""</f>
        <v/>
      </c>
      <c r="F1752" t="str">
        <f>""</f>
        <v/>
      </c>
      <c r="H1752" t="str">
        <f t="shared" si="39"/>
        <v>GUARDIAN</v>
      </c>
    </row>
    <row r="1753" spans="5:8" x14ac:dyDescent="0.25">
      <c r="E1753" t="str">
        <f>""</f>
        <v/>
      </c>
      <c r="F1753" t="str">
        <f>""</f>
        <v/>
      </c>
      <c r="H1753" t="str">
        <f t="shared" si="39"/>
        <v>GUARDIAN</v>
      </c>
    </row>
    <row r="1754" spans="5:8" x14ac:dyDescent="0.25">
      <c r="E1754" t="str">
        <f>""</f>
        <v/>
      </c>
      <c r="F1754" t="str">
        <f>""</f>
        <v/>
      </c>
      <c r="H1754" t="str">
        <f t="shared" si="39"/>
        <v>GUARDIAN</v>
      </c>
    </row>
    <row r="1755" spans="5:8" x14ac:dyDescent="0.25">
      <c r="E1755" t="str">
        <f>""</f>
        <v/>
      </c>
      <c r="F1755" t="str">
        <f>""</f>
        <v/>
      </c>
      <c r="H1755" t="str">
        <f t="shared" si="39"/>
        <v>GUARDIAN</v>
      </c>
    </row>
    <row r="1756" spans="5:8" x14ac:dyDescent="0.25">
      <c r="E1756" t="str">
        <f>""</f>
        <v/>
      </c>
      <c r="F1756" t="str">
        <f>""</f>
        <v/>
      </c>
      <c r="H1756" t="str">
        <f t="shared" si="39"/>
        <v>GUARDIAN</v>
      </c>
    </row>
    <row r="1757" spans="5:8" x14ac:dyDescent="0.25">
      <c r="E1757" t="str">
        <f>""</f>
        <v/>
      </c>
      <c r="F1757" t="str">
        <f>""</f>
        <v/>
      </c>
      <c r="H1757" t="str">
        <f t="shared" si="39"/>
        <v>GUARDIAN</v>
      </c>
    </row>
    <row r="1758" spans="5:8" x14ac:dyDescent="0.25">
      <c r="E1758" t="str">
        <f>""</f>
        <v/>
      </c>
      <c r="F1758" t="str">
        <f>""</f>
        <v/>
      </c>
      <c r="H1758" t="str">
        <f t="shared" si="39"/>
        <v>GUARDIAN</v>
      </c>
    </row>
    <row r="1759" spans="5:8" x14ac:dyDescent="0.25">
      <c r="E1759" t="str">
        <f>""</f>
        <v/>
      </c>
      <c r="F1759" t="str">
        <f>""</f>
        <v/>
      </c>
      <c r="H1759" t="str">
        <f t="shared" si="39"/>
        <v>GUARDIAN</v>
      </c>
    </row>
    <row r="1760" spans="5:8" x14ac:dyDescent="0.25">
      <c r="E1760" t="str">
        <f>""</f>
        <v/>
      </c>
      <c r="F1760" t="str">
        <f>""</f>
        <v/>
      </c>
      <c r="H1760" t="str">
        <f t="shared" si="39"/>
        <v>GUARDIAN</v>
      </c>
    </row>
    <row r="1761" spans="5:8" x14ac:dyDescent="0.25">
      <c r="E1761" t="str">
        <f>""</f>
        <v/>
      </c>
      <c r="F1761" t="str">
        <f>""</f>
        <v/>
      </c>
      <c r="H1761" t="str">
        <f t="shared" si="39"/>
        <v>GUARDIAN</v>
      </c>
    </row>
    <row r="1762" spans="5:8" x14ac:dyDescent="0.25">
      <c r="E1762" t="str">
        <f>""</f>
        <v/>
      </c>
      <c r="F1762" t="str">
        <f>""</f>
        <v/>
      </c>
      <c r="H1762" t="str">
        <f t="shared" si="39"/>
        <v>GUARDIAN</v>
      </c>
    </row>
    <row r="1763" spans="5:8" x14ac:dyDescent="0.25">
      <c r="E1763" t="str">
        <f>""</f>
        <v/>
      </c>
      <c r="F1763" t="str">
        <f>""</f>
        <v/>
      </c>
      <c r="H1763" t="str">
        <f t="shared" si="39"/>
        <v>GUARDIAN</v>
      </c>
    </row>
    <row r="1764" spans="5:8" x14ac:dyDescent="0.25">
      <c r="E1764" t="str">
        <f>""</f>
        <v/>
      </c>
      <c r="F1764" t="str">
        <f>""</f>
        <v/>
      </c>
      <c r="H1764" t="str">
        <f t="shared" si="39"/>
        <v>GUARDIAN</v>
      </c>
    </row>
    <row r="1765" spans="5:8" x14ac:dyDescent="0.25">
      <c r="E1765" t="str">
        <f>""</f>
        <v/>
      </c>
      <c r="F1765" t="str">
        <f>""</f>
        <v/>
      </c>
      <c r="H1765" t="str">
        <f t="shared" si="39"/>
        <v>GUARDIAN</v>
      </c>
    </row>
    <row r="1766" spans="5:8" x14ac:dyDescent="0.25">
      <c r="E1766" t="str">
        <f>""</f>
        <v/>
      </c>
      <c r="F1766" t="str">
        <f>""</f>
        <v/>
      </c>
      <c r="H1766" t="str">
        <f t="shared" si="39"/>
        <v>GUARDIAN</v>
      </c>
    </row>
    <row r="1767" spans="5:8" x14ac:dyDescent="0.25">
      <c r="E1767" t="str">
        <f>""</f>
        <v/>
      </c>
      <c r="F1767" t="str">
        <f>""</f>
        <v/>
      </c>
      <c r="H1767" t="str">
        <f t="shared" si="39"/>
        <v>GUARDIAN</v>
      </c>
    </row>
    <row r="1768" spans="5:8" x14ac:dyDescent="0.25">
      <c r="E1768" t="str">
        <f>""</f>
        <v/>
      </c>
      <c r="F1768" t="str">
        <f>""</f>
        <v/>
      </c>
      <c r="H1768" t="str">
        <f t="shared" si="39"/>
        <v>GUARDIAN</v>
      </c>
    </row>
    <row r="1769" spans="5:8" x14ac:dyDescent="0.25">
      <c r="E1769" t="str">
        <f>""</f>
        <v/>
      </c>
      <c r="F1769" t="str">
        <f>""</f>
        <v/>
      </c>
      <c r="H1769" t="str">
        <f t="shared" si="39"/>
        <v>GUARDIAN</v>
      </c>
    </row>
    <row r="1770" spans="5:8" x14ac:dyDescent="0.25">
      <c r="E1770" t="str">
        <f>"GDE202106224152"</f>
        <v>GDE202106224152</v>
      </c>
      <c r="F1770" t="str">
        <f>"GUARDIAN"</f>
        <v>GUARDIAN</v>
      </c>
      <c r="G1770" s="4">
        <v>153.9</v>
      </c>
      <c r="H1770" t="str">
        <f t="shared" si="39"/>
        <v>GUARDIAN</v>
      </c>
    </row>
    <row r="1771" spans="5:8" x14ac:dyDescent="0.25">
      <c r="E1771" t="str">
        <f>"GDF202106093830"</f>
        <v>GDF202106093830</v>
      </c>
      <c r="F1771" t="str">
        <f>"GUARDIAN"</f>
        <v>GUARDIAN</v>
      </c>
      <c r="G1771" s="4">
        <v>2209.2399999999998</v>
      </c>
      <c r="H1771" t="str">
        <f t="shared" si="39"/>
        <v>GUARDIAN</v>
      </c>
    </row>
    <row r="1772" spans="5:8" x14ac:dyDescent="0.25">
      <c r="E1772" t="str">
        <f>""</f>
        <v/>
      </c>
      <c r="F1772" t="str">
        <f>""</f>
        <v/>
      </c>
      <c r="H1772" t="str">
        <f t="shared" si="39"/>
        <v>GUARDIAN</v>
      </c>
    </row>
    <row r="1773" spans="5:8" x14ac:dyDescent="0.25">
      <c r="E1773" t="str">
        <f>""</f>
        <v/>
      </c>
      <c r="F1773" t="str">
        <f>""</f>
        <v/>
      </c>
      <c r="H1773" t="str">
        <f t="shared" si="39"/>
        <v>GUARDIAN</v>
      </c>
    </row>
    <row r="1774" spans="5:8" x14ac:dyDescent="0.25">
      <c r="E1774" t="str">
        <f>""</f>
        <v/>
      </c>
      <c r="F1774" t="str">
        <f>""</f>
        <v/>
      </c>
      <c r="H1774" t="str">
        <f t="shared" si="39"/>
        <v>GUARDIAN</v>
      </c>
    </row>
    <row r="1775" spans="5:8" x14ac:dyDescent="0.25">
      <c r="E1775" t="str">
        <f>""</f>
        <v/>
      </c>
      <c r="F1775" t="str">
        <f>""</f>
        <v/>
      </c>
      <c r="H1775" t="str">
        <f t="shared" si="39"/>
        <v>GUARDIAN</v>
      </c>
    </row>
    <row r="1776" spans="5:8" x14ac:dyDescent="0.25">
      <c r="E1776" t="str">
        <f>""</f>
        <v/>
      </c>
      <c r="F1776" t="str">
        <f>""</f>
        <v/>
      </c>
      <c r="H1776" t="str">
        <f t="shared" si="39"/>
        <v>GUARDIAN</v>
      </c>
    </row>
    <row r="1777" spans="5:8" x14ac:dyDescent="0.25">
      <c r="E1777" t="str">
        <f>""</f>
        <v/>
      </c>
      <c r="F1777" t="str">
        <f>""</f>
        <v/>
      </c>
      <c r="H1777" t="str">
        <f t="shared" si="39"/>
        <v>GUARDIAN</v>
      </c>
    </row>
    <row r="1778" spans="5:8" x14ac:dyDescent="0.25">
      <c r="E1778" t="str">
        <f>""</f>
        <v/>
      </c>
      <c r="F1778" t="str">
        <f>""</f>
        <v/>
      </c>
      <c r="H1778" t="str">
        <f t="shared" si="39"/>
        <v>GUARDIAN</v>
      </c>
    </row>
    <row r="1779" spans="5:8" x14ac:dyDescent="0.25">
      <c r="E1779" t="str">
        <f>""</f>
        <v/>
      </c>
      <c r="F1779" t="str">
        <f>""</f>
        <v/>
      </c>
      <c r="H1779" t="str">
        <f t="shared" si="39"/>
        <v>GUARDIAN</v>
      </c>
    </row>
    <row r="1780" spans="5:8" x14ac:dyDescent="0.25">
      <c r="E1780" t="str">
        <f>""</f>
        <v/>
      </c>
      <c r="F1780" t="str">
        <f>""</f>
        <v/>
      </c>
      <c r="H1780" t="str">
        <f t="shared" si="39"/>
        <v>GUARDIAN</v>
      </c>
    </row>
    <row r="1781" spans="5:8" x14ac:dyDescent="0.25">
      <c r="E1781" t="str">
        <f>""</f>
        <v/>
      </c>
      <c r="F1781" t="str">
        <f>""</f>
        <v/>
      </c>
      <c r="H1781" t="str">
        <f t="shared" si="39"/>
        <v>GUARDIAN</v>
      </c>
    </row>
    <row r="1782" spans="5:8" x14ac:dyDescent="0.25">
      <c r="E1782" t="str">
        <f>""</f>
        <v/>
      </c>
      <c r="F1782" t="str">
        <f>""</f>
        <v/>
      </c>
      <c r="H1782" t="str">
        <f t="shared" si="39"/>
        <v>GUARDIAN</v>
      </c>
    </row>
    <row r="1783" spans="5:8" x14ac:dyDescent="0.25">
      <c r="E1783" t="str">
        <f>""</f>
        <v/>
      </c>
      <c r="F1783" t="str">
        <f>""</f>
        <v/>
      </c>
      <c r="H1783" t="str">
        <f t="shared" si="39"/>
        <v>GUARDIAN</v>
      </c>
    </row>
    <row r="1784" spans="5:8" x14ac:dyDescent="0.25">
      <c r="E1784" t="str">
        <f>""</f>
        <v/>
      </c>
      <c r="F1784" t="str">
        <f>""</f>
        <v/>
      </c>
      <c r="H1784" t="str">
        <f t="shared" si="39"/>
        <v>GUARDIAN</v>
      </c>
    </row>
    <row r="1785" spans="5:8" x14ac:dyDescent="0.25">
      <c r="E1785" t="str">
        <f>""</f>
        <v/>
      </c>
      <c r="F1785" t="str">
        <f>""</f>
        <v/>
      </c>
      <c r="H1785" t="str">
        <f t="shared" si="39"/>
        <v>GUARDIAN</v>
      </c>
    </row>
    <row r="1786" spans="5:8" x14ac:dyDescent="0.25">
      <c r="E1786" t="str">
        <f>""</f>
        <v/>
      </c>
      <c r="F1786" t="str">
        <f>""</f>
        <v/>
      </c>
      <c r="H1786" t="str">
        <f t="shared" si="39"/>
        <v>GUARDIAN</v>
      </c>
    </row>
    <row r="1787" spans="5:8" x14ac:dyDescent="0.25">
      <c r="E1787" t="str">
        <f>""</f>
        <v/>
      </c>
      <c r="F1787" t="str">
        <f>""</f>
        <v/>
      </c>
      <c r="H1787" t="str">
        <f t="shared" si="39"/>
        <v>GUARDIAN</v>
      </c>
    </row>
    <row r="1788" spans="5:8" x14ac:dyDescent="0.25">
      <c r="E1788" t="str">
        <f>""</f>
        <v/>
      </c>
      <c r="F1788" t="str">
        <f>""</f>
        <v/>
      </c>
      <c r="H1788" t="str">
        <f t="shared" si="39"/>
        <v>GUARDIAN</v>
      </c>
    </row>
    <row r="1789" spans="5:8" x14ac:dyDescent="0.25">
      <c r="E1789" t="str">
        <f>""</f>
        <v/>
      </c>
      <c r="F1789" t="str">
        <f>""</f>
        <v/>
      </c>
      <c r="H1789" t="str">
        <f t="shared" si="39"/>
        <v>GUARDIAN</v>
      </c>
    </row>
    <row r="1790" spans="5:8" x14ac:dyDescent="0.25">
      <c r="E1790" t="str">
        <f>""</f>
        <v/>
      </c>
      <c r="F1790" t="str">
        <f>""</f>
        <v/>
      </c>
      <c r="H1790" t="str">
        <f t="shared" si="39"/>
        <v>GUARDIAN</v>
      </c>
    </row>
    <row r="1791" spans="5:8" x14ac:dyDescent="0.25">
      <c r="E1791" t="str">
        <f>""</f>
        <v/>
      </c>
      <c r="F1791" t="str">
        <f>""</f>
        <v/>
      </c>
      <c r="H1791" t="str">
        <f t="shared" ref="H1791:H1854" si="40">"GUARDIAN"</f>
        <v>GUARDIAN</v>
      </c>
    </row>
    <row r="1792" spans="5:8" x14ac:dyDescent="0.25">
      <c r="E1792" t="str">
        <f>""</f>
        <v/>
      </c>
      <c r="F1792" t="str">
        <f>""</f>
        <v/>
      </c>
      <c r="H1792" t="str">
        <f t="shared" si="40"/>
        <v>GUARDIAN</v>
      </c>
    </row>
    <row r="1793" spans="5:8" x14ac:dyDescent="0.25">
      <c r="E1793" t="str">
        <f>""</f>
        <v/>
      </c>
      <c r="F1793" t="str">
        <f>""</f>
        <v/>
      </c>
      <c r="H1793" t="str">
        <f t="shared" si="40"/>
        <v>GUARDIAN</v>
      </c>
    </row>
    <row r="1794" spans="5:8" x14ac:dyDescent="0.25">
      <c r="E1794" t="str">
        <f>""</f>
        <v/>
      </c>
      <c r="F1794" t="str">
        <f>""</f>
        <v/>
      </c>
      <c r="H1794" t="str">
        <f t="shared" si="40"/>
        <v>GUARDIAN</v>
      </c>
    </row>
    <row r="1795" spans="5:8" x14ac:dyDescent="0.25">
      <c r="E1795" t="str">
        <f>"GDF202106093832"</f>
        <v>GDF202106093832</v>
      </c>
      <c r="F1795" t="str">
        <f>"GUARDIAN"</f>
        <v>GUARDIAN</v>
      </c>
      <c r="G1795" s="4">
        <v>100.42</v>
      </c>
      <c r="H1795" t="str">
        <f t="shared" si="40"/>
        <v>GUARDIAN</v>
      </c>
    </row>
    <row r="1796" spans="5:8" x14ac:dyDescent="0.25">
      <c r="E1796" t="str">
        <f>""</f>
        <v/>
      </c>
      <c r="F1796" t="str">
        <f>""</f>
        <v/>
      </c>
      <c r="H1796" t="str">
        <f t="shared" si="40"/>
        <v>GUARDIAN</v>
      </c>
    </row>
    <row r="1797" spans="5:8" x14ac:dyDescent="0.25">
      <c r="E1797" t="str">
        <f>"GDF202106224151"</f>
        <v>GDF202106224151</v>
      </c>
      <c r="F1797" t="str">
        <f>"GUARDIAN"</f>
        <v>GUARDIAN</v>
      </c>
      <c r="G1797" s="4">
        <v>2209.2399999999998</v>
      </c>
      <c r="H1797" t="str">
        <f t="shared" si="40"/>
        <v>GUARDIAN</v>
      </c>
    </row>
    <row r="1798" spans="5:8" x14ac:dyDescent="0.25">
      <c r="E1798" t="str">
        <f>""</f>
        <v/>
      </c>
      <c r="F1798" t="str">
        <f>""</f>
        <v/>
      </c>
      <c r="H1798" t="str">
        <f t="shared" si="40"/>
        <v>GUARDIAN</v>
      </c>
    </row>
    <row r="1799" spans="5:8" x14ac:dyDescent="0.25">
      <c r="E1799" t="str">
        <f>""</f>
        <v/>
      </c>
      <c r="F1799" t="str">
        <f>""</f>
        <v/>
      </c>
      <c r="H1799" t="str">
        <f t="shared" si="40"/>
        <v>GUARDIAN</v>
      </c>
    </row>
    <row r="1800" spans="5:8" x14ac:dyDescent="0.25">
      <c r="E1800" t="str">
        <f>""</f>
        <v/>
      </c>
      <c r="F1800" t="str">
        <f>""</f>
        <v/>
      </c>
      <c r="H1800" t="str">
        <f t="shared" si="40"/>
        <v>GUARDIAN</v>
      </c>
    </row>
    <row r="1801" spans="5:8" x14ac:dyDescent="0.25">
      <c r="E1801" t="str">
        <f>""</f>
        <v/>
      </c>
      <c r="F1801" t="str">
        <f>""</f>
        <v/>
      </c>
      <c r="H1801" t="str">
        <f t="shared" si="40"/>
        <v>GUARDIAN</v>
      </c>
    </row>
    <row r="1802" spans="5:8" x14ac:dyDescent="0.25">
      <c r="E1802" t="str">
        <f>""</f>
        <v/>
      </c>
      <c r="F1802" t="str">
        <f>""</f>
        <v/>
      </c>
      <c r="H1802" t="str">
        <f t="shared" si="40"/>
        <v>GUARDIAN</v>
      </c>
    </row>
    <row r="1803" spans="5:8" x14ac:dyDescent="0.25">
      <c r="E1803" t="str">
        <f>""</f>
        <v/>
      </c>
      <c r="F1803" t="str">
        <f>""</f>
        <v/>
      </c>
      <c r="H1803" t="str">
        <f t="shared" si="40"/>
        <v>GUARDIAN</v>
      </c>
    </row>
    <row r="1804" spans="5:8" x14ac:dyDescent="0.25">
      <c r="E1804" t="str">
        <f>""</f>
        <v/>
      </c>
      <c r="F1804" t="str">
        <f>""</f>
        <v/>
      </c>
      <c r="H1804" t="str">
        <f t="shared" si="40"/>
        <v>GUARDIAN</v>
      </c>
    </row>
    <row r="1805" spans="5:8" x14ac:dyDescent="0.25">
      <c r="E1805" t="str">
        <f>""</f>
        <v/>
      </c>
      <c r="F1805" t="str">
        <f>""</f>
        <v/>
      </c>
      <c r="H1805" t="str">
        <f t="shared" si="40"/>
        <v>GUARDIAN</v>
      </c>
    </row>
    <row r="1806" spans="5:8" x14ac:dyDescent="0.25">
      <c r="E1806" t="str">
        <f>""</f>
        <v/>
      </c>
      <c r="F1806" t="str">
        <f>""</f>
        <v/>
      </c>
      <c r="H1806" t="str">
        <f t="shared" si="40"/>
        <v>GUARDIAN</v>
      </c>
    </row>
    <row r="1807" spans="5:8" x14ac:dyDescent="0.25">
      <c r="E1807" t="str">
        <f>""</f>
        <v/>
      </c>
      <c r="F1807" t="str">
        <f>""</f>
        <v/>
      </c>
      <c r="H1807" t="str">
        <f t="shared" si="40"/>
        <v>GUARDIAN</v>
      </c>
    </row>
    <row r="1808" spans="5:8" x14ac:dyDescent="0.25">
      <c r="E1808" t="str">
        <f>""</f>
        <v/>
      </c>
      <c r="F1808" t="str">
        <f>""</f>
        <v/>
      </c>
      <c r="H1808" t="str">
        <f t="shared" si="40"/>
        <v>GUARDIAN</v>
      </c>
    </row>
    <row r="1809" spans="5:8" x14ac:dyDescent="0.25">
      <c r="E1809" t="str">
        <f>""</f>
        <v/>
      </c>
      <c r="F1809" t="str">
        <f>""</f>
        <v/>
      </c>
      <c r="H1809" t="str">
        <f t="shared" si="40"/>
        <v>GUARDIAN</v>
      </c>
    </row>
    <row r="1810" spans="5:8" x14ac:dyDescent="0.25">
      <c r="E1810" t="str">
        <f>""</f>
        <v/>
      </c>
      <c r="F1810" t="str">
        <f>""</f>
        <v/>
      </c>
      <c r="H1810" t="str">
        <f t="shared" si="40"/>
        <v>GUARDIAN</v>
      </c>
    </row>
    <row r="1811" spans="5:8" x14ac:dyDescent="0.25">
      <c r="E1811" t="str">
        <f>""</f>
        <v/>
      </c>
      <c r="F1811" t="str">
        <f>""</f>
        <v/>
      </c>
      <c r="H1811" t="str">
        <f t="shared" si="40"/>
        <v>GUARDIAN</v>
      </c>
    </row>
    <row r="1812" spans="5:8" x14ac:dyDescent="0.25">
      <c r="E1812" t="str">
        <f>""</f>
        <v/>
      </c>
      <c r="F1812" t="str">
        <f>""</f>
        <v/>
      </c>
      <c r="H1812" t="str">
        <f t="shared" si="40"/>
        <v>GUARDIAN</v>
      </c>
    </row>
    <row r="1813" spans="5:8" x14ac:dyDescent="0.25">
      <c r="E1813" t="str">
        <f>""</f>
        <v/>
      </c>
      <c r="F1813" t="str">
        <f>""</f>
        <v/>
      </c>
      <c r="H1813" t="str">
        <f t="shared" si="40"/>
        <v>GUARDIAN</v>
      </c>
    </row>
    <row r="1814" spans="5:8" x14ac:dyDescent="0.25">
      <c r="E1814" t="str">
        <f>""</f>
        <v/>
      </c>
      <c r="F1814" t="str">
        <f>""</f>
        <v/>
      </c>
      <c r="H1814" t="str">
        <f t="shared" si="40"/>
        <v>GUARDIAN</v>
      </c>
    </row>
    <row r="1815" spans="5:8" x14ac:dyDescent="0.25">
      <c r="E1815" t="str">
        <f>""</f>
        <v/>
      </c>
      <c r="F1815" t="str">
        <f>""</f>
        <v/>
      </c>
      <c r="H1815" t="str">
        <f t="shared" si="40"/>
        <v>GUARDIAN</v>
      </c>
    </row>
    <row r="1816" spans="5:8" x14ac:dyDescent="0.25">
      <c r="E1816" t="str">
        <f>""</f>
        <v/>
      </c>
      <c r="F1816" t="str">
        <f>""</f>
        <v/>
      </c>
      <c r="H1816" t="str">
        <f t="shared" si="40"/>
        <v>GUARDIAN</v>
      </c>
    </row>
    <row r="1817" spans="5:8" x14ac:dyDescent="0.25">
      <c r="E1817" t="str">
        <f>""</f>
        <v/>
      </c>
      <c r="F1817" t="str">
        <f>""</f>
        <v/>
      </c>
      <c r="H1817" t="str">
        <f t="shared" si="40"/>
        <v>GUARDIAN</v>
      </c>
    </row>
    <row r="1818" spans="5:8" x14ac:dyDescent="0.25">
      <c r="E1818" t="str">
        <f>""</f>
        <v/>
      </c>
      <c r="F1818" t="str">
        <f>""</f>
        <v/>
      </c>
      <c r="H1818" t="str">
        <f t="shared" si="40"/>
        <v>GUARDIAN</v>
      </c>
    </row>
    <row r="1819" spans="5:8" x14ac:dyDescent="0.25">
      <c r="E1819" t="str">
        <f>""</f>
        <v/>
      </c>
      <c r="F1819" t="str">
        <f>""</f>
        <v/>
      </c>
      <c r="H1819" t="str">
        <f t="shared" si="40"/>
        <v>GUARDIAN</v>
      </c>
    </row>
    <row r="1820" spans="5:8" x14ac:dyDescent="0.25">
      <c r="E1820" t="str">
        <f>""</f>
        <v/>
      </c>
      <c r="F1820" t="str">
        <f>""</f>
        <v/>
      </c>
      <c r="H1820" t="str">
        <f t="shared" si="40"/>
        <v>GUARDIAN</v>
      </c>
    </row>
    <row r="1821" spans="5:8" x14ac:dyDescent="0.25">
      <c r="E1821" t="str">
        <f>"GDF202106224152"</f>
        <v>GDF202106224152</v>
      </c>
      <c r="F1821" t="str">
        <f>"GUARDIAN"</f>
        <v>GUARDIAN</v>
      </c>
      <c r="G1821" s="4">
        <v>100.42</v>
      </c>
      <c r="H1821" t="str">
        <f t="shared" si="40"/>
        <v>GUARDIAN</v>
      </c>
    </row>
    <row r="1822" spans="5:8" x14ac:dyDescent="0.25">
      <c r="E1822" t="str">
        <f>""</f>
        <v/>
      </c>
      <c r="F1822" t="str">
        <f>""</f>
        <v/>
      </c>
      <c r="H1822" t="str">
        <f t="shared" si="40"/>
        <v>GUARDIAN</v>
      </c>
    </row>
    <row r="1823" spans="5:8" x14ac:dyDescent="0.25">
      <c r="E1823" t="str">
        <f>"GDS202106093830"</f>
        <v>GDS202106093830</v>
      </c>
      <c r="F1823" t="str">
        <f>"GUARDIAN"</f>
        <v>GUARDIAN</v>
      </c>
      <c r="G1823" s="4">
        <v>1830.18</v>
      </c>
      <c r="H1823" t="str">
        <f t="shared" si="40"/>
        <v>GUARDIAN</v>
      </c>
    </row>
    <row r="1824" spans="5:8" x14ac:dyDescent="0.25">
      <c r="E1824" t="str">
        <f>""</f>
        <v/>
      </c>
      <c r="F1824" t="str">
        <f>""</f>
        <v/>
      </c>
      <c r="H1824" t="str">
        <f t="shared" si="40"/>
        <v>GUARDIAN</v>
      </c>
    </row>
    <row r="1825" spans="5:8" x14ac:dyDescent="0.25">
      <c r="E1825" t="str">
        <f>""</f>
        <v/>
      </c>
      <c r="F1825" t="str">
        <f>""</f>
        <v/>
      </c>
      <c r="H1825" t="str">
        <f t="shared" si="40"/>
        <v>GUARDIAN</v>
      </c>
    </row>
    <row r="1826" spans="5:8" x14ac:dyDescent="0.25">
      <c r="E1826" t="str">
        <f>""</f>
        <v/>
      </c>
      <c r="F1826" t="str">
        <f>""</f>
        <v/>
      </c>
      <c r="H1826" t="str">
        <f t="shared" si="40"/>
        <v>GUARDIAN</v>
      </c>
    </row>
    <row r="1827" spans="5:8" x14ac:dyDescent="0.25">
      <c r="E1827" t="str">
        <f>""</f>
        <v/>
      </c>
      <c r="F1827" t="str">
        <f>""</f>
        <v/>
      </c>
      <c r="H1827" t="str">
        <f t="shared" si="40"/>
        <v>GUARDIAN</v>
      </c>
    </row>
    <row r="1828" spans="5:8" x14ac:dyDescent="0.25">
      <c r="E1828" t="str">
        <f>""</f>
        <v/>
      </c>
      <c r="F1828" t="str">
        <f>""</f>
        <v/>
      </c>
      <c r="H1828" t="str">
        <f t="shared" si="40"/>
        <v>GUARDIAN</v>
      </c>
    </row>
    <row r="1829" spans="5:8" x14ac:dyDescent="0.25">
      <c r="E1829" t="str">
        <f>""</f>
        <v/>
      </c>
      <c r="F1829" t="str">
        <f>""</f>
        <v/>
      </c>
      <c r="H1829" t="str">
        <f t="shared" si="40"/>
        <v>GUARDIAN</v>
      </c>
    </row>
    <row r="1830" spans="5:8" x14ac:dyDescent="0.25">
      <c r="E1830" t="str">
        <f>""</f>
        <v/>
      </c>
      <c r="F1830" t="str">
        <f>""</f>
        <v/>
      </c>
      <c r="H1830" t="str">
        <f t="shared" si="40"/>
        <v>GUARDIAN</v>
      </c>
    </row>
    <row r="1831" spans="5:8" x14ac:dyDescent="0.25">
      <c r="E1831" t="str">
        <f>""</f>
        <v/>
      </c>
      <c r="F1831" t="str">
        <f>""</f>
        <v/>
      </c>
      <c r="H1831" t="str">
        <f t="shared" si="40"/>
        <v>GUARDIAN</v>
      </c>
    </row>
    <row r="1832" spans="5:8" x14ac:dyDescent="0.25">
      <c r="E1832" t="str">
        <f>""</f>
        <v/>
      </c>
      <c r="F1832" t="str">
        <f>""</f>
        <v/>
      </c>
      <c r="H1832" t="str">
        <f t="shared" si="40"/>
        <v>GUARDIAN</v>
      </c>
    </row>
    <row r="1833" spans="5:8" x14ac:dyDescent="0.25">
      <c r="E1833" t="str">
        <f>""</f>
        <v/>
      </c>
      <c r="F1833" t="str">
        <f>""</f>
        <v/>
      </c>
      <c r="H1833" t="str">
        <f t="shared" si="40"/>
        <v>GUARDIAN</v>
      </c>
    </row>
    <row r="1834" spans="5:8" x14ac:dyDescent="0.25">
      <c r="E1834" t="str">
        <f>""</f>
        <v/>
      </c>
      <c r="F1834" t="str">
        <f>""</f>
        <v/>
      </c>
      <c r="H1834" t="str">
        <f t="shared" si="40"/>
        <v>GUARDIAN</v>
      </c>
    </row>
    <row r="1835" spans="5:8" x14ac:dyDescent="0.25">
      <c r="E1835" t="str">
        <f>""</f>
        <v/>
      </c>
      <c r="F1835" t="str">
        <f>""</f>
        <v/>
      </c>
      <c r="H1835" t="str">
        <f t="shared" si="40"/>
        <v>GUARDIAN</v>
      </c>
    </row>
    <row r="1836" spans="5:8" x14ac:dyDescent="0.25">
      <c r="E1836" t="str">
        <f>""</f>
        <v/>
      </c>
      <c r="F1836" t="str">
        <f>""</f>
        <v/>
      </c>
      <c r="H1836" t="str">
        <f t="shared" si="40"/>
        <v>GUARDIAN</v>
      </c>
    </row>
    <row r="1837" spans="5:8" x14ac:dyDescent="0.25">
      <c r="E1837" t="str">
        <f>""</f>
        <v/>
      </c>
      <c r="F1837" t="str">
        <f>""</f>
        <v/>
      </c>
      <c r="H1837" t="str">
        <f t="shared" si="40"/>
        <v>GUARDIAN</v>
      </c>
    </row>
    <row r="1838" spans="5:8" x14ac:dyDescent="0.25">
      <c r="E1838" t="str">
        <f>""</f>
        <v/>
      </c>
      <c r="F1838" t="str">
        <f>""</f>
        <v/>
      </c>
      <c r="H1838" t="str">
        <f t="shared" si="40"/>
        <v>GUARDIAN</v>
      </c>
    </row>
    <row r="1839" spans="5:8" x14ac:dyDescent="0.25">
      <c r="E1839" t="str">
        <f>""</f>
        <v/>
      </c>
      <c r="F1839" t="str">
        <f>""</f>
        <v/>
      </c>
      <c r="H1839" t="str">
        <f t="shared" si="40"/>
        <v>GUARDIAN</v>
      </c>
    </row>
    <row r="1840" spans="5:8" x14ac:dyDescent="0.25">
      <c r="E1840" t="str">
        <f>""</f>
        <v/>
      </c>
      <c r="F1840" t="str">
        <f>""</f>
        <v/>
      </c>
      <c r="H1840" t="str">
        <f t="shared" si="40"/>
        <v>GUARDIAN</v>
      </c>
    </row>
    <row r="1841" spans="5:8" x14ac:dyDescent="0.25">
      <c r="E1841" t="str">
        <f>""</f>
        <v/>
      </c>
      <c r="F1841" t="str">
        <f>""</f>
        <v/>
      </c>
      <c r="H1841" t="str">
        <f t="shared" si="40"/>
        <v>GUARDIAN</v>
      </c>
    </row>
    <row r="1842" spans="5:8" x14ac:dyDescent="0.25">
      <c r="E1842" t="str">
        <f>""</f>
        <v/>
      </c>
      <c r="F1842" t="str">
        <f>""</f>
        <v/>
      </c>
      <c r="H1842" t="str">
        <f t="shared" si="40"/>
        <v>GUARDIAN</v>
      </c>
    </row>
    <row r="1843" spans="5:8" x14ac:dyDescent="0.25">
      <c r="E1843" t="str">
        <f>""</f>
        <v/>
      </c>
      <c r="F1843" t="str">
        <f>""</f>
        <v/>
      </c>
      <c r="H1843" t="str">
        <f t="shared" si="40"/>
        <v>GUARDIAN</v>
      </c>
    </row>
    <row r="1844" spans="5:8" x14ac:dyDescent="0.25">
      <c r="E1844" t="str">
        <f>""</f>
        <v/>
      </c>
      <c r="F1844" t="str">
        <f>""</f>
        <v/>
      </c>
      <c r="H1844" t="str">
        <f t="shared" si="40"/>
        <v>GUARDIAN</v>
      </c>
    </row>
    <row r="1845" spans="5:8" x14ac:dyDescent="0.25">
      <c r="E1845" t="str">
        <f>""</f>
        <v/>
      </c>
      <c r="F1845" t="str">
        <f>""</f>
        <v/>
      </c>
      <c r="H1845" t="str">
        <f t="shared" si="40"/>
        <v>GUARDIAN</v>
      </c>
    </row>
    <row r="1846" spans="5:8" x14ac:dyDescent="0.25">
      <c r="E1846" t="str">
        <f>""</f>
        <v/>
      </c>
      <c r="F1846" t="str">
        <f>""</f>
        <v/>
      </c>
      <c r="H1846" t="str">
        <f t="shared" si="40"/>
        <v>GUARDIAN</v>
      </c>
    </row>
    <row r="1847" spans="5:8" x14ac:dyDescent="0.25">
      <c r="E1847" t="str">
        <f>""</f>
        <v/>
      </c>
      <c r="F1847" t="str">
        <f>""</f>
        <v/>
      </c>
      <c r="H1847" t="str">
        <f t="shared" si="40"/>
        <v>GUARDIAN</v>
      </c>
    </row>
    <row r="1848" spans="5:8" x14ac:dyDescent="0.25">
      <c r="E1848" t="str">
        <f>"GDS202106224151"</f>
        <v>GDS202106224151</v>
      </c>
      <c r="F1848" t="str">
        <f>"GUARDIAN"</f>
        <v>GUARDIAN</v>
      </c>
      <c r="G1848" s="4">
        <v>1830.18</v>
      </c>
      <c r="H1848" t="str">
        <f t="shared" si="40"/>
        <v>GUARDIAN</v>
      </c>
    </row>
    <row r="1849" spans="5:8" x14ac:dyDescent="0.25">
      <c r="E1849" t="str">
        <f>""</f>
        <v/>
      </c>
      <c r="F1849" t="str">
        <f>""</f>
        <v/>
      </c>
      <c r="H1849" t="str">
        <f t="shared" si="40"/>
        <v>GUARDIAN</v>
      </c>
    </row>
    <row r="1850" spans="5:8" x14ac:dyDescent="0.25">
      <c r="E1850" t="str">
        <f>""</f>
        <v/>
      </c>
      <c r="F1850" t="str">
        <f>""</f>
        <v/>
      </c>
      <c r="H1850" t="str">
        <f t="shared" si="40"/>
        <v>GUARDIAN</v>
      </c>
    </row>
    <row r="1851" spans="5:8" x14ac:dyDescent="0.25">
      <c r="E1851" t="str">
        <f>""</f>
        <v/>
      </c>
      <c r="F1851" t="str">
        <f>""</f>
        <v/>
      </c>
      <c r="H1851" t="str">
        <f t="shared" si="40"/>
        <v>GUARDIAN</v>
      </c>
    </row>
    <row r="1852" spans="5:8" x14ac:dyDescent="0.25">
      <c r="E1852" t="str">
        <f>""</f>
        <v/>
      </c>
      <c r="F1852" t="str">
        <f>""</f>
        <v/>
      </c>
      <c r="H1852" t="str">
        <f t="shared" si="40"/>
        <v>GUARDIAN</v>
      </c>
    </row>
    <row r="1853" spans="5:8" x14ac:dyDescent="0.25">
      <c r="E1853" t="str">
        <f>""</f>
        <v/>
      </c>
      <c r="F1853" t="str">
        <f>""</f>
        <v/>
      </c>
      <c r="H1853" t="str">
        <f t="shared" si="40"/>
        <v>GUARDIAN</v>
      </c>
    </row>
    <row r="1854" spans="5:8" x14ac:dyDescent="0.25">
      <c r="E1854" t="str">
        <f>""</f>
        <v/>
      </c>
      <c r="F1854" t="str">
        <f>""</f>
        <v/>
      </c>
      <c r="H1854" t="str">
        <f t="shared" si="40"/>
        <v>GUARDIAN</v>
      </c>
    </row>
    <row r="1855" spans="5:8" x14ac:dyDescent="0.25">
      <c r="E1855" t="str">
        <f>""</f>
        <v/>
      </c>
      <c r="F1855" t="str">
        <f>""</f>
        <v/>
      </c>
      <c r="H1855" t="str">
        <f t="shared" ref="H1855:H1872" si="41">"GUARDIAN"</f>
        <v>GUARDIAN</v>
      </c>
    </row>
    <row r="1856" spans="5:8" x14ac:dyDescent="0.25">
      <c r="E1856" t="str">
        <f>""</f>
        <v/>
      </c>
      <c r="F1856" t="str">
        <f>""</f>
        <v/>
      </c>
      <c r="H1856" t="str">
        <f t="shared" si="41"/>
        <v>GUARDIAN</v>
      </c>
    </row>
    <row r="1857" spans="5:8" x14ac:dyDescent="0.25">
      <c r="E1857" t="str">
        <f>""</f>
        <v/>
      </c>
      <c r="F1857" t="str">
        <f>""</f>
        <v/>
      </c>
      <c r="H1857" t="str">
        <f t="shared" si="41"/>
        <v>GUARDIAN</v>
      </c>
    </row>
    <row r="1858" spans="5:8" x14ac:dyDescent="0.25">
      <c r="E1858" t="str">
        <f>""</f>
        <v/>
      </c>
      <c r="F1858" t="str">
        <f>""</f>
        <v/>
      </c>
      <c r="H1858" t="str">
        <f t="shared" si="41"/>
        <v>GUARDIAN</v>
      </c>
    </row>
    <row r="1859" spans="5:8" x14ac:dyDescent="0.25">
      <c r="E1859" t="str">
        <f>""</f>
        <v/>
      </c>
      <c r="F1859" t="str">
        <f>""</f>
        <v/>
      </c>
      <c r="H1859" t="str">
        <f t="shared" si="41"/>
        <v>GUARDIAN</v>
      </c>
    </row>
    <row r="1860" spans="5:8" x14ac:dyDescent="0.25">
      <c r="E1860" t="str">
        <f>""</f>
        <v/>
      </c>
      <c r="F1860" t="str">
        <f>""</f>
        <v/>
      </c>
      <c r="H1860" t="str">
        <f t="shared" si="41"/>
        <v>GUARDIAN</v>
      </c>
    </row>
    <row r="1861" spans="5:8" x14ac:dyDescent="0.25">
      <c r="E1861" t="str">
        <f>""</f>
        <v/>
      </c>
      <c r="F1861" t="str">
        <f>""</f>
        <v/>
      </c>
      <c r="H1861" t="str">
        <f t="shared" si="41"/>
        <v>GUARDIAN</v>
      </c>
    </row>
    <row r="1862" spans="5:8" x14ac:dyDescent="0.25">
      <c r="E1862" t="str">
        <f>""</f>
        <v/>
      </c>
      <c r="F1862" t="str">
        <f>""</f>
        <v/>
      </c>
      <c r="H1862" t="str">
        <f t="shared" si="41"/>
        <v>GUARDIAN</v>
      </c>
    </row>
    <row r="1863" spans="5:8" x14ac:dyDescent="0.25">
      <c r="E1863" t="str">
        <f>""</f>
        <v/>
      </c>
      <c r="F1863" t="str">
        <f>""</f>
        <v/>
      </c>
      <c r="H1863" t="str">
        <f t="shared" si="41"/>
        <v>GUARDIAN</v>
      </c>
    </row>
    <row r="1864" spans="5:8" x14ac:dyDescent="0.25">
      <c r="E1864" t="str">
        <f>""</f>
        <v/>
      </c>
      <c r="F1864" t="str">
        <f>""</f>
        <v/>
      </c>
      <c r="H1864" t="str">
        <f t="shared" si="41"/>
        <v>GUARDIAN</v>
      </c>
    </row>
    <row r="1865" spans="5:8" x14ac:dyDescent="0.25">
      <c r="E1865" t="str">
        <f>""</f>
        <v/>
      </c>
      <c r="F1865" t="str">
        <f>""</f>
        <v/>
      </c>
      <c r="H1865" t="str">
        <f t="shared" si="41"/>
        <v>GUARDIAN</v>
      </c>
    </row>
    <row r="1866" spans="5:8" x14ac:dyDescent="0.25">
      <c r="E1866" t="str">
        <f>""</f>
        <v/>
      </c>
      <c r="F1866" t="str">
        <f>""</f>
        <v/>
      </c>
      <c r="H1866" t="str">
        <f t="shared" si="41"/>
        <v>GUARDIAN</v>
      </c>
    </row>
    <row r="1867" spans="5:8" x14ac:dyDescent="0.25">
      <c r="E1867" t="str">
        <f>""</f>
        <v/>
      </c>
      <c r="F1867" t="str">
        <f>""</f>
        <v/>
      </c>
      <c r="H1867" t="str">
        <f t="shared" si="41"/>
        <v>GUARDIAN</v>
      </c>
    </row>
    <row r="1868" spans="5:8" x14ac:dyDescent="0.25">
      <c r="E1868" t="str">
        <f>""</f>
        <v/>
      </c>
      <c r="F1868" t="str">
        <f>""</f>
        <v/>
      </c>
      <c r="H1868" t="str">
        <f t="shared" si="41"/>
        <v>GUARDIAN</v>
      </c>
    </row>
    <row r="1869" spans="5:8" x14ac:dyDescent="0.25">
      <c r="E1869" t="str">
        <f>""</f>
        <v/>
      </c>
      <c r="F1869" t="str">
        <f>""</f>
        <v/>
      </c>
      <c r="H1869" t="str">
        <f t="shared" si="41"/>
        <v>GUARDIAN</v>
      </c>
    </row>
    <row r="1870" spans="5:8" x14ac:dyDescent="0.25">
      <c r="E1870" t="str">
        <f>""</f>
        <v/>
      </c>
      <c r="F1870" t="str">
        <f>""</f>
        <v/>
      </c>
      <c r="H1870" t="str">
        <f t="shared" si="41"/>
        <v>GUARDIAN</v>
      </c>
    </row>
    <row r="1871" spans="5:8" x14ac:dyDescent="0.25">
      <c r="E1871" t="str">
        <f>""</f>
        <v/>
      </c>
      <c r="F1871" t="str">
        <f>""</f>
        <v/>
      </c>
      <c r="H1871" t="str">
        <f t="shared" si="41"/>
        <v>GUARDIAN</v>
      </c>
    </row>
    <row r="1872" spans="5:8" x14ac:dyDescent="0.25">
      <c r="E1872" t="str">
        <f>""</f>
        <v/>
      </c>
      <c r="F1872" t="str">
        <f>""</f>
        <v/>
      </c>
      <c r="H1872" t="str">
        <f t="shared" si="41"/>
        <v>GUARDIAN</v>
      </c>
    </row>
    <row r="1873" spans="5:8" x14ac:dyDescent="0.25">
      <c r="E1873" t="str">
        <f>"GV1202106093830"</f>
        <v>GV1202106093830</v>
      </c>
      <c r="F1873" t="str">
        <f>"GUARDIAN VISION"</f>
        <v>GUARDIAN VISION</v>
      </c>
      <c r="G1873" s="4">
        <v>436.8</v>
      </c>
      <c r="H1873" t="str">
        <f>"GUARDIAN VISION"</f>
        <v>GUARDIAN VISION</v>
      </c>
    </row>
    <row r="1874" spans="5:8" x14ac:dyDescent="0.25">
      <c r="E1874" t="str">
        <f>"GV1202106093832"</f>
        <v>GV1202106093832</v>
      </c>
      <c r="F1874" t="str">
        <f>"GUARDIAN VISION"</f>
        <v>GUARDIAN VISION</v>
      </c>
      <c r="G1874" s="4">
        <v>5.6</v>
      </c>
      <c r="H1874" t="str">
        <f>"GUARDIAN VISION"</f>
        <v>GUARDIAN VISION</v>
      </c>
    </row>
    <row r="1875" spans="5:8" x14ac:dyDescent="0.25">
      <c r="E1875" t="str">
        <f>"GV1202106224151"</f>
        <v>GV1202106224151</v>
      </c>
      <c r="F1875" t="str">
        <f>"GUARDIAN VISION"</f>
        <v>GUARDIAN VISION</v>
      </c>
      <c r="G1875" s="4">
        <v>436.8</v>
      </c>
      <c r="H1875" t="str">
        <f>"GUARDIAN VISION"</f>
        <v>GUARDIAN VISION</v>
      </c>
    </row>
    <row r="1876" spans="5:8" x14ac:dyDescent="0.25">
      <c r="E1876" t="str">
        <f>"GV1202106224152"</f>
        <v>GV1202106224152</v>
      </c>
      <c r="F1876" t="str">
        <f>"GUARDIAN VISION"</f>
        <v>GUARDIAN VISION</v>
      </c>
      <c r="G1876" s="4">
        <v>5.6</v>
      </c>
      <c r="H1876" t="str">
        <f>"GUARDIAN VISION"</f>
        <v>GUARDIAN VISION</v>
      </c>
    </row>
    <row r="1877" spans="5:8" x14ac:dyDescent="0.25">
      <c r="E1877" t="str">
        <f>"GVE202106093830"</f>
        <v>GVE202106093830</v>
      </c>
      <c r="F1877" t="str">
        <f>"GUARDIAN VISION VENDOR"</f>
        <v>GUARDIAN VISION VENDOR</v>
      </c>
      <c r="G1877" s="4">
        <v>642.05999999999995</v>
      </c>
      <c r="H1877" t="str">
        <f>"GUARDIAN VISION VENDOR"</f>
        <v>GUARDIAN VISION VENDOR</v>
      </c>
    </row>
    <row r="1878" spans="5:8" x14ac:dyDescent="0.25">
      <c r="E1878" t="str">
        <f>"GVE202106093832"</f>
        <v>GVE202106093832</v>
      </c>
      <c r="F1878" t="str">
        <f>"GUARDIAN VISION VENDOR"</f>
        <v>GUARDIAN VISION VENDOR</v>
      </c>
      <c r="G1878" s="4">
        <v>29.52</v>
      </c>
      <c r="H1878" t="str">
        <f>"GUARDIAN VISION VENDOR"</f>
        <v>GUARDIAN VISION VENDOR</v>
      </c>
    </row>
    <row r="1879" spans="5:8" x14ac:dyDescent="0.25">
      <c r="E1879" t="str">
        <f>"GVE202106224151"</f>
        <v>GVE202106224151</v>
      </c>
      <c r="F1879" t="str">
        <f>"GUARDIAN VISION VENDOR"</f>
        <v>GUARDIAN VISION VENDOR</v>
      </c>
      <c r="G1879" s="4">
        <v>638.37</v>
      </c>
      <c r="H1879" t="str">
        <f>"GUARDIAN VISION VENDOR"</f>
        <v>GUARDIAN VISION VENDOR</v>
      </c>
    </row>
    <row r="1880" spans="5:8" x14ac:dyDescent="0.25">
      <c r="E1880" t="str">
        <f>"GVE202106224152"</f>
        <v>GVE202106224152</v>
      </c>
      <c r="F1880" t="str">
        <f>"GUARDIAN VISION VENDOR"</f>
        <v>GUARDIAN VISION VENDOR</v>
      </c>
      <c r="G1880" s="4">
        <v>29.52</v>
      </c>
      <c r="H1880" t="str">
        <f>"GUARDIAN VISION VENDOR"</f>
        <v>GUARDIAN VISION VENDOR</v>
      </c>
    </row>
    <row r="1881" spans="5:8" x14ac:dyDescent="0.25">
      <c r="E1881" t="str">
        <f>"GVF202106093830"</f>
        <v>GVF202106093830</v>
      </c>
      <c r="F1881" t="str">
        <f>"GUARDIAN VISION"</f>
        <v>GUARDIAN VISION</v>
      </c>
      <c r="G1881" s="4">
        <v>541.75</v>
      </c>
      <c r="H1881" t="str">
        <f>"GUARDIAN VISION"</f>
        <v>GUARDIAN VISION</v>
      </c>
    </row>
    <row r="1882" spans="5:8" x14ac:dyDescent="0.25">
      <c r="E1882" t="str">
        <f>"GVF202106093832"</f>
        <v>GVF202106093832</v>
      </c>
      <c r="F1882" t="str">
        <f>"GUARDIAN VISION VENDOR"</f>
        <v>GUARDIAN VISION VENDOR</v>
      </c>
      <c r="G1882" s="4">
        <v>19.7</v>
      </c>
      <c r="H1882" t="str">
        <f>"GUARDIAN VISION VENDOR"</f>
        <v>GUARDIAN VISION VENDOR</v>
      </c>
    </row>
    <row r="1883" spans="5:8" x14ac:dyDescent="0.25">
      <c r="E1883" t="str">
        <f>"GVF202106224151"</f>
        <v>GVF202106224151</v>
      </c>
      <c r="F1883" t="str">
        <f>"GUARDIAN VISION"</f>
        <v>GUARDIAN VISION</v>
      </c>
      <c r="G1883" s="4">
        <v>525.74</v>
      </c>
      <c r="H1883" t="str">
        <f>"GUARDIAN VISION"</f>
        <v>GUARDIAN VISION</v>
      </c>
    </row>
    <row r="1884" spans="5:8" x14ac:dyDescent="0.25">
      <c r="E1884" t="str">
        <f>"GVF202106224152"</f>
        <v>GVF202106224152</v>
      </c>
      <c r="F1884" t="str">
        <f>"GUARDIAN VISION VENDOR"</f>
        <v>GUARDIAN VISION VENDOR</v>
      </c>
      <c r="G1884" s="4">
        <v>19.7</v>
      </c>
      <c r="H1884" t="str">
        <f>"GUARDIAN VISION VENDOR"</f>
        <v>GUARDIAN VISION VENDOR</v>
      </c>
    </row>
    <row r="1885" spans="5:8" x14ac:dyDescent="0.25">
      <c r="E1885" t="str">
        <f>"LIA202106093830"</f>
        <v>LIA202106093830</v>
      </c>
      <c r="F1885" t="str">
        <f>"GUARDIAN"</f>
        <v>GUARDIAN</v>
      </c>
      <c r="G1885" s="4">
        <v>295.48</v>
      </c>
      <c r="H1885" t="str">
        <f t="shared" ref="H1885:H1916" si="42">"GUARDIAN"</f>
        <v>GUARDIAN</v>
      </c>
    </row>
    <row r="1886" spans="5:8" x14ac:dyDescent="0.25">
      <c r="E1886" t="str">
        <f>""</f>
        <v/>
      </c>
      <c r="F1886" t="str">
        <f>""</f>
        <v/>
      </c>
      <c r="H1886" t="str">
        <f t="shared" si="42"/>
        <v>GUARDIAN</v>
      </c>
    </row>
    <row r="1887" spans="5:8" x14ac:dyDescent="0.25">
      <c r="E1887" t="str">
        <f>""</f>
        <v/>
      </c>
      <c r="F1887" t="str">
        <f>""</f>
        <v/>
      </c>
      <c r="H1887" t="str">
        <f t="shared" si="42"/>
        <v>GUARDIAN</v>
      </c>
    </row>
    <row r="1888" spans="5:8" x14ac:dyDescent="0.25">
      <c r="E1888" t="str">
        <f>""</f>
        <v/>
      </c>
      <c r="F1888" t="str">
        <f>""</f>
        <v/>
      </c>
      <c r="H1888" t="str">
        <f t="shared" si="42"/>
        <v>GUARDIAN</v>
      </c>
    </row>
    <row r="1889" spans="5:8" x14ac:dyDescent="0.25">
      <c r="E1889" t="str">
        <f>""</f>
        <v/>
      </c>
      <c r="F1889" t="str">
        <f>""</f>
        <v/>
      </c>
      <c r="H1889" t="str">
        <f t="shared" si="42"/>
        <v>GUARDIAN</v>
      </c>
    </row>
    <row r="1890" spans="5:8" x14ac:dyDescent="0.25">
      <c r="E1890" t="str">
        <f>""</f>
        <v/>
      </c>
      <c r="F1890" t="str">
        <f>""</f>
        <v/>
      </c>
      <c r="H1890" t="str">
        <f t="shared" si="42"/>
        <v>GUARDIAN</v>
      </c>
    </row>
    <row r="1891" spans="5:8" x14ac:dyDescent="0.25">
      <c r="E1891" t="str">
        <f>""</f>
        <v/>
      </c>
      <c r="F1891" t="str">
        <f>""</f>
        <v/>
      </c>
      <c r="H1891" t="str">
        <f t="shared" si="42"/>
        <v>GUARDIAN</v>
      </c>
    </row>
    <row r="1892" spans="5:8" x14ac:dyDescent="0.25">
      <c r="E1892" t="str">
        <f>""</f>
        <v/>
      </c>
      <c r="F1892" t="str">
        <f>""</f>
        <v/>
      </c>
      <c r="H1892" t="str">
        <f t="shared" si="42"/>
        <v>GUARDIAN</v>
      </c>
    </row>
    <row r="1893" spans="5:8" x14ac:dyDescent="0.25">
      <c r="E1893" t="str">
        <f>""</f>
        <v/>
      </c>
      <c r="F1893" t="str">
        <f>""</f>
        <v/>
      </c>
      <c r="H1893" t="str">
        <f t="shared" si="42"/>
        <v>GUARDIAN</v>
      </c>
    </row>
    <row r="1894" spans="5:8" x14ac:dyDescent="0.25">
      <c r="E1894" t="str">
        <f>""</f>
        <v/>
      </c>
      <c r="F1894" t="str">
        <f>""</f>
        <v/>
      </c>
      <c r="H1894" t="str">
        <f t="shared" si="42"/>
        <v>GUARDIAN</v>
      </c>
    </row>
    <row r="1895" spans="5:8" x14ac:dyDescent="0.25">
      <c r="E1895" t="str">
        <f>""</f>
        <v/>
      </c>
      <c r="F1895" t="str">
        <f>""</f>
        <v/>
      </c>
      <c r="H1895" t="str">
        <f t="shared" si="42"/>
        <v>GUARDIAN</v>
      </c>
    </row>
    <row r="1896" spans="5:8" x14ac:dyDescent="0.25">
      <c r="E1896" t="str">
        <f>""</f>
        <v/>
      </c>
      <c r="F1896" t="str">
        <f>""</f>
        <v/>
      </c>
      <c r="H1896" t="str">
        <f t="shared" si="42"/>
        <v>GUARDIAN</v>
      </c>
    </row>
    <row r="1897" spans="5:8" x14ac:dyDescent="0.25">
      <c r="E1897" t="str">
        <f>""</f>
        <v/>
      </c>
      <c r="F1897" t="str">
        <f>""</f>
        <v/>
      </c>
      <c r="H1897" t="str">
        <f t="shared" si="42"/>
        <v>GUARDIAN</v>
      </c>
    </row>
    <row r="1898" spans="5:8" x14ac:dyDescent="0.25">
      <c r="E1898" t="str">
        <f>""</f>
        <v/>
      </c>
      <c r="F1898" t="str">
        <f>""</f>
        <v/>
      </c>
      <c r="H1898" t="str">
        <f t="shared" si="42"/>
        <v>GUARDIAN</v>
      </c>
    </row>
    <row r="1899" spans="5:8" x14ac:dyDescent="0.25">
      <c r="E1899" t="str">
        <f>""</f>
        <v/>
      </c>
      <c r="F1899" t="str">
        <f>""</f>
        <v/>
      </c>
      <c r="H1899" t="str">
        <f t="shared" si="42"/>
        <v>GUARDIAN</v>
      </c>
    </row>
    <row r="1900" spans="5:8" x14ac:dyDescent="0.25">
      <c r="E1900" t="str">
        <f>""</f>
        <v/>
      </c>
      <c r="F1900" t="str">
        <f>""</f>
        <v/>
      </c>
      <c r="H1900" t="str">
        <f t="shared" si="42"/>
        <v>GUARDIAN</v>
      </c>
    </row>
    <row r="1901" spans="5:8" x14ac:dyDescent="0.25">
      <c r="E1901" t="str">
        <f>""</f>
        <v/>
      </c>
      <c r="F1901" t="str">
        <f>""</f>
        <v/>
      </c>
      <c r="H1901" t="str">
        <f t="shared" si="42"/>
        <v>GUARDIAN</v>
      </c>
    </row>
    <row r="1902" spans="5:8" x14ac:dyDescent="0.25">
      <c r="E1902" t="str">
        <f>""</f>
        <v/>
      </c>
      <c r="F1902" t="str">
        <f>""</f>
        <v/>
      </c>
      <c r="H1902" t="str">
        <f t="shared" si="42"/>
        <v>GUARDIAN</v>
      </c>
    </row>
    <row r="1903" spans="5:8" x14ac:dyDescent="0.25">
      <c r="E1903" t="str">
        <f>""</f>
        <v/>
      </c>
      <c r="F1903" t="str">
        <f>""</f>
        <v/>
      </c>
      <c r="H1903" t="str">
        <f t="shared" si="42"/>
        <v>GUARDIAN</v>
      </c>
    </row>
    <row r="1904" spans="5:8" x14ac:dyDescent="0.25">
      <c r="E1904" t="str">
        <f>""</f>
        <v/>
      </c>
      <c r="F1904" t="str">
        <f>""</f>
        <v/>
      </c>
      <c r="H1904" t="str">
        <f t="shared" si="42"/>
        <v>GUARDIAN</v>
      </c>
    </row>
    <row r="1905" spans="5:8" x14ac:dyDescent="0.25">
      <c r="E1905" t="str">
        <f>""</f>
        <v/>
      </c>
      <c r="F1905" t="str">
        <f>""</f>
        <v/>
      </c>
      <c r="H1905" t="str">
        <f t="shared" si="42"/>
        <v>GUARDIAN</v>
      </c>
    </row>
    <row r="1906" spans="5:8" x14ac:dyDescent="0.25">
      <c r="E1906" t="str">
        <f>""</f>
        <v/>
      </c>
      <c r="F1906" t="str">
        <f>""</f>
        <v/>
      </c>
      <c r="H1906" t="str">
        <f t="shared" si="42"/>
        <v>GUARDIAN</v>
      </c>
    </row>
    <row r="1907" spans="5:8" x14ac:dyDescent="0.25">
      <c r="E1907" t="str">
        <f>""</f>
        <v/>
      </c>
      <c r="F1907" t="str">
        <f>""</f>
        <v/>
      </c>
      <c r="H1907" t="str">
        <f t="shared" si="42"/>
        <v>GUARDIAN</v>
      </c>
    </row>
    <row r="1908" spans="5:8" x14ac:dyDescent="0.25">
      <c r="E1908" t="str">
        <f>""</f>
        <v/>
      </c>
      <c r="F1908" t="str">
        <f>""</f>
        <v/>
      </c>
      <c r="H1908" t="str">
        <f t="shared" si="42"/>
        <v>GUARDIAN</v>
      </c>
    </row>
    <row r="1909" spans="5:8" x14ac:dyDescent="0.25">
      <c r="E1909" t="str">
        <f>""</f>
        <v/>
      </c>
      <c r="F1909" t="str">
        <f>""</f>
        <v/>
      </c>
      <c r="H1909" t="str">
        <f t="shared" si="42"/>
        <v>GUARDIAN</v>
      </c>
    </row>
    <row r="1910" spans="5:8" x14ac:dyDescent="0.25">
      <c r="E1910" t="str">
        <f>"LIA202106093832"</f>
        <v>LIA202106093832</v>
      </c>
      <c r="F1910" t="str">
        <f>"GUARDIAN"</f>
        <v>GUARDIAN</v>
      </c>
      <c r="G1910" s="4">
        <v>40.99</v>
      </c>
      <c r="H1910" t="str">
        <f t="shared" si="42"/>
        <v>GUARDIAN</v>
      </c>
    </row>
    <row r="1911" spans="5:8" x14ac:dyDescent="0.25">
      <c r="E1911" t="str">
        <f>""</f>
        <v/>
      </c>
      <c r="F1911" t="str">
        <f>""</f>
        <v/>
      </c>
      <c r="H1911" t="str">
        <f t="shared" si="42"/>
        <v>GUARDIAN</v>
      </c>
    </row>
    <row r="1912" spans="5:8" x14ac:dyDescent="0.25">
      <c r="E1912" t="str">
        <f>"LIA202106224151"</f>
        <v>LIA202106224151</v>
      </c>
      <c r="F1912" t="str">
        <f>"GUARDIAN"</f>
        <v>GUARDIAN</v>
      </c>
      <c r="G1912" s="4">
        <v>295.48</v>
      </c>
      <c r="H1912" t="str">
        <f t="shared" si="42"/>
        <v>GUARDIAN</v>
      </c>
    </row>
    <row r="1913" spans="5:8" x14ac:dyDescent="0.25">
      <c r="E1913" t="str">
        <f>""</f>
        <v/>
      </c>
      <c r="F1913" t="str">
        <f>""</f>
        <v/>
      </c>
      <c r="H1913" t="str">
        <f t="shared" si="42"/>
        <v>GUARDIAN</v>
      </c>
    </row>
    <row r="1914" spans="5:8" x14ac:dyDescent="0.25">
      <c r="E1914" t="str">
        <f>""</f>
        <v/>
      </c>
      <c r="F1914" t="str">
        <f>""</f>
        <v/>
      </c>
      <c r="H1914" t="str">
        <f t="shared" si="42"/>
        <v>GUARDIAN</v>
      </c>
    </row>
    <row r="1915" spans="5:8" x14ac:dyDescent="0.25">
      <c r="E1915" t="str">
        <f>""</f>
        <v/>
      </c>
      <c r="F1915" t="str">
        <f>""</f>
        <v/>
      </c>
      <c r="H1915" t="str">
        <f t="shared" si="42"/>
        <v>GUARDIAN</v>
      </c>
    </row>
    <row r="1916" spans="5:8" x14ac:dyDescent="0.25">
      <c r="E1916" t="str">
        <f>""</f>
        <v/>
      </c>
      <c r="F1916" t="str">
        <f>""</f>
        <v/>
      </c>
      <c r="H1916" t="str">
        <f t="shared" si="42"/>
        <v>GUARDIAN</v>
      </c>
    </row>
    <row r="1917" spans="5:8" x14ac:dyDescent="0.25">
      <c r="E1917" t="str">
        <f>""</f>
        <v/>
      </c>
      <c r="F1917" t="str">
        <f>""</f>
        <v/>
      </c>
      <c r="H1917" t="str">
        <f t="shared" ref="H1917:H1948" si="43">"GUARDIAN"</f>
        <v>GUARDIAN</v>
      </c>
    </row>
    <row r="1918" spans="5:8" x14ac:dyDescent="0.25">
      <c r="E1918" t="str">
        <f>""</f>
        <v/>
      </c>
      <c r="F1918" t="str">
        <f>""</f>
        <v/>
      </c>
      <c r="H1918" t="str">
        <f t="shared" si="43"/>
        <v>GUARDIAN</v>
      </c>
    </row>
    <row r="1919" spans="5:8" x14ac:dyDescent="0.25">
      <c r="E1919" t="str">
        <f>""</f>
        <v/>
      </c>
      <c r="F1919" t="str">
        <f>""</f>
        <v/>
      </c>
      <c r="H1919" t="str">
        <f t="shared" si="43"/>
        <v>GUARDIAN</v>
      </c>
    </row>
    <row r="1920" spans="5:8" x14ac:dyDescent="0.25">
      <c r="E1920" t="str">
        <f>""</f>
        <v/>
      </c>
      <c r="F1920" t="str">
        <f>""</f>
        <v/>
      </c>
      <c r="H1920" t="str">
        <f t="shared" si="43"/>
        <v>GUARDIAN</v>
      </c>
    </row>
    <row r="1921" spans="5:8" x14ac:dyDescent="0.25">
      <c r="E1921" t="str">
        <f>""</f>
        <v/>
      </c>
      <c r="F1921" t="str">
        <f>""</f>
        <v/>
      </c>
      <c r="H1921" t="str">
        <f t="shared" si="43"/>
        <v>GUARDIAN</v>
      </c>
    </row>
    <row r="1922" spans="5:8" x14ac:dyDescent="0.25">
      <c r="E1922" t="str">
        <f>""</f>
        <v/>
      </c>
      <c r="F1922" t="str">
        <f>""</f>
        <v/>
      </c>
      <c r="H1922" t="str">
        <f t="shared" si="43"/>
        <v>GUARDIAN</v>
      </c>
    </row>
    <row r="1923" spans="5:8" x14ac:dyDescent="0.25">
      <c r="E1923" t="str">
        <f>""</f>
        <v/>
      </c>
      <c r="F1923" t="str">
        <f>""</f>
        <v/>
      </c>
      <c r="H1923" t="str">
        <f t="shared" si="43"/>
        <v>GUARDIAN</v>
      </c>
    </row>
    <row r="1924" spans="5:8" x14ac:dyDescent="0.25">
      <c r="E1924" t="str">
        <f>""</f>
        <v/>
      </c>
      <c r="F1924" t="str">
        <f>""</f>
        <v/>
      </c>
      <c r="H1924" t="str">
        <f t="shared" si="43"/>
        <v>GUARDIAN</v>
      </c>
    </row>
    <row r="1925" spans="5:8" x14ac:dyDescent="0.25">
      <c r="E1925" t="str">
        <f>""</f>
        <v/>
      </c>
      <c r="F1925" t="str">
        <f>""</f>
        <v/>
      </c>
      <c r="H1925" t="str">
        <f t="shared" si="43"/>
        <v>GUARDIAN</v>
      </c>
    </row>
    <row r="1926" spans="5:8" x14ac:dyDescent="0.25">
      <c r="E1926" t="str">
        <f>""</f>
        <v/>
      </c>
      <c r="F1926" t="str">
        <f>""</f>
        <v/>
      </c>
      <c r="H1926" t="str">
        <f t="shared" si="43"/>
        <v>GUARDIAN</v>
      </c>
    </row>
    <row r="1927" spans="5:8" x14ac:dyDescent="0.25">
      <c r="E1927" t="str">
        <f>""</f>
        <v/>
      </c>
      <c r="F1927" t="str">
        <f>""</f>
        <v/>
      </c>
      <c r="H1927" t="str">
        <f t="shared" si="43"/>
        <v>GUARDIAN</v>
      </c>
    </row>
    <row r="1928" spans="5:8" x14ac:dyDescent="0.25">
      <c r="E1928" t="str">
        <f>""</f>
        <v/>
      </c>
      <c r="F1928" t="str">
        <f>""</f>
        <v/>
      </c>
      <c r="H1928" t="str">
        <f t="shared" si="43"/>
        <v>GUARDIAN</v>
      </c>
    </row>
    <row r="1929" spans="5:8" x14ac:dyDescent="0.25">
      <c r="E1929" t="str">
        <f>""</f>
        <v/>
      </c>
      <c r="F1929" t="str">
        <f>""</f>
        <v/>
      </c>
      <c r="H1929" t="str">
        <f t="shared" si="43"/>
        <v>GUARDIAN</v>
      </c>
    </row>
    <row r="1930" spans="5:8" x14ac:dyDescent="0.25">
      <c r="E1930" t="str">
        <f>""</f>
        <v/>
      </c>
      <c r="F1930" t="str">
        <f>""</f>
        <v/>
      </c>
      <c r="H1930" t="str">
        <f t="shared" si="43"/>
        <v>GUARDIAN</v>
      </c>
    </row>
    <row r="1931" spans="5:8" x14ac:dyDescent="0.25">
      <c r="E1931" t="str">
        <f>""</f>
        <v/>
      </c>
      <c r="F1931" t="str">
        <f>""</f>
        <v/>
      </c>
      <c r="H1931" t="str">
        <f t="shared" si="43"/>
        <v>GUARDIAN</v>
      </c>
    </row>
    <row r="1932" spans="5:8" x14ac:dyDescent="0.25">
      <c r="E1932" t="str">
        <f>""</f>
        <v/>
      </c>
      <c r="F1932" t="str">
        <f>""</f>
        <v/>
      </c>
      <c r="H1932" t="str">
        <f t="shared" si="43"/>
        <v>GUARDIAN</v>
      </c>
    </row>
    <row r="1933" spans="5:8" x14ac:dyDescent="0.25">
      <c r="E1933" t="str">
        <f>""</f>
        <v/>
      </c>
      <c r="F1933" t="str">
        <f>""</f>
        <v/>
      </c>
      <c r="H1933" t="str">
        <f t="shared" si="43"/>
        <v>GUARDIAN</v>
      </c>
    </row>
    <row r="1934" spans="5:8" x14ac:dyDescent="0.25">
      <c r="E1934" t="str">
        <f>""</f>
        <v/>
      </c>
      <c r="F1934" t="str">
        <f>""</f>
        <v/>
      </c>
      <c r="H1934" t="str">
        <f t="shared" si="43"/>
        <v>GUARDIAN</v>
      </c>
    </row>
    <row r="1935" spans="5:8" x14ac:dyDescent="0.25">
      <c r="E1935" t="str">
        <f>""</f>
        <v/>
      </c>
      <c r="F1935" t="str">
        <f>""</f>
        <v/>
      </c>
      <c r="H1935" t="str">
        <f t="shared" si="43"/>
        <v>GUARDIAN</v>
      </c>
    </row>
    <row r="1936" spans="5:8" x14ac:dyDescent="0.25">
      <c r="E1936" t="str">
        <f>""</f>
        <v/>
      </c>
      <c r="F1936" t="str">
        <f>""</f>
        <v/>
      </c>
      <c r="H1936" t="str">
        <f t="shared" si="43"/>
        <v>GUARDIAN</v>
      </c>
    </row>
    <row r="1937" spans="5:8" x14ac:dyDescent="0.25">
      <c r="E1937" t="str">
        <f>"LIA202106224152"</f>
        <v>LIA202106224152</v>
      </c>
      <c r="F1937" t="str">
        <f>"GUARDIAN"</f>
        <v>GUARDIAN</v>
      </c>
      <c r="G1937" s="4">
        <v>40.99</v>
      </c>
      <c r="H1937" t="str">
        <f t="shared" si="43"/>
        <v>GUARDIAN</v>
      </c>
    </row>
    <row r="1938" spans="5:8" x14ac:dyDescent="0.25">
      <c r="E1938" t="str">
        <f>""</f>
        <v/>
      </c>
      <c r="F1938" t="str">
        <f>""</f>
        <v/>
      </c>
      <c r="H1938" t="str">
        <f t="shared" si="43"/>
        <v>GUARDIAN</v>
      </c>
    </row>
    <row r="1939" spans="5:8" x14ac:dyDescent="0.25">
      <c r="E1939" t="str">
        <f>"LIC202106093830"</f>
        <v>LIC202106093830</v>
      </c>
      <c r="F1939" t="str">
        <f>"GUARDIAN"</f>
        <v>GUARDIAN</v>
      </c>
      <c r="G1939" s="4">
        <v>36.82</v>
      </c>
      <c r="H1939" t="str">
        <f t="shared" si="43"/>
        <v>GUARDIAN</v>
      </c>
    </row>
    <row r="1940" spans="5:8" x14ac:dyDescent="0.25">
      <c r="E1940" t="str">
        <f>"LIC202106093832"</f>
        <v>LIC202106093832</v>
      </c>
      <c r="F1940" t="str">
        <f>"GUARDIAN"</f>
        <v>GUARDIAN</v>
      </c>
      <c r="G1940" s="4">
        <v>0.7</v>
      </c>
      <c r="H1940" t="str">
        <f t="shared" si="43"/>
        <v>GUARDIAN</v>
      </c>
    </row>
    <row r="1941" spans="5:8" x14ac:dyDescent="0.25">
      <c r="E1941" t="str">
        <f>"LIC202106224151"</f>
        <v>LIC202106224151</v>
      </c>
      <c r="F1941" t="str">
        <f>"GUARDIAN"</f>
        <v>GUARDIAN</v>
      </c>
      <c r="G1941" s="4">
        <v>35.42</v>
      </c>
      <c r="H1941" t="str">
        <f t="shared" si="43"/>
        <v>GUARDIAN</v>
      </c>
    </row>
    <row r="1942" spans="5:8" x14ac:dyDescent="0.25">
      <c r="E1942" t="str">
        <f>"LIC202106224152"</f>
        <v>LIC202106224152</v>
      </c>
      <c r="F1942" t="str">
        <f>"GUARDIAN"</f>
        <v>GUARDIAN</v>
      </c>
      <c r="G1942" s="4">
        <v>0.7</v>
      </c>
      <c r="H1942" t="str">
        <f t="shared" si="43"/>
        <v>GUARDIAN</v>
      </c>
    </row>
    <row r="1943" spans="5:8" x14ac:dyDescent="0.25">
      <c r="E1943" t="str">
        <f>"LIE202106093830"</f>
        <v>LIE202106093830</v>
      </c>
      <c r="F1943" t="str">
        <f>"GUARDIAN"</f>
        <v>GUARDIAN</v>
      </c>
      <c r="G1943" s="4">
        <v>3664.8</v>
      </c>
      <c r="H1943" t="str">
        <f t="shared" si="43"/>
        <v>GUARDIAN</v>
      </c>
    </row>
    <row r="1944" spans="5:8" x14ac:dyDescent="0.25">
      <c r="E1944" t="str">
        <f>""</f>
        <v/>
      </c>
      <c r="F1944" t="str">
        <f>""</f>
        <v/>
      </c>
      <c r="H1944" t="str">
        <f t="shared" si="43"/>
        <v>GUARDIAN</v>
      </c>
    </row>
    <row r="1945" spans="5:8" x14ac:dyDescent="0.25">
      <c r="E1945" t="str">
        <f>""</f>
        <v/>
      </c>
      <c r="F1945" t="str">
        <f>""</f>
        <v/>
      </c>
      <c r="H1945" t="str">
        <f t="shared" si="43"/>
        <v>GUARDIAN</v>
      </c>
    </row>
    <row r="1946" spans="5:8" x14ac:dyDescent="0.25">
      <c r="E1946" t="str">
        <f>""</f>
        <v/>
      </c>
      <c r="F1946" t="str">
        <f>""</f>
        <v/>
      </c>
      <c r="H1946" t="str">
        <f t="shared" si="43"/>
        <v>GUARDIAN</v>
      </c>
    </row>
    <row r="1947" spans="5:8" x14ac:dyDescent="0.25">
      <c r="E1947" t="str">
        <f>""</f>
        <v/>
      </c>
      <c r="F1947" t="str">
        <f>""</f>
        <v/>
      </c>
      <c r="H1947" t="str">
        <f t="shared" si="43"/>
        <v>GUARDIAN</v>
      </c>
    </row>
    <row r="1948" spans="5:8" x14ac:dyDescent="0.25">
      <c r="E1948" t="str">
        <f>""</f>
        <v/>
      </c>
      <c r="F1948" t="str">
        <f>""</f>
        <v/>
      </c>
      <c r="H1948" t="str">
        <f t="shared" si="43"/>
        <v>GUARDIAN</v>
      </c>
    </row>
    <row r="1949" spans="5:8" x14ac:dyDescent="0.25">
      <c r="E1949" t="str">
        <f>""</f>
        <v/>
      </c>
      <c r="F1949" t="str">
        <f>""</f>
        <v/>
      </c>
      <c r="H1949" t="str">
        <f t="shared" ref="H1949:H1980" si="44">"GUARDIAN"</f>
        <v>GUARDIAN</v>
      </c>
    </row>
    <row r="1950" spans="5:8" x14ac:dyDescent="0.25">
      <c r="E1950" t="str">
        <f>""</f>
        <v/>
      </c>
      <c r="F1950" t="str">
        <f>""</f>
        <v/>
      </c>
      <c r="H1950" t="str">
        <f t="shared" si="44"/>
        <v>GUARDIAN</v>
      </c>
    </row>
    <row r="1951" spans="5:8" x14ac:dyDescent="0.25">
      <c r="E1951" t="str">
        <f>""</f>
        <v/>
      </c>
      <c r="F1951" t="str">
        <f>""</f>
        <v/>
      </c>
      <c r="H1951" t="str">
        <f t="shared" si="44"/>
        <v>GUARDIAN</v>
      </c>
    </row>
    <row r="1952" spans="5:8" x14ac:dyDescent="0.25">
      <c r="E1952" t="str">
        <f>""</f>
        <v/>
      </c>
      <c r="F1952" t="str">
        <f>""</f>
        <v/>
      </c>
      <c r="H1952" t="str">
        <f t="shared" si="44"/>
        <v>GUARDIAN</v>
      </c>
    </row>
    <row r="1953" spans="5:8" x14ac:dyDescent="0.25">
      <c r="E1953" t="str">
        <f>""</f>
        <v/>
      </c>
      <c r="F1953" t="str">
        <f>""</f>
        <v/>
      </c>
      <c r="H1953" t="str">
        <f t="shared" si="44"/>
        <v>GUARDIAN</v>
      </c>
    </row>
    <row r="1954" spans="5:8" x14ac:dyDescent="0.25">
      <c r="E1954" t="str">
        <f>""</f>
        <v/>
      </c>
      <c r="F1954" t="str">
        <f>""</f>
        <v/>
      </c>
      <c r="H1954" t="str">
        <f t="shared" si="44"/>
        <v>GUARDIAN</v>
      </c>
    </row>
    <row r="1955" spans="5:8" x14ac:dyDescent="0.25">
      <c r="E1955" t="str">
        <f>""</f>
        <v/>
      </c>
      <c r="F1955" t="str">
        <f>""</f>
        <v/>
      </c>
      <c r="H1955" t="str">
        <f t="shared" si="44"/>
        <v>GUARDIAN</v>
      </c>
    </row>
    <row r="1956" spans="5:8" x14ac:dyDescent="0.25">
      <c r="E1956" t="str">
        <f>""</f>
        <v/>
      </c>
      <c r="F1956" t="str">
        <f>""</f>
        <v/>
      </c>
      <c r="H1956" t="str">
        <f t="shared" si="44"/>
        <v>GUARDIAN</v>
      </c>
    </row>
    <row r="1957" spans="5:8" x14ac:dyDescent="0.25">
      <c r="E1957" t="str">
        <f>""</f>
        <v/>
      </c>
      <c r="F1957" t="str">
        <f>""</f>
        <v/>
      </c>
      <c r="H1957" t="str">
        <f t="shared" si="44"/>
        <v>GUARDIAN</v>
      </c>
    </row>
    <row r="1958" spans="5:8" x14ac:dyDescent="0.25">
      <c r="E1958" t="str">
        <f>""</f>
        <v/>
      </c>
      <c r="F1958" t="str">
        <f>""</f>
        <v/>
      </c>
      <c r="H1958" t="str">
        <f t="shared" si="44"/>
        <v>GUARDIAN</v>
      </c>
    </row>
    <row r="1959" spans="5:8" x14ac:dyDescent="0.25">
      <c r="E1959" t="str">
        <f>""</f>
        <v/>
      </c>
      <c r="F1959" t="str">
        <f>""</f>
        <v/>
      </c>
      <c r="H1959" t="str">
        <f t="shared" si="44"/>
        <v>GUARDIAN</v>
      </c>
    </row>
    <row r="1960" spans="5:8" x14ac:dyDescent="0.25">
      <c r="E1960" t="str">
        <f>""</f>
        <v/>
      </c>
      <c r="F1960" t="str">
        <f>""</f>
        <v/>
      </c>
      <c r="H1960" t="str">
        <f t="shared" si="44"/>
        <v>GUARDIAN</v>
      </c>
    </row>
    <row r="1961" spans="5:8" x14ac:dyDescent="0.25">
      <c r="E1961" t="str">
        <f>""</f>
        <v/>
      </c>
      <c r="F1961" t="str">
        <f>""</f>
        <v/>
      </c>
      <c r="H1961" t="str">
        <f t="shared" si="44"/>
        <v>GUARDIAN</v>
      </c>
    </row>
    <row r="1962" spans="5:8" x14ac:dyDescent="0.25">
      <c r="E1962" t="str">
        <f>""</f>
        <v/>
      </c>
      <c r="F1962" t="str">
        <f>""</f>
        <v/>
      </c>
      <c r="H1962" t="str">
        <f t="shared" si="44"/>
        <v>GUARDIAN</v>
      </c>
    </row>
    <row r="1963" spans="5:8" x14ac:dyDescent="0.25">
      <c r="E1963" t="str">
        <f>""</f>
        <v/>
      </c>
      <c r="F1963" t="str">
        <f>""</f>
        <v/>
      </c>
      <c r="H1963" t="str">
        <f t="shared" si="44"/>
        <v>GUARDIAN</v>
      </c>
    </row>
    <row r="1964" spans="5:8" x14ac:dyDescent="0.25">
      <c r="E1964" t="str">
        <f>""</f>
        <v/>
      </c>
      <c r="F1964" t="str">
        <f>""</f>
        <v/>
      </c>
      <c r="H1964" t="str">
        <f t="shared" si="44"/>
        <v>GUARDIAN</v>
      </c>
    </row>
    <row r="1965" spans="5:8" x14ac:dyDescent="0.25">
      <c r="E1965" t="str">
        <f>""</f>
        <v/>
      </c>
      <c r="F1965" t="str">
        <f>""</f>
        <v/>
      </c>
      <c r="H1965" t="str">
        <f t="shared" si="44"/>
        <v>GUARDIAN</v>
      </c>
    </row>
    <row r="1966" spans="5:8" x14ac:dyDescent="0.25">
      <c r="E1966" t="str">
        <f>""</f>
        <v/>
      </c>
      <c r="F1966" t="str">
        <f>""</f>
        <v/>
      </c>
      <c r="H1966" t="str">
        <f t="shared" si="44"/>
        <v>GUARDIAN</v>
      </c>
    </row>
    <row r="1967" spans="5:8" x14ac:dyDescent="0.25">
      <c r="E1967" t="str">
        <f>""</f>
        <v/>
      </c>
      <c r="F1967" t="str">
        <f>""</f>
        <v/>
      </c>
      <c r="H1967" t="str">
        <f t="shared" si="44"/>
        <v>GUARDIAN</v>
      </c>
    </row>
    <row r="1968" spans="5:8" x14ac:dyDescent="0.25">
      <c r="E1968" t="str">
        <f>""</f>
        <v/>
      </c>
      <c r="F1968" t="str">
        <f>""</f>
        <v/>
      </c>
      <c r="H1968" t="str">
        <f t="shared" si="44"/>
        <v>GUARDIAN</v>
      </c>
    </row>
    <row r="1969" spans="5:8" x14ac:dyDescent="0.25">
      <c r="E1969" t="str">
        <f>""</f>
        <v/>
      </c>
      <c r="F1969" t="str">
        <f>""</f>
        <v/>
      </c>
      <c r="H1969" t="str">
        <f t="shared" si="44"/>
        <v>GUARDIAN</v>
      </c>
    </row>
    <row r="1970" spans="5:8" x14ac:dyDescent="0.25">
      <c r="E1970" t="str">
        <f>""</f>
        <v/>
      </c>
      <c r="F1970" t="str">
        <f>""</f>
        <v/>
      </c>
      <c r="H1970" t="str">
        <f t="shared" si="44"/>
        <v>GUARDIAN</v>
      </c>
    </row>
    <row r="1971" spans="5:8" x14ac:dyDescent="0.25">
      <c r="E1971" t="str">
        <f>""</f>
        <v/>
      </c>
      <c r="F1971" t="str">
        <f>""</f>
        <v/>
      </c>
      <c r="H1971" t="str">
        <f t="shared" si="44"/>
        <v>GUARDIAN</v>
      </c>
    </row>
    <row r="1972" spans="5:8" x14ac:dyDescent="0.25">
      <c r="E1972" t="str">
        <f>""</f>
        <v/>
      </c>
      <c r="F1972" t="str">
        <f>""</f>
        <v/>
      </c>
      <c r="H1972" t="str">
        <f t="shared" si="44"/>
        <v>GUARDIAN</v>
      </c>
    </row>
    <row r="1973" spans="5:8" x14ac:dyDescent="0.25">
      <c r="E1973" t="str">
        <f>""</f>
        <v/>
      </c>
      <c r="F1973" t="str">
        <f>""</f>
        <v/>
      </c>
      <c r="H1973" t="str">
        <f t="shared" si="44"/>
        <v>GUARDIAN</v>
      </c>
    </row>
    <row r="1974" spans="5:8" x14ac:dyDescent="0.25">
      <c r="E1974" t="str">
        <f>""</f>
        <v/>
      </c>
      <c r="F1974" t="str">
        <f>""</f>
        <v/>
      </c>
      <c r="H1974" t="str">
        <f t="shared" si="44"/>
        <v>GUARDIAN</v>
      </c>
    </row>
    <row r="1975" spans="5:8" x14ac:dyDescent="0.25">
      <c r="E1975" t="str">
        <f>""</f>
        <v/>
      </c>
      <c r="F1975" t="str">
        <f>""</f>
        <v/>
      </c>
      <c r="H1975" t="str">
        <f t="shared" si="44"/>
        <v>GUARDIAN</v>
      </c>
    </row>
    <row r="1976" spans="5:8" x14ac:dyDescent="0.25">
      <c r="E1976" t="str">
        <f>""</f>
        <v/>
      </c>
      <c r="F1976" t="str">
        <f>""</f>
        <v/>
      </c>
      <c r="H1976" t="str">
        <f t="shared" si="44"/>
        <v>GUARDIAN</v>
      </c>
    </row>
    <row r="1977" spans="5:8" x14ac:dyDescent="0.25">
      <c r="E1977" t="str">
        <f>""</f>
        <v/>
      </c>
      <c r="F1977" t="str">
        <f>""</f>
        <v/>
      </c>
      <c r="H1977" t="str">
        <f t="shared" si="44"/>
        <v>GUARDIAN</v>
      </c>
    </row>
    <row r="1978" spans="5:8" x14ac:dyDescent="0.25">
      <c r="E1978" t="str">
        <f>""</f>
        <v/>
      </c>
      <c r="F1978" t="str">
        <f>""</f>
        <v/>
      </c>
      <c r="H1978" t="str">
        <f t="shared" si="44"/>
        <v>GUARDIAN</v>
      </c>
    </row>
    <row r="1979" spans="5:8" x14ac:dyDescent="0.25">
      <c r="E1979" t="str">
        <f>""</f>
        <v/>
      </c>
      <c r="F1979" t="str">
        <f>""</f>
        <v/>
      </c>
      <c r="H1979" t="str">
        <f t="shared" si="44"/>
        <v>GUARDIAN</v>
      </c>
    </row>
    <row r="1980" spans="5:8" x14ac:dyDescent="0.25">
      <c r="E1980" t="str">
        <f>""</f>
        <v/>
      </c>
      <c r="F1980" t="str">
        <f>""</f>
        <v/>
      </c>
      <c r="H1980" t="str">
        <f t="shared" si="44"/>
        <v>GUARDIAN</v>
      </c>
    </row>
    <row r="1981" spans="5:8" x14ac:dyDescent="0.25">
      <c r="E1981" t="str">
        <f>""</f>
        <v/>
      </c>
      <c r="F1981" t="str">
        <f>""</f>
        <v/>
      </c>
      <c r="H1981" t="str">
        <f t="shared" ref="H1981:H2012" si="45">"GUARDIAN"</f>
        <v>GUARDIAN</v>
      </c>
    </row>
    <row r="1982" spans="5:8" x14ac:dyDescent="0.25">
      <c r="E1982" t="str">
        <f>""</f>
        <v/>
      </c>
      <c r="F1982" t="str">
        <f>""</f>
        <v/>
      </c>
      <c r="H1982" t="str">
        <f t="shared" si="45"/>
        <v>GUARDIAN</v>
      </c>
    </row>
    <row r="1983" spans="5:8" x14ac:dyDescent="0.25">
      <c r="E1983" t="str">
        <f>""</f>
        <v/>
      </c>
      <c r="F1983" t="str">
        <f>""</f>
        <v/>
      </c>
      <c r="H1983" t="str">
        <f t="shared" si="45"/>
        <v>GUARDIAN</v>
      </c>
    </row>
    <row r="1984" spans="5:8" x14ac:dyDescent="0.25">
      <c r="E1984" t="str">
        <f>""</f>
        <v/>
      </c>
      <c r="F1984" t="str">
        <f>""</f>
        <v/>
      </c>
      <c r="H1984" t="str">
        <f t="shared" si="45"/>
        <v>GUARDIAN</v>
      </c>
    </row>
    <row r="1985" spans="5:8" x14ac:dyDescent="0.25">
      <c r="E1985" t="str">
        <f>""</f>
        <v/>
      </c>
      <c r="F1985" t="str">
        <f>""</f>
        <v/>
      </c>
      <c r="H1985" t="str">
        <f t="shared" si="45"/>
        <v>GUARDIAN</v>
      </c>
    </row>
    <row r="1986" spans="5:8" x14ac:dyDescent="0.25">
      <c r="E1986" t="str">
        <f>""</f>
        <v/>
      </c>
      <c r="F1986" t="str">
        <f>""</f>
        <v/>
      </c>
      <c r="H1986" t="str">
        <f t="shared" si="45"/>
        <v>GUARDIAN</v>
      </c>
    </row>
    <row r="1987" spans="5:8" x14ac:dyDescent="0.25">
      <c r="E1987" t="str">
        <f>""</f>
        <v/>
      </c>
      <c r="F1987" t="str">
        <f>""</f>
        <v/>
      </c>
      <c r="H1987" t="str">
        <f t="shared" si="45"/>
        <v>GUARDIAN</v>
      </c>
    </row>
    <row r="1988" spans="5:8" x14ac:dyDescent="0.25">
      <c r="E1988" t="str">
        <f>""</f>
        <v/>
      </c>
      <c r="F1988" t="str">
        <f>""</f>
        <v/>
      </c>
      <c r="H1988" t="str">
        <f t="shared" si="45"/>
        <v>GUARDIAN</v>
      </c>
    </row>
    <row r="1989" spans="5:8" x14ac:dyDescent="0.25">
      <c r="E1989" t="str">
        <f>""</f>
        <v/>
      </c>
      <c r="F1989" t="str">
        <f>""</f>
        <v/>
      </c>
      <c r="H1989" t="str">
        <f t="shared" si="45"/>
        <v>GUARDIAN</v>
      </c>
    </row>
    <row r="1990" spans="5:8" x14ac:dyDescent="0.25">
      <c r="E1990" t="str">
        <f>""</f>
        <v/>
      </c>
      <c r="F1990" t="str">
        <f>""</f>
        <v/>
      </c>
      <c r="H1990" t="str">
        <f t="shared" si="45"/>
        <v>GUARDIAN</v>
      </c>
    </row>
    <row r="1991" spans="5:8" x14ac:dyDescent="0.25">
      <c r="E1991" t="str">
        <f>""</f>
        <v/>
      </c>
      <c r="F1991" t="str">
        <f>""</f>
        <v/>
      </c>
      <c r="H1991" t="str">
        <f t="shared" si="45"/>
        <v>GUARDIAN</v>
      </c>
    </row>
    <row r="1992" spans="5:8" x14ac:dyDescent="0.25">
      <c r="E1992" t="str">
        <f>""</f>
        <v/>
      </c>
      <c r="F1992" t="str">
        <f>""</f>
        <v/>
      </c>
      <c r="H1992" t="str">
        <f t="shared" si="45"/>
        <v>GUARDIAN</v>
      </c>
    </row>
    <row r="1993" spans="5:8" x14ac:dyDescent="0.25">
      <c r="E1993" t="str">
        <f>""</f>
        <v/>
      </c>
      <c r="F1993" t="str">
        <f>""</f>
        <v/>
      </c>
      <c r="H1993" t="str">
        <f t="shared" si="45"/>
        <v>GUARDIAN</v>
      </c>
    </row>
    <row r="1994" spans="5:8" x14ac:dyDescent="0.25">
      <c r="E1994" t="str">
        <f>"LIE202106093832"</f>
        <v>LIE202106093832</v>
      </c>
      <c r="F1994" t="str">
        <f>"GUARDIAN"</f>
        <v>GUARDIAN</v>
      </c>
      <c r="G1994" s="4">
        <v>75.099999999999994</v>
      </c>
      <c r="H1994" t="str">
        <f t="shared" si="45"/>
        <v>GUARDIAN</v>
      </c>
    </row>
    <row r="1995" spans="5:8" x14ac:dyDescent="0.25">
      <c r="E1995" t="str">
        <f>""</f>
        <v/>
      </c>
      <c r="F1995" t="str">
        <f>""</f>
        <v/>
      </c>
      <c r="H1995" t="str">
        <f t="shared" si="45"/>
        <v>GUARDIAN</v>
      </c>
    </row>
    <row r="1996" spans="5:8" x14ac:dyDescent="0.25">
      <c r="E1996" t="str">
        <f>"LIE202106224151"</f>
        <v>LIE202106224151</v>
      </c>
      <c r="F1996" t="str">
        <f>"GUARDIAN"</f>
        <v>GUARDIAN</v>
      </c>
      <c r="G1996" s="4">
        <v>3532</v>
      </c>
      <c r="H1996" t="str">
        <f t="shared" si="45"/>
        <v>GUARDIAN</v>
      </c>
    </row>
    <row r="1997" spans="5:8" x14ac:dyDescent="0.25">
      <c r="E1997" t="str">
        <f>""</f>
        <v/>
      </c>
      <c r="F1997" t="str">
        <f>""</f>
        <v/>
      </c>
      <c r="H1997" t="str">
        <f t="shared" si="45"/>
        <v>GUARDIAN</v>
      </c>
    </row>
    <row r="1998" spans="5:8" x14ac:dyDescent="0.25">
      <c r="E1998" t="str">
        <f>""</f>
        <v/>
      </c>
      <c r="F1998" t="str">
        <f>""</f>
        <v/>
      </c>
      <c r="H1998" t="str">
        <f t="shared" si="45"/>
        <v>GUARDIAN</v>
      </c>
    </row>
    <row r="1999" spans="5:8" x14ac:dyDescent="0.25">
      <c r="E1999" t="str">
        <f>""</f>
        <v/>
      </c>
      <c r="F1999" t="str">
        <f>""</f>
        <v/>
      </c>
      <c r="H1999" t="str">
        <f t="shared" si="45"/>
        <v>GUARDIAN</v>
      </c>
    </row>
    <row r="2000" spans="5:8" x14ac:dyDescent="0.25">
      <c r="E2000" t="str">
        <f>""</f>
        <v/>
      </c>
      <c r="F2000" t="str">
        <f>""</f>
        <v/>
      </c>
      <c r="H2000" t="str">
        <f t="shared" si="45"/>
        <v>GUARDIAN</v>
      </c>
    </row>
    <row r="2001" spans="5:8" x14ac:dyDescent="0.25">
      <c r="E2001" t="str">
        <f>""</f>
        <v/>
      </c>
      <c r="F2001" t="str">
        <f>""</f>
        <v/>
      </c>
      <c r="H2001" t="str">
        <f t="shared" si="45"/>
        <v>GUARDIAN</v>
      </c>
    </row>
    <row r="2002" spans="5:8" x14ac:dyDescent="0.25">
      <c r="E2002" t="str">
        <f>""</f>
        <v/>
      </c>
      <c r="F2002" t="str">
        <f>""</f>
        <v/>
      </c>
      <c r="H2002" t="str">
        <f t="shared" si="45"/>
        <v>GUARDIAN</v>
      </c>
    </row>
    <row r="2003" spans="5:8" x14ac:dyDescent="0.25">
      <c r="E2003" t="str">
        <f>""</f>
        <v/>
      </c>
      <c r="F2003" t="str">
        <f>""</f>
        <v/>
      </c>
      <c r="H2003" t="str">
        <f t="shared" si="45"/>
        <v>GUARDIAN</v>
      </c>
    </row>
    <row r="2004" spans="5:8" x14ac:dyDescent="0.25">
      <c r="E2004" t="str">
        <f>""</f>
        <v/>
      </c>
      <c r="F2004" t="str">
        <f>""</f>
        <v/>
      </c>
      <c r="H2004" t="str">
        <f t="shared" si="45"/>
        <v>GUARDIAN</v>
      </c>
    </row>
    <row r="2005" spans="5:8" x14ac:dyDescent="0.25">
      <c r="E2005" t="str">
        <f>""</f>
        <v/>
      </c>
      <c r="F2005" t="str">
        <f>""</f>
        <v/>
      </c>
      <c r="H2005" t="str">
        <f t="shared" si="45"/>
        <v>GUARDIAN</v>
      </c>
    </row>
    <row r="2006" spans="5:8" x14ac:dyDescent="0.25">
      <c r="E2006" t="str">
        <f>""</f>
        <v/>
      </c>
      <c r="F2006" t="str">
        <f>""</f>
        <v/>
      </c>
      <c r="H2006" t="str">
        <f t="shared" si="45"/>
        <v>GUARDIAN</v>
      </c>
    </row>
    <row r="2007" spans="5:8" x14ac:dyDescent="0.25">
      <c r="E2007" t="str">
        <f>""</f>
        <v/>
      </c>
      <c r="F2007" t="str">
        <f>""</f>
        <v/>
      </c>
      <c r="H2007" t="str">
        <f t="shared" si="45"/>
        <v>GUARDIAN</v>
      </c>
    </row>
    <row r="2008" spans="5:8" x14ac:dyDescent="0.25">
      <c r="E2008" t="str">
        <f>""</f>
        <v/>
      </c>
      <c r="F2008" t="str">
        <f>""</f>
        <v/>
      </c>
      <c r="H2008" t="str">
        <f t="shared" si="45"/>
        <v>GUARDIAN</v>
      </c>
    </row>
    <row r="2009" spans="5:8" x14ac:dyDescent="0.25">
      <c r="E2009" t="str">
        <f>""</f>
        <v/>
      </c>
      <c r="F2009" t="str">
        <f>""</f>
        <v/>
      </c>
      <c r="H2009" t="str">
        <f t="shared" si="45"/>
        <v>GUARDIAN</v>
      </c>
    </row>
    <row r="2010" spans="5:8" x14ac:dyDescent="0.25">
      <c r="E2010" t="str">
        <f>""</f>
        <v/>
      </c>
      <c r="F2010" t="str">
        <f>""</f>
        <v/>
      </c>
      <c r="H2010" t="str">
        <f t="shared" si="45"/>
        <v>GUARDIAN</v>
      </c>
    </row>
    <row r="2011" spans="5:8" x14ac:dyDescent="0.25">
      <c r="E2011" t="str">
        <f>""</f>
        <v/>
      </c>
      <c r="F2011" t="str">
        <f>""</f>
        <v/>
      </c>
      <c r="H2011" t="str">
        <f t="shared" si="45"/>
        <v>GUARDIAN</v>
      </c>
    </row>
    <row r="2012" spans="5:8" x14ac:dyDescent="0.25">
      <c r="E2012" t="str">
        <f>""</f>
        <v/>
      </c>
      <c r="F2012" t="str">
        <f>""</f>
        <v/>
      </c>
      <c r="H2012" t="str">
        <f t="shared" si="45"/>
        <v>GUARDIAN</v>
      </c>
    </row>
    <row r="2013" spans="5:8" x14ac:dyDescent="0.25">
      <c r="E2013" t="str">
        <f>""</f>
        <v/>
      </c>
      <c r="F2013" t="str">
        <f>""</f>
        <v/>
      </c>
      <c r="H2013" t="str">
        <f t="shared" ref="H2013:H2044" si="46">"GUARDIAN"</f>
        <v>GUARDIAN</v>
      </c>
    </row>
    <row r="2014" spans="5:8" x14ac:dyDescent="0.25">
      <c r="E2014" t="str">
        <f>""</f>
        <v/>
      </c>
      <c r="F2014" t="str">
        <f>""</f>
        <v/>
      </c>
      <c r="H2014" t="str">
        <f t="shared" si="46"/>
        <v>GUARDIAN</v>
      </c>
    </row>
    <row r="2015" spans="5:8" x14ac:dyDescent="0.25">
      <c r="E2015" t="str">
        <f>""</f>
        <v/>
      </c>
      <c r="F2015" t="str">
        <f>""</f>
        <v/>
      </c>
      <c r="H2015" t="str">
        <f t="shared" si="46"/>
        <v>GUARDIAN</v>
      </c>
    </row>
    <row r="2016" spans="5:8" x14ac:dyDescent="0.25">
      <c r="E2016" t="str">
        <f>""</f>
        <v/>
      </c>
      <c r="F2016" t="str">
        <f>""</f>
        <v/>
      </c>
      <c r="H2016" t="str">
        <f t="shared" si="46"/>
        <v>GUARDIAN</v>
      </c>
    </row>
    <row r="2017" spans="5:8" x14ac:dyDescent="0.25">
      <c r="E2017" t="str">
        <f>""</f>
        <v/>
      </c>
      <c r="F2017" t="str">
        <f>""</f>
        <v/>
      </c>
      <c r="H2017" t="str">
        <f t="shared" si="46"/>
        <v>GUARDIAN</v>
      </c>
    </row>
    <row r="2018" spans="5:8" x14ac:dyDescent="0.25">
      <c r="E2018" t="str">
        <f>""</f>
        <v/>
      </c>
      <c r="F2018" t="str">
        <f>""</f>
        <v/>
      </c>
      <c r="H2018" t="str">
        <f t="shared" si="46"/>
        <v>GUARDIAN</v>
      </c>
    </row>
    <row r="2019" spans="5:8" x14ac:dyDescent="0.25">
      <c r="E2019" t="str">
        <f>""</f>
        <v/>
      </c>
      <c r="F2019" t="str">
        <f>""</f>
        <v/>
      </c>
      <c r="H2019" t="str">
        <f t="shared" si="46"/>
        <v>GUARDIAN</v>
      </c>
    </row>
    <row r="2020" spans="5:8" x14ac:dyDescent="0.25">
      <c r="E2020" t="str">
        <f>""</f>
        <v/>
      </c>
      <c r="F2020" t="str">
        <f>""</f>
        <v/>
      </c>
      <c r="H2020" t="str">
        <f t="shared" si="46"/>
        <v>GUARDIAN</v>
      </c>
    </row>
    <row r="2021" spans="5:8" x14ac:dyDescent="0.25">
      <c r="E2021" t="str">
        <f>""</f>
        <v/>
      </c>
      <c r="F2021" t="str">
        <f>""</f>
        <v/>
      </c>
      <c r="H2021" t="str">
        <f t="shared" si="46"/>
        <v>GUARDIAN</v>
      </c>
    </row>
    <row r="2022" spans="5:8" x14ac:dyDescent="0.25">
      <c r="E2022" t="str">
        <f>""</f>
        <v/>
      </c>
      <c r="F2022" t="str">
        <f>""</f>
        <v/>
      </c>
      <c r="H2022" t="str">
        <f t="shared" si="46"/>
        <v>GUARDIAN</v>
      </c>
    </row>
    <row r="2023" spans="5:8" x14ac:dyDescent="0.25">
      <c r="E2023" t="str">
        <f>""</f>
        <v/>
      </c>
      <c r="F2023" t="str">
        <f>""</f>
        <v/>
      </c>
      <c r="H2023" t="str">
        <f t="shared" si="46"/>
        <v>GUARDIAN</v>
      </c>
    </row>
    <row r="2024" spans="5:8" x14ac:dyDescent="0.25">
      <c r="E2024" t="str">
        <f>""</f>
        <v/>
      </c>
      <c r="F2024" t="str">
        <f>""</f>
        <v/>
      </c>
      <c r="H2024" t="str">
        <f t="shared" si="46"/>
        <v>GUARDIAN</v>
      </c>
    </row>
    <row r="2025" spans="5:8" x14ac:dyDescent="0.25">
      <c r="E2025" t="str">
        <f>""</f>
        <v/>
      </c>
      <c r="F2025" t="str">
        <f>""</f>
        <v/>
      </c>
      <c r="H2025" t="str">
        <f t="shared" si="46"/>
        <v>GUARDIAN</v>
      </c>
    </row>
    <row r="2026" spans="5:8" x14ac:dyDescent="0.25">
      <c r="E2026" t="str">
        <f>""</f>
        <v/>
      </c>
      <c r="F2026" t="str">
        <f>""</f>
        <v/>
      </c>
      <c r="H2026" t="str">
        <f t="shared" si="46"/>
        <v>GUARDIAN</v>
      </c>
    </row>
    <row r="2027" spans="5:8" x14ac:dyDescent="0.25">
      <c r="E2027" t="str">
        <f>""</f>
        <v/>
      </c>
      <c r="F2027" t="str">
        <f>""</f>
        <v/>
      </c>
      <c r="H2027" t="str">
        <f t="shared" si="46"/>
        <v>GUARDIAN</v>
      </c>
    </row>
    <row r="2028" spans="5:8" x14ac:dyDescent="0.25">
      <c r="E2028" t="str">
        <f>""</f>
        <v/>
      </c>
      <c r="F2028" t="str">
        <f>""</f>
        <v/>
      </c>
      <c r="H2028" t="str">
        <f t="shared" si="46"/>
        <v>GUARDIAN</v>
      </c>
    </row>
    <row r="2029" spans="5:8" x14ac:dyDescent="0.25">
      <c r="E2029" t="str">
        <f>""</f>
        <v/>
      </c>
      <c r="F2029" t="str">
        <f>""</f>
        <v/>
      </c>
      <c r="H2029" t="str">
        <f t="shared" si="46"/>
        <v>GUARDIAN</v>
      </c>
    </row>
    <row r="2030" spans="5:8" x14ac:dyDescent="0.25">
      <c r="E2030" t="str">
        <f>""</f>
        <v/>
      </c>
      <c r="F2030" t="str">
        <f>""</f>
        <v/>
      </c>
      <c r="H2030" t="str">
        <f t="shared" si="46"/>
        <v>GUARDIAN</v>
      </c>
    </row>
    <row r="2031" spans="5:8" x14ac:dyDescent="0.25">
      <c r="E2031" t="str">
        <f>""</f>
        <v/>
      </c>
      <c r="F2031" t="str">
        <f>""</f>
        <v/>
      </c>
      <c r="H2031" t="str">
        <f t="shared" si="46"/>
        <v>GUARDIAN</v>
      </c>
    </row>
    <row r="2032" spans="5:8" x14ac:dyDescent="0.25">
      <c r="E2032" t="str">
        <f>""</f>
        <v/>
      </c>
      <c r="F2032" t="str">
        <f>""</f>
        <v/>
      </c>
      <c r="H2032" t="str">
        <f t="shared" si="46"/>
        <v>GUARDIAN</v>
      </c>
    </row>
    <row r="2033" spans="5:8" x14ac:dyDescent="0.25">
      <c r="E2033" t="str">
        <f>""</f>
        <v/>
      </c>
      <c r="F2033" t="str">
        <f>""</f>
        <v/>
      </c>
      <c r="H2033" t="str">
        <f t="shared" si="46"/>
        <v>GUARDIAN</v>
      </c>
    </row>
    <row r="2034" spans="5:8" x14ac:dyDescent="0.25">
      <c r="E2034" t="str">
        <f>""</f>
        <v/>
      </c>
      <c r="F2034" t="str">
        <f>""</f>
        <v/>
      </c>
      <c r="H2034" t="str">
        <f t="shared" si="46"/>
        <v>GUARDIAN</v>
      </c>
    </row>
    <row r="2035" spans="5:8" x14ac:dyDescent="0.25">
      <c r="E2035" t="str">
        <f>""</f>
        <v/>
      </c>
      <c r="F2035" t="str">
        <f>""</f>
        <v/>
      </c>
      <c r="H2035" t="str">
        <f t="shared" si="46"/>
        <v>GUARDIAN</v>
      </c>
    </row>
    <row r="2036" spans="5:8" x14ac:dyDescent="0.25">
      <c r="E2036" t="str">
        <f>""</f>
        <v/>
      </c>
      <c r="F2036" t="str">
        <f>""</f>
        <v/>
      </c>
      <c r="H2036" t="str">
        <f t="shared" si="46"/>
        <v>GUARDIAN</v>
      </c>
    </row>
    <row r="2037" spans="5:8" x14ac:dyDescent="0.25">
      <c r="E2037" t="str">
        <f>""</f>
        <v/>
      </c>
      <c r="F2037" t="str">
        <f>""</f>
        <v/>
      </c>
      <c r="H2037" t="str">
        <f t="shared" si="46"/>
        <v>GUARDIAN</v>
      </c>
    </row>
    <row r="2038" spans="5:8" x14ac:dyDescent="0.25">
      <c r="E2038" t="str">
        <f>""</f>
        <v/>
      </c>
      <c r="F2038" t="str">
        <f>""</f>
        <v/>
      </c>
      <c r="H2038" t="str">
        <f t="shared" si="46"/>
        <v>GUARDIAN</v>
      </c>
    </row>
    <row r="2039" spans="5:8" x14ac:dyDescent="0.25">
      <c r="E2039" t="str">
        <f>""</f>
        <v/>
      </c>
      <c r="F2039" t="str">
        <f>""</f>
        <v/>
      </c>
      <c r="H2039" t="str">
        <f t="shared" si="46"/>
        <v>GUARDIAN</v>
      </c>
    </row>
    <row r="2040" spans="5:8" x14ac:dyDescent="0.25">
      <c r="E2040" t="str">
        <f>""</f>
        <v/>
      </c>
      <c r="F2040" t="str">
        <f>""</f>
        <v/>
      </c>
      <c r="H2040" t="str">
        <f t="shared" si="46"/>
        <v>GUARDIAN</v>
      </c>
    </row>
    <row r="2041" spans="5:8" x14ac:dyDescent="0.25">
      <c r="E2041" t="str">
        <f>""</f>
        <v/>
      </c>
      <c r="F2041" t="str">
        <f>""</f>
        <v/>
      </c>
      <c r="H2041" t="str">
        <f t="shared" si="46"/>
        <v>GUARDIAN</v>
      </c>
    </row>
    <row r="2042" spans="5:8" x14ac:dyDescent="0.25">
      <c r="E2042" t="str">
        <f>""</f>
        <v/>
      </c>
      <c r="F2042" t="str">
        <f>""</f>
        <v/>
      </c>
      <c r="H2042" t="str">
        <f t="shared" si="46"/>
        <v>GUARDIAN</v>
      </c>
    </row>
    <row r="2043" spans="5:8" x14ac:dyDescent="0.25">
      <c r="E2043" t="str">
        <f>""</f>
        <v/>
      </c>
      <c r="F2043" t="str">
        <f>""</f>
        <v/>
      </c>
      <c r="H2043" t="str">
        <f t="shared" si="46"/>
        <v>GUARDIAN</v>
      </c>
    </row>
    <row r="2044" spans="5:8" x14ac:dyDescent="0.25">
      <c r="E2044" t="str">
        <f>""</f>
        <v/>
      </c>
      <c r="F2044" t="str">
        <f>""</f>
        <v/>
      </c>
      <c r="H2044" t="str">
        <f t="shared" si="46"/>
        <v>GUARDIAN</v>
      </c>
    </row>
    <row r="2045" spans="5:8" x14ac:dyDescent="0.25">
      <c r="E2045" t="str">
        <f>""</f>
        <v/>
      </c>
      <c r="F2045" t="str">
        <f>""</f>
        <v/>
      </c>
      <c r="H2045" t="str">
        <f t="shared" ref="H2045:H2058" si="47">"GUARDIAN"</f>
        <v>GUARDIAN</v>
      </c>
    </row>
    <row r="2046" spans="5:8" x14ac:dyDescent="0.25">
      <c r="E2046" t="str">
        <f>""</f>
        <v/>
      </c>
      <c r="F2046" t="str">
        <f>""</f>
        <v/>
      </c>
      <c r="H2046" t="str">
        <f t="shared" si="47"/>
        <v>GUARDIAN</v>
      </c>
    </row>
    <row r="2047" spans="5:8" x14ac:dyDescent="0.25">
      <c r="E2047" t="str">
        <f>"LIE202106224152"</f>
        <v>LIE202106224152</v>
      </c>
      <c r="F2047" t="str">
        <f>"GUARDIAN"</f>
        <v>GUARDIAN</v>
      </c>
      <c r="G2047" s="4">
        <v>75.099999999999994</v>
      </c>
      <c r="H2047" t="str">
        <f t="shared" si="47"/>
        <v>GUARDIAN</v>
      </c>
    </row>
    <row r="2048" spans="5:8" x14ac:dyDescent="0.25">
      <c r="E2048" t="str">
        <f>""</f>
        <v/>
      </c>
      <c r="F2048" t="str">
        <f>""</f>
        <v/>
      </c>
      <c r="H2048" t="str">
        <f t="shared" si="47"/>
        <v>GUARDIAN</v>
      </c>
    </row>
    <row r="2049" spans="1:8" x14ac:dyDescent="0.25">
      <c r="E2049" t="str">
        <f>"LIS202106093830"</f>
        <v>LIS202106093830</v>
      </c>
      <c r="F2049" t="str">
        <f t="shared" ref="F2049:F2058" si="48">"GUARDIAN"</f>
        <v>GUARDIAN</v>
      </c>
      <c r="G2049" s="4">
        <v>521.28</v>
      </c>
      <c r="H2049" t="str">
        <f t="shared" si="47"/>
        <v>GUARDIAN</v>
      </c>
    </row>
    <row r="2050" spans="1:8" x14ac:dyDescent="0.25">
      <c r="E2050" t="str">
        <f>"LIS202106093832"</f>
        <v>LIS202106093832</v>
      </c>
      <c r="F2050" t="str">
        <f t="shared" si="48"/>
        <v>GUARDIAN</v>
      </c>
      <c r="G2050" s="4">
        <v>36.15</v>
      </c>
      <c r="H2050" t="str">
        <f t="shared" si="47"/>
        <v>GUARDIAN</v>
      </c>
    </row>
    <row r="2051" spans="1:8" x14ac:dyDescent="0.25">
      <c r="E2051" t="str">
        <f>"LIS202106224151"</f>
        <v>LIS202106224151</v>
      </c>
      <c r="F2051" t="str">
        <f t="shared" si="48"/>
        <v>GUARDIAN</v>
      </c>
      <c r="G2051" s="4">
        <v>488.88</v>
      </c>
      <c r="H2051" t="str">
        <f t="shared" si="47"/>
        <v>GUARDIAN</v>
      </c>
    </row>
    <row r="2052" spans="1:8" x14ac:dyDescent="0.25">
      <c r="E2052" t="str">
        <f>"LIS202106224152"</f>
        <v>LIS202106224152</v>
      </c>
      <c r="F2052" t="str">
        <f t="shared" si="48"/>
        <v>GUARDIAN</v>
      </c>
      <c r="G2052" s="4">
        <v>36.15</v>
      </c>
      <c r="H2052" t="str">
        <f t="shared" si="47"/>
        <v>GUARDIAN</v>
      </c>
    </row>
    <row r="2053" spans="1:8" x14ac:dyDescent="0.25">
      <c r="E2053" t="str">
        <f>"LTD202106093830"</f>
        <v>LTD202106093830</v>
      </c>
      <c r="F2053" t="str">
        <f t="shared" si="48"/>
        <v>GUARDIAN</v>
      </c>
      <c r="G2053" s="4">
        <v>942.45</v>
      </c>
      <c r="H2053" t="str">
        <f t="shared" si="47"/>
        <v>GUARDIAN</v>
      </c>
    </row>
    <row r="2054" spans="1:8" x14ac:dyDescent="0.25">
      <c r="E2054" t="str">
        <f>"LTD202106224151"</f>
        <v>LTD202106224151</v>
      </c>
      <c r="F2054" t="str">
        <f t="shared" si="48"/>
        <v>GUARDIAN</v>
      </c>
      <c r="G2054" s="4">
        <v>877.75</v>
      </c>
      <c r="H2054" t="str">
        <f t="shared" si="47"/>
        <v>GUARDIAN</v>
      </c>
    </row>
    <row r="2055" spans="1:8" x14ac:dyDescent="0.25">
      <c r="A2055" t="s">
        <v>437</v>
      </c>
      <c r="B2055">
        <v>1158</v>
      </c>
      <c r="C2055" s="4">
        <v>97.24</v>
      </c>
      <c r="D2055" s="1">
        <v>44376</v>
      </c>
      <c r="E2055" t="str">
        <f>"AEG202106093830"</f>
        <v>AEG202106093830</v>
      </c>
      <c r="F2055" t="str">
        <f t="shared" si="48"/>
        <v>GUARDIAN</v>
      </c>
      <c r="G2055" s="4">
        <v>12.48</v>
      </c>
      <c r="H2055" t="str">
        <f t="shared" si="47"/>
        <v>GUARDIAN</v>
      </c>
    </row>
    <row r="2056" spans="1:8" x14ac:dyDescent="0.25">
      <c r="E2056" t="str">
        <f>"AEG202106224151"</f>
        <v>AEG202106224151</v>
      </c>
      <c r="F2056" t="str">
        <f t="shared" si="48"/>
        <v>GUARDIAN</v>
      </c>
      <c r="G2056" s="4">
        <v>12.48</v>
      </c>
      <c r="H2056" t="str">
        <f t="shared" si="47"/>
        <v>GUARDIAN</v>
      </c>
    </row>
    <row r="2057" spans="1:8" x14ac:dyDescent="0.25">
      <c r="E2057" t="str">
        <f>"AFG202106093830"</f>
        <v>AFG202106093830</v>
      </c>
      <c r="F2057" t="str">
        <f t="shared" si="48"/>
        <v>GUARDIAN</v>
      </c>
      <c r="G2057" s="4">
        <v>36.14</v>
      </c>
      <c r="H2057" t="str">
        <f t="shared" si="47"/>
        <v>GUARDIAN</v>
      </c>
    </row>
    <row r="2058" spans="1:8" x14ac:dyDescent="0.25">
      <c r="E2058" t="str">
        <f>"AFG202106224151"</f>
        <v>AFG202106224151</v>
      </c>
      <c r="F2058" t="str">
        <f t="shared" si="48"/>
        <v>GUARDIAN</v>
      </c>
      <c r="G2058" s="4">
        <v>36.14</v>
      </c>
      <c r="H2058" t="str">
        <f t="shared" si="47"/>
        <v>GUARDIAN</v>
      </c>
    </row>
    <row r="2059" spans="1:8" x14ac:dyDescent="0.25">
      <c r="A2059" t="s">
        <v>438</v>
      </c>
      <c r="B2059">
        <v>1090</v>
      </c>
      <c r="C2059" s="4">
        <v>374</v>
      </c>
      <c r="D2059" s="1">
        <v>44358</v>
      </c>
      <c r="E2059" t="str">
        <f>"C92202106093830"</f>
        <v>C92202106093830</v>
      </c>
      <c r="F2059" t="str">
        <f>"0007959844"</f>
        <v>0007959844</v>
      </c>
      <c r="G2059" s="4">
        <v>374</v>
      </c>
      <c r="H2059" t="str">
        <f>"0007959844"</f>
        <v>0007959844</v>
      </c>
    </row>
    <row r="2060" spans="1:8" x14ac:dyDescent="0.25">
      <c r="A2060" t="s">
        <v>438</v>
      </c>
      <c r="B2060">
        <v>1148</v>
      </c>
      <c r="C2060" s="4">
        <v>374</v>
      </c>
      <c r="D2060" s="1">
        <v>44372</v>
      </c>
      <c r="E2060" t="str">
        <f>"C92202106224151"</f>
        <v>C92202106224151</v>
      </c>
      <c r="F2060" t="str">
        <f>"0007959844"</f>
        <v>0007959844</v>
      </c>
      <c r="G2060" s="4">
        <v>374</v>
      </c>
      <c r="H2060" t="str">
        <f>"0007959844"</f>
        <v>0007959844</v>
      </c>
    </row>
    <row r="2061" spans="1:8" x14ac:dyDescent="0.25">
      <c r="A2061" t="s">
        <v>438</v>
      </c>
      <c r="B2061">
        <v>48403</v>
      </c>
      <c r="C2061" s="4">
        <v>110</v>
      </c>
      <c r="D2061" s="1">
        <v>44372</v>
      </c>
      <c r="E2061" t="str">
        <f>"ASF202106224151"</f>
        <v>ASF202106224151</v>
      </c>
      <c r="F2061" t="str">
        <f>"ASFE7959844"</f>
        <v>ASFE7959844</v>
      </c>
      <c r="G2061" s="4">
        <v>110</v>
      </c>
      <c r="H2061" t="str">
        <f>"ASFE7959844"</f>
        <v>ASFE7959844</v>
      </c>
    </row>
    <row r="2062" spans="1:8" x14ac:dyDescent="0.25">
      <c r="A2062" t="s">
        <v>439</v>
      </c>
      <c r="B2062">
        <v>1091</v>
      </c>
      <c r="C2062" s="4">
        <v>248310.94</v>
      </c>
      <c r="D2062" s="1">
        <v>44358</v>
      </c>
      <c r="E2062" t="str">
        <f>"T1 202106093830"</f>
        <v>T1 202106093830</v>
      </c>
      <c r="F2062" t="str">
        <f>"FEDERAL WITHHOLDING"</f>
        <v>FEDERAL WITHHOLDING</v>
      </c>
      <c r="G2062" s="4">
        <v>82290.41</v>
      </c>
      <c r="H2062" t="str">
        <f>"FEDERAL WITHHOLDING"</f>
        <v>FEDERAL WITHHOLDING</v>
      </c>
    </row>
    <row r="2063" spans="1:8" x14ac:dyDescent="0.25">
      <c r="E2063" t="str">
        <f>"T1 202106093832"</f>
        <v>T1 202106093832</v>
      </c>
      <c r="F2063" t="str">
        <f>"FEDERAL WITHHOLDING"</f>
        <v>FEDERAL WITHHOLDING</v>
      </c>
      <c r="G2063" s="4">
        <v>2665.66</v>
      </c>
      <c r="H2063" t="str">
        <f>"FEDERAL WITHHOLDING"</f>
        <v>FEDERAL WITHHOLDING</v>
      </c>
    </row>
    <row r="2064" spans="1:8" x14ac:dyDescent="0.25">
      <c r="E2064" t="str">
        <f>"T1 202106093834"</f>
        <v>T1 202106093834</v>
      </c>
      <c r="F2064" t="str">
        <f>"FEDERAL WITHHOLDING"</f>
        <v>FEDERAL WITHHOLDING</v>
      </c>
      <c r="G2064" s="4">
        <v>3044.69</v>
      </c>
      <c r="H2064" t="str">
        <f>"FEDERAL WITHHOLDING"</f>
        <v>FEDERAL WITHHOLDING</v>
      </c>
    </row>
    <row r="2065" spans="5:8" x14ac:dyDescent="0.25">
      <c r="E2065" t="str">
        <f>"T3 202106093830"</f>
        <v>T3 202106093830</v>
      </c>
      <c r="F2065" t="str">
        <f>"SOCIAL SECURITY TAXES"</f>
        <v>SOCIAL SECURITY TAXES</v>
      </c>
      <c r="G2065" s="4">
        <v>121649.60000000001</v>
      </c>
      <c r="H2065" t="str">
        <f t="shared" ref="H2065:H2096" si="49">"SOCIAL SECURITY TAXES"</f>
        <v>SOCIAL SECURITY TAXES</v>
      </c>
    </row>
    <row r="2066" spans="5:8" x14ac:dyDescent="0.25">
      <c r="E2066" t="str">
        <f>""</f>
        <v/>
      </c>
      <c r="F2066" t="str">
        <f>""</f>
        <v/>
      </c>
      <c r="H2066" t="str">
        <f t="shared" si="49"/>
        <v>SOCIAL SECURITY TAXES</v>
      </c>
    </row>
    <row r="2067" spans="5:8" x14ac:dyDescent="0.25">
      <c r="E2067" t="str">
        <f>""</f>
        <v/>
      </c>
      <c r="F2067" t="str">
        <f>""</f>
        <v/>
      </c>
      <c r="H2067" t="str">
        <f t="shared" si="49"/>
        <v>SOCIAL SECURITY TAXES</v>
      </c>
    </row>
    <row r="2068" spans="5:8" x14ac:dyDescent="0.25">
      <c r="E2068" t="str">
        <f>""</f>
        <v/>
      </c>
      <c r="F2068" t="str">
        <f>""</f>
        <v/>
      </c>
      <c r="H2068" t="str">
        <f t="shared" si="49"/>
        <v>SOCIAL SECURITY TAXES</v>
      </c>
    </row>
    <row r="2069" spans="5:8" x14ac:dyDescent="0.25">
      <c r="E2069" t="str">
        <f>""</f>
        <v/>
      </c>
      <c r="F2069" t="str">
        <f>""</f>
        <v/>
      </c>
      <c r="H2069" t="str">
        <f t="shared" si="49"/>
        <v>SOCIAL SECURITY TAXES</v>
      </c>
    </row>
    <row r="2070" spans="5:8" x14ac:dyDescent="0.25">
      <c r="E2070" t="str">
        <f>""</f>
        <v/>
      </c>
      <c r="F2070" t="str">
        <f>""</f>
        <v/>
      </c>
      <c r="H2070" t="str">
        <f t="shared" si="49"/>
        <v>SOCIAL SECURITY TAXES</v>
      </c>
    </row>
    <row r="2071" spans="5:8" x14ac:dyDescent="0.25">
      <c r="E2071" t="str">
        <f>""</f>
        <v/>
      </c>
      <c r="F2071" t="str">
        <f>""</f>
        <v/>
      </c>
      <c r="H2071" t="str">
        <f t="shared" si="49"/>
        <v>SOCIAL SECURITY TAXES</v>
      </c>
    </row>
    <row r="2072" spans="5:8" x14ac:dyDescent="0.25">
      <c r="E2072" t="str">
        <f>""</f>
        <v/>
      </c>
      <c r="F2072" t="str">
        <f>""</f>
        <v/>
      </c>
      <c r="H2072" t="str">
        <f t="shared" si="49"/>
        <v>SOCIAL SECURITY TAXES</v>
      </c>
    </row>
    <row r="2073" spans="5:8" x14ac:dyDescent="0.25">
      <c r="E2073" t="str">
        <f>""</f>
        <v/>
      </c>
      <c r="F2073" t="str">
        <f>""</f>
        <v/>
      </c>
      <c r="H2073" t="str">
        <f t="shared" si="49"/>
        <v>SOCIAL SECURITY TAXES</v>
      </c>
    </row>
    <row r="2074" spans="5:8" x14ac:dyDescent="0.25">
      <c r="E2074" t="str">
        <f>""</f>
        <v/>
      </c>
      <c r="F2074" t="str">
        <f>""</f>
        <v/>
      </c>
      <c r="H2074" t="str">
        <f t="shared" si="49"/>
        <v>SOCIAL SECURITY TAXES</v>
      </c>
    </row>
    <row r="2075" spans="5:8" x14ac:dyDescent="0.25">
      <c r="E2075" t="str">
        <f>""</f>
        <v/>
      </c>
      <c r="F2075" t="str">
        <f>""</f>
        <v/>
      </c>
      <c r="H2075" t="str">
        <f t="shared" si="49"/>
        <v>SOCIAL SECURITY TAXES</v>
      </c>
    </row>
    <row r="2076" spans="5:8" x14ac:dyDescent="0.25">
      <c r="E2076" t="str">
        <f>""</f>
        <v/>
      </c>
      <c r="F2076" t="str">
        <f>""</f>
        <v/>
      </c>
      <c r="H2076" t="str">
        <f t="shared" si="49"/>
        <v>SOCIAL SECURITY TAXES</v>
      </c>
    </row>
    <row r="2077" spans="5:8" x14ac:dyDescent="0.25">
      <c r="E2077" t="str">
        <f>""</f>
        <v/>
      </c>
      <c r="F2077" t="str">
        <f>""</f>
        <v/>
      </c>
      <c r="H2077" t="str">
        <f t="shared" si="49"/>
        <v>SOCIAL SECURITY TAXES</v>
      </c>
    </row>
    <row r="2078" spans="5:8" x14ac:dyDescent="0.25">
      <c r="E2078" t="str">
        <f>""</f>
        <v/>
      </c>
      <c r="F2078" t="str">
        <f>""</f>
        <v/>
      </c>
      <c r="H2078" t="str">
        <f t="shared" si="49"/>
        <v>SOCIAL SECURITY TAXES</v>
      </c>
    </row>
    <row r="2079" spans="5:8" x14ac:dyDescent="0.25">
      <c r="E2079" t="str">
        <f>""</f>
        <v/>
      </c>
      <c r="F2079" t="str">
        <f>""</f>
        <v/>
      </c>
      <c r="H2079" t="str">
        <f t="shared" si="49"/>
        <v>SOCIAL SECURITY TAXES</v>
      </c>
    </row>
    <row r="2080" spans="5:8" x14ac:dyDescent="0.25">
      <c r="E2080" t="str">
        <f>""</f>
        <v/>
      </c>
      <c r="F2080" t="str">
        <f>""</f>
        <v/>
      </c>
      <c r="H2080" t="str">
        <f t="shared" si="49"/>
        <v>SOCIAL SECURITY TAXES</v>
      </c>
    </row>
    <row r="2081" spans="5:8" x14ac:dyDescent="0.25">
      <c r="E2081" t="str">
        <f>""</f>
        <v/>
      </c>
      <c r="F2081" t="str">
        <f>""</f>
        <v/>
      </c>
      <c r="H2081" t="str">
        <f t="shared" si="49"/>
        <v>SOCIAL SECURITY TAXES</v>
      </c>
    </row>
    <row r="2082" spans="5:8" x14ac:dyDescent="0.25">
      <c r="E2082" t="str">
        <f>""</f>
        <v/>
      </c>
      <c r="F2082" t="str">
        <f>""</f>
        <v/>
      </c>
      <c r="H2082" t="str">
        <f t="shared" si="49"/>
        <v>SOCIAL SECURITY TAXES</v>
      </c>
    </row>
    <row r="2083" spans="5:8" x14ac:dyDescent="0.25">
      <c r="E2083" t="str">
        <f>""</f>
        <v/>
      </c>
      <c r="F2083" t="str">
        <f>""</f>
        <v/>
      </c>
      <c r="H2083" t="str">
        <f t="shared" si="49"/>
        <v>SOCIAL SECURITY TAXES</v>
      </c>
    </row>
    <row r="2084" spans="5:8" x14ac:dyDescent="0.25">
      <c r="E2084" t="str">
        <f>""</f>
        <v/>
      </c>
      <c r="F2084" t="str">
        <f>""</f>
        <v/>
      </c>
      <c r="H2084" t="str">
        <f t="shared" si="49"/>
        <v>SOCIAL SECURITY TAXES</v>
      </c>
    </row>
    <row r="2085" spans="5:8" x14ac:dyDescent="0.25">
      <c r="E2085" t="str">
        <f>""</f>
        <v/>
      </c>
      <c r="F2085" t="str">
        <f>""</f>
        <v/>
      </c>
      <c r="H2085" t="str">
        <f t="shared" si="49"/>
        <v>SOCIAL SECURITY TAXES</v>
      </c>
    </row>
    <row r="2086" spans="5:8" x14ac:dyDescent="0.25">
      <c r="E2086" t="str">
        <f>""</f>
        <v/>
      </c>
      <c r="F2086" t="str">
        <f>""</f>
        <v/>
      </c>
      <c r="H2086" t="str">
        <f t="shared" si="49"/>
        <v>SOCIAL SECURITY TAXES</v>
      </c>
    </row>
    <row r="2087" spans="5:8" x14ac:dyDescent="0.25">
      <c r="E2087" t="str">
        <f>""</f>
        <v/>
      </c>
      <c r="F2087" t="str">
        <f>""</f>
        <v/>
      </c>
      <c r="H2087" t="str">
        <f t="shared" si="49"/>
        <v>SOCIAL SECURITY TAXES</v>
      </c>
    </row>
    <row r="2088" spans="5:8" x14ac:dyDescent="0.25">
      <c r="E2088" t="str">
        <f>""</f>
        <v/>
      </c>
      <c r="F2088" t="str">
        <f>""</f>
        <v/>
      </c>
      <c r="H2088" t="str">
        <f t="shared" si="49"/>
        <v>SOCIAL SECURITY TAXES</v>
      </c>
    </row>
    <row r="2089" spans="5:8" x14ac:dyDescent="0.25">
      <c r="E2089" t="str">
        <f>""</f>
        <v/>
      </c>
      <c r="F2089" t="str">
        <f>""</f>
        <v/>
      </c>
      <c r="H2089" t="str">
        <f t="shared" si="49"/>
        <v>SOCIAL SECURITY TAXES</v>
      </c>
    </row>
    <row r="2090" spans="5:8" x14ac:dyDescent="0.25">
      <c r="E2090" t="str">
        <f>""</f>
        <v/>
      </c>
      <c r="F2090" t="str">
        <f>""</f>
        <v/>
      </c>
      <c r="H2090" t="str">
        <f t="shared" si="49"/>
        <v>SOCIAL SECURITY TAXES</v>
      </c>
    </row>
    <row r="2091" spans="5:8" x14ac:dyDescent="0.25">
      <c r="E2091" t="str">
        <f>""</f>
        <v/>
      </c>
      <c r="F2091" t="str">
        <f>""</f>
        <v/>
      </c>
      <c r="H2091" t="str">
        <f t="shared" si="49"/>
        <v>SOCIAL SECURITY TAXES</v>
      </c>
    </row>
    <row r="2092" spans="5:8" x14ac:dyDescent="0.25">
      <c r="E2092" t="str">
        <f>""</f>
        <v/>
      </c>
      <c r="F2092" t="str">
        <f>""</f>
        <v/>
      </c>
      <c r="H2092" t="str">
        <f t="shared" si="49"/>
        <v>SOCIAL SECURITY TAXES</v>
      </c>
    </row>
    <row r="2093" spans="5:8" x14ac:dyDescent="0.25">
      <c r="E2093" t="str">
        <f>""</f>
        <v/>
      </c>
      <c r="F2093" t="str">
        <f>""</f>
        <v/>
      </c>
      <c r="H2093" t="str">
        <f t="shared" si="49"/>
        <v>SOCIAL SECURITY TAXES</v>
      </c>
    </row>
    <row r="2094" spans="5:8" x14ac:dyDescent="0.25">
      <c r="E2094" t="str">
        <f>""</f>
        <v/>
      </c>
      <c r="F2094" t="str">
        <f>""</f>
        <v/>
      </c>
      <c r="H2094" t="str">
        <f t="shared" si="49"/>
        <v>SOCIAL SECURITY TAXES</v>
      </c>
    </row>
    <row r="2095" spans="5:8" x14ac:dyDescent="0.25">
      <c r="E2095" t="str">
        <f>""</f>
        <v/>
      </c>
      <c r="F2095" t="str">
        <f>""</f>
        <v/>
      </c>
      <c r="H2095" t="str">
        <f t="shared" si="49"/>
        <v>SOCIAL SECURITY TAXES</v>
      </c>
    </row>
    <row r="2096" spans="5:8" x14ac:dyDescent="0.25">
      <c r="E2096" t="str">
        <f>""</f>
        <v/>
      </c>
      <c r="F2096" t="str">
        <f>""</f>
        <v/>
      </c>
      <c r="H2096" t="str">
        <f t="shared" si="49"/>
        <v>SOCIAL SECURITY TAXES</v>
      </c>
    </row>
    <row r="2097" spans="5:8" x14ac:dyDescent="0.25">
      <c r="E2097" t="str">
        <f>""</f>
        <v/>
      </c>
      <c r="F2097" t="str">
        <f>""</f>
        <v/>
      </c>
      <c r="H2097" t="str">
        <f t="shared" ref="H2097:H2121" si="50">"SOCIAL SECURITY TAXES"</f>
        <v>SOCIAL SECURITY TAXES</v>
      </c>
    </row>
    <row r="2098" spans="5:8" x14ac:dyDescent="0.25">
      <c r="E2098" t="str">
        <f>""</f>
        <v/>
      </c>
      <c r="F2098" t="str">
        <f>""</f>
        <v/>
      </c>
      <c r="H2098" t="str">
        <f t="shared" si="50"/>
        <v>SOCIAL SECURITY TAXES</v>
      </c>
    </row>
    <row r="2099" spans="5:8" x14ac:dyDescent="0.25">
      <c r="E2099" t="str">
        <f>""</f>
        <v/>
      </c>
      <c r="F2099" t="str">
        <f>""</f>
        <v/>
      </c>
      <c r="H2099" t="str">
        <f t="shared" si="50"/>
        <v>SOCIAL SECURITY TAXES</v>
      </c>
    </row>
    <row r="2100" spans="5:8" x14ac:dyDescent="0.25">
      <c r="E2100" t="str">
        <f>""</f>
        <v/>
      </c>
      <c r="F2100" t="str">
        <f>""</f>
        <v/>
      </c>
      <c r="H2100" t="str">
        <f t="shared" si="50"/>
        <v>SOCIAL SECURITY TAXES</v>
      </c>
    </row>
    <row r="2101" spans="5:8" x14ac:dyDescent="0.25">
      <c r="E2101" t="str">
        <f>""</f>
        <v/>
      </c>
      <c r="F2101" t="str">
        <f>""</f>
        <v/>
      </c>
      <c r="H2101" t="str">
        <f t="shared" si="50"/>
        <v>SOCIAL SECURITY TAXES</v>
      </c>
    </row>
    <row r="2102" spans="5:8" x14ac:dyDescent="0.25">
      <c r="E2102" t="str">
        <f>""</f>
        <v/>
      </c>
      <c r="F2102" t="str">
        <f>""</f>
        <v/>
      </c>
      <c r="H2102" t="str">
        <f t="shared" si="50"/>
        <v>SOCIAL SECURITY TAXES</v>
      </c>
    </row>
    <row r="2103" spans="5:8" x14ac:dyDescent="0.25">
      <c r="E2103" t="str">
        <f>""</f>
        <v/>
      </c>
      <c r="F2103" t="str">
        <f>""</f>
        <v/>
      </c>
      <c r="H2103" t="str">
        <f t="shared" si="50"/>
        <v>SOCIAL SECURITY TAXES</v>
      </c>
    </row>
    <row r="2104" spans="5:8" x14ac:dyDescent="0.25">
      <c r="E2104" t="str">
        <f>""</f>
        <v/>
      </c>
      <c r="F2104" t="str">
        <f>""</f>
        <v/>
      </c>
      <c r="H2104" t="str">
        <f t="shared" si="50"/>
        <v>SOCIAL SECURITY TAXES</v>
      </c>
    </row>
    <row r="2105" spans="5:8" x14ac:dyDescent="0.25">
      <c r="E2105" t="str">
        <f>""</f>
        <v/>
      </c>
      <c r="F2105" t="str">
        <f>""</f>
        <v/>
      </c>
      <c r="H2105" t="str">
        <f t="shared" si="50"/>
        <v>SOCIAL SECURITY TAXES</v>
      </c>
    </row>
    <row r="2106" spans="5:8" x14ac:dyDescent="0.25">
      <c r="E2106" t="str">
        <f>""</f>
        <v/>
      </c>
      <c r="F2106" t="str">
        <f>""</f>
        <v/>
      </c>
      <c r="H2106" t="str">
        <f t="shared" si="50"/>
        <v>SOCIAL SECURITY TAXES</v>
      </c>
    </row>
    <row r="2107" spans="5:8" x14ac:dyDescent="0.25">
      <c r="E2107" t="str">
        <f>""</f>
        <v/>
      </c>
      <c r="F2107" t="str">
        <f>""</f>
        <v/>
      </c>
      <c r="H2107" t="str">
        <f t="shared" si="50"/>
        <v>SOCIAL SECURITY TAXES</v>
      </c>
    </row>
    <row r="2108" spans="5:8" x14ac:dyDescent="0.25">
      <c r="E2108" t="str">
        <f>""</f>
        <v/>
      </c>
      <c r="F2108" t="str">
        <f>""</f>
        <v/>
      </c>
      <c r="H2108" t="str">
        <f t="shared" si="50"/>
        <v>SOCIAL SECURITY TAXES</v>
      </c>
    </row>
    <row r="2109" spans="5:8" x14ac:dyDescent="0.25">
      <c r="E2109" t="str">
        <f>""</f>
        <v/>
      </c>
      <c r="F2109" t="str">
        <f>""</f>
        <v/>
      </c>
      <c r="H2109" t="str">
        <f t="shared" si="50"/>
        <v>SOCIAL SECURITY TAXES</v>
      </c>
    </row>
    <row r="2110" spans="5:8" x14ac:dyDescent="0.25">
      <c r="E2110" t="str">
        <f>""</f>
        <v/>
      </c>
      <c r="F2110" t="str">
        <f>""</f>
        <v/>
      </c>
      <c r="H2110" t="str">
        <f t="shared" si="50"/>
        <v>SOCIAL SECURITY TAXES</v>
      </c>
    </row>
    <row r="2111" spans="5:8" x14ac:dyDescent="0.25">
      <c r="E2111" t="str">
        <f>""</f>
        <v/>
      </c>
      <c r="F2111" t="str">
        <f>""</f>
        <v/>
      </c>
      <c r="H2111" t="str">
        <f t="shared" si="50"/>
        <v>SOCIAL SECURITY TAXES</v>
      </c>
    </row>
    <row r="2112" spans="5:8" x14ac:dyDescent="0.25">
      <c r="E2112" t="str">
        <f>""</f>
        <v/>
      </c>
      <c r="F2112" t="str">
        <f>""</f>
        <v/>
      </c>
      <c r="H2112" t="str">
        <f t="shared" si="50"/>
        <v>SOCIAL SECURITY TAXES</v>
      </c>
    </row>
    <row r="2113" spans="5:8" x14ac:dyDescent="0.25">
      <c r="E2113" t="str">
        <f>""</f>
        <v/>
      </c>
      <c r="F2113" t="str">
        <f>""</f>
        <v/>
      </c>
      <c r="H2113" t="str">
        <f t="shared" si="50"/>
        <v>SOCIAL SECURITY TAXES</v>
      </c>
    </row>
    <row r="2114" spans="5:8" x14ac:dyDescent="0.25">
      <c r="E2114" t="str">
        <f>""</f>
        <v/>
      </c>
      <c r="F2114" t="str">
        <f>""</f>
        <v/>
      </c>
      <c r="H2114" t="str">
        <f t="shared" si="50"/>
        <v>SOCIAL SECURITY TAXES</v>
      </c>
    </row>
    <row r="2115" spans="5:8" x14ac:dyDescent="0.25">
      <c r="E2115" t="str">
        <f>""</f>
        <v/>
      </c>
      <c r="F2115" t="str">
        <f>""</f>
        <v/>
      </c>
      <c r="H2115" t="str">
        <f t="shared" si="50"/>
        <v>SOCIAL SECURITY TAXES</v>
      </c>
    </row>
    <row r="2116" spans="5:8" x14ac:dyDescent="0.25">
      <c r="E2116" t="str">
        <f>""</f>
        <v/>
      </c>
      <c r="F2116" t="str">
        <f>""</f>
        <v/>
      </c>
      <c r="H2116" t="str">
        <f t="shared" si="50"/>
        <v>SOCIAL SECURITY TAXES</v>
      </c>
    </row>
    <row r="2117" spans="5:8" x14ac:dyDescent="0.25">
      <c r="E2117" t="str">
        <f>""</f>
        <v/>
      </c>
      <c r="F2117" t="str">
        <f>""</f>
        <v/>
      </c>
      <c r="H2117" t="str">
        <f t="shared" si="50"/>
        <v>SOCIAL SECURITY TAXES</v>
      </c>
    </row>
    <row r="2118" spans="5:8" x14ac:dyDescent="0.25">
      <c r="E2118" t="str">
        <f>"T3 202106093832"</f>
        <v>T3 202106093832</v>
      </c>
      <c r="F2118" t="str">
        <f>"SOCIAL SECURITY TAXES"</f>
        <v>SOCIAL SECURITY TAXES</v>
      </c>
      <c r="G2118" s="4">
        <v>3749.06</v>
      </c>
      <c r="H2118" t="str">
        <f t="shared" si="50"/>
        <v>SOCIAL SECURITY TAXES</v>
      </c>
    </row>
    <row r="2119" spans="5:8" x14ac:dyDescent="0.25">
      <c r="E2119" t="str">
        <f>""</f>
        <v/>
      </c>
      <c r="F2119" t="str">
        <f>""</f>
        <v/>
      </c>
      <c r="H2119" t="str">
        <f t="shared" si="50"/>
        <v>SOCIAL SECURITY TAXES</v>
      </c>
    </row>
    <row r="2120" spans="5:8" x14ac:dyDescent="0.25">
      <c r="E2120" t="str">
        <f>"T3 202106093834"</f>
        <v>T3 202106093834</v>
      </c>
      <c r="F2120" t="str">
        <f>"SOCIAL SECURITY TAXES"</f>
        <v>SOCIAL SECURITY TAXES</v>
      </c>
      <c r="G2120" s="4">
        <v>4525.84</v>
      </c>
      <c r="H2120" t="str">
        <f t="shared" si="50"/>
        <v>SOCIAL SECURITY TAXES</v>
      </c>
    </row>
    <row r="2121" spans="5:8" x14ac:dyDescent="0.25">
      <c r="E2121" t="str">
        <f>""</f>
        <v/>
      </c>
      <c r="F2121" t="str">
        <f>""</f>
        <v/>
      </c>
      <c r="H2121" t="str">
        <f t="shared" si="50"/>
        <v>SOCIAL SECURITY TAXES</v>
      </c>
    </row>
    <row r="2122" spans="5:8" x14ac:dyDescent="0.25">
      <c r="E2122" t="str">
        <f>"T4 202106093830"</f>
        <v>T4 202106093830</v>
      </c>
      <c r="F2122" t="str">
        <f>"MEDICARE TAXES"</f>
        <v>MEDICARE TAXES</v>
      </c>
      <c r="G2122" s="4">
        <v>28450.34</v>
      </c>
      <c r="H2122" t="str">
        <f t="shared" ref="H2122:H2153" si="51">"MEDICARE TAXES"</f>
        <v>MEDICARE TAXES</v>
      </c>
    </row>
    <row r="2123" spans="5:8" x14ac:dyDescent="0.25">
      <c r="E2123" t="str">
        <f>""</f>
        <v/>
      </c>
      <c r="F2123" t="str">
        <f>""</f>
        <v/>
      </c>
      <c r="H2123" t="str">
        <f t="shared" si="51"/>
        <v>MEDICARE TAXES</v>
      </c>
    </row>
    <row r="2124" spans="5:8" x14ac:dyDescent="0.25">
      <c r="E2124" t="str">
        <f>""</f>
        <v/>
      </c>
      <c r="F2124" t="str">
        <f>""</f>
        <v/>
      </c>
      <c r="H2124" t="str">
        <f t="shared" si="51"/>
        <v>MEDICARE TAXES</v>
      </c>
    </row>
    <row r="2125" spans="5:8" x14ac:dyDescent="0.25">
      <c r="E2125" t="str">
        <f>""</f>
        <v/>
      </c>
      <c r="F2125" t="str">
        <f>""</f>
        <v/>
      </c>
      <c r="H2125" t="str">
        <f t="shared" si="51"/>
        <v>MEDICARE TAXES</v>
      </c>
    </row>
    <row r="2126" spans="5:8" x14ac:dyDescent="0.25">
      <c r="E2126" t="str">
        <f>""</f>
        <v/>
      </c>
      <c r="F2126" t="str">
        <f>""</f>
        <v/>
      </c>
      <c r="H2126" t="str">
        <f t="shared" si="51"/>
        <v>MEDICARE TAXES</v>
      </c>
    </row>
    <row r="2127" spans="5:8" x14ac:dyDescent="0.25">
      <c r="E2127" t="str">
        <f>""</f>
        <v/>
      </c>
      <c r="F2127" t="str">
        <f>""</f>
        <v/>
      </c>
      <c r="H2127" t="str">
        <f t="shared" si="51"/>
        <v>MEDICARE TAXES</v>
      </c>
    </row>
    <row r="2128" spans="5:8" x14ac:dyDescent="0.25">
      <c r="E2128" t="str">
        <f>""</f>
        <v/>
      </c>
      <c r="F2128" t="str">
        <f>""</f>
        <v/>
      </c>
      <c r="H2128" t="str">
        <f t="shared" si="51"/>
        <v>MEDICARE TAXES</v>
      </c>
    </row>
    <row r="2129" spans="5:8" x14ac:dyDescent="0.25">
      <c r="E2129" t="str">
        <f>""</f>
        <v/>
      </c>
      <c r="F2129" t="str">
        <f>""</f>
        <v/>
      </c>
      <c r="H2129" t="str">
        <f t="shared" si="51"/>
        <v>MEDICARE TAXES</v>
      </c>
    </row>
    <row r="2130" spans="5:8" x14ac:dyDescent="0.25">
      <c r="E2130" t="str">
        <f>""</f>
        <v/>
      </c>
      <c r="F2130" t="str">
        <f>""</f>
        <v/>
      </c>
      <c r="H2130" t="str">
        <f t="shared" si="51"/>
        <v>MEDICARE TAXES</v>
      </c>
    </row>
    <row r="2131" spans="5:8" x14ac:dyDescent="0.25">
      <c r="E2131" t="str">
        <f>""</f>
        <v/>
      </c>
      <c r="F2131" t="str">
        <f>""</f>
        <v/>
      </c>
      <c r="H2131" t="str">
        <f t="shared" si="51"/>
        <v>MEDICARE TAXES</v>
      </c>
    </row>
    <row r="2132" spans="5:8" x14ac:dyDescent="0.25">
      <c r="E2132" t="str">
        <f>""</f>
        <v/>
      </c>
      <c r="F2132" t="str">
        <f>""</f>
        <v/>
      </c>
      <c r="H2132" t="str">
        <f t="shared" si="51"/>
        <v>MEDICARE TAXES</v>
      </c>
    </row>
    <row r="2133" spans="5:8" x14ac:dyDescent="0.25">
      <c r="E2133" t="str">
        <f>""</f>
        <v/>
      </c>
      <c r="F2133" t="str">
        <f>""</f>
        <v/>
      </c>
      <c r="H2133" t="str">
        <f t="shared" si="51"/>
        <v>MEDICARE TAXES</v>
      </c>
    </row>
    <row r="2134" spans="5:8" x14ac:dyDescent="0.25">
      <c r="E2134" t="str">
        <f>""</f>
        <v/>
      </c>
      <c r="F2134" t="str">
        <f>""</f>
        <v/>
      </c>
      <c r="H2134" t="str">
        <f t="shared" si="51"/>
        <v>MEDICARE TAXES</v>
      </c>
    </row>
    <row r="2135" spans="5:8" x14ac:dyDescent="0.25">
      <c r="E2135" t="str">
        <f>""</f>
        <v/>
      </c>
      <c r="F2135" t="str">
        <f>""</f>
        <v/>
      </c>
      <c r="H2135" t="str">
        <f t="shared" si="51"/>
        <v>MEDICARE TAXES</v>
      </c>
    </row>
    <row r="2136" spans="5:8" x14ac:dyDescent="0.25">
      <c r="E2136" t="str">
        <f>""</f>
        <v/>
      </c>
      <c r="F2136" t="str">
        <f>""</f>
        <v/>
      </c>
      <c r="H2136" t="str">
        <f t="shared" si="51"/>
        <v>MEDICARE TAXES</v>
      </c>
    </row>
    <row r="2137" spans="5:8" x14ac:dyDescent="0.25">
      <c r="E2137" t="str">
        <f>""</f>
        <v/>
      </c>
      <c r="F2137" t="str">
        <f>""</f>
        <v/>
      </c>
      <c r="H2137" t="str">
        <f t="shared" si="51"/>
        <v>MEDICARE TAXES</v>
      </c>
    </row>
    <row r="2138" spans="5:8" x14ac:dyDescent="0.25">
      <c r="E2138" t="str">
        <f>""</f>
        <v/>
      </c>
      <c r="F2138" t="str">
        <f>""</f>
        <v/>
      </c>
      <c r="H2138" t="str">
        <f t="shared" si="51"/>
        <v>MEDICARE TAXES</v>
      </c>
    </row>
    <row r="2139" spans="5:8" x14ac:dyDescent="0.25">
      <c r="E2139" t="str">
        <f>""</f>
        <v/>
      </c>
      <c r="F2139" t="str">
        <f>""</f>
        <v/>
      </c>
      <c r="H2139" t="str">
        <f t="shared" si="51"/>
        <v>MEDICARE TAXES</v>
      </c>
    </row>
    <row r="2140" spans="5:8" x14ac:dyDescent="0.25">
      <c r="E2140" t="str">
        <f>""</f>
        <v/>
      </c>
      <c r="F2140" t="str">
        <f>""</f>
        <v/>
      </c>
      <c r="H2140" t="str">
        <f t="shared" si="51"/>
        <v>MEDICARE TAXES</v>
      </c>
    </row>
    <row r="2141" spans="5:8" x14ac:dyDescent="0.25">
      <c r="E2141" t="str">
        <f>""</f>
        <v/>
      </c>
      <c r="F2141" t="str">
        <f>""</f>
        <v/>
      </c>
      <c r="H2141" t="str">
        <f t="shared" si="51"/>
        <v>MEDICARE TAXES</v>
      </c>
    </row>
    <row r="2142" spans="5:8" x14ac:dyDescent="0.25">
      <c r="E2142" t="str">
        <f>""</f>
        <v/>
      </c>
      <c r="F2142" t="str">
        <f>""</f>
        <v/>
      </c>
      <c r="H2142" t="str">
        <f t="shared" si="51"/>
        <v>MEDICARE TAXES</v>
      </c>
    </row>
    <row r="2143" spans="5:8" x14ac:dyDescent="0.25">
      <c r="E2143" t="str">
        <f>""</f>
        <v/>
      </c>
      <c r="F2143" t="str">
        <f>""</f>
        <v/>
      </c>
      <c r="H2143" t="str">
        <f t="shared" si="51"/>
        <v>MEDICARE TAXES</v>
      </c>
    </row>
    <row r="2144" spans="5:8" x14ac:dyDescent="0.25">
      <c r="E2144" t="str">
        <f>""</f>
        <v/>
      </c>
      <c r="F2144" t="str">
        <f>""</f>
        <v/>
      </c>
      <c r="H2144" t="str">
        <f t="shared" si="51"/>
        <v>MEDICARE TAXES</v>
      </c>
    </row>
    <row r="2145" spans="5:8" x14ac:dyDescent="0.25">
      <c r="E2145" t="str">
        <f>""</f>
        <v/>
      </c>
      <c r="F2145" t="str">
        <f>""</f>
        <v/>
      </c>
      <c r="H2145" t="str">
        <f t="shared" si="51"/>
        <v>MEDICARE TAXES</v>
      </c>
    </row>
    <row r="2146" spans="5:8" x14ac:dyDescent="0.25">
      <c r="E2146" t="str">
        <f>""</f>
        <v/>
      </c>
      <c r="F2146" t="str">
        <f>""</f>
        <v/>
      </c>
      <c r="H2146" t="str">
        <f t="shared" si="51"/>
        <v>MEDICARE TAXES</v>
      </c>
    </row>
    <row r="2147" spans="5:8" x14ac:dyDescent="0.25">
      <c r="E2147" t="str">
        <f>""</f>
        <v/>
      </c>
      <c r="F2147" t="str">
        <f>""</f>
        <v/>
      </c>
      <c r="H2147" t="str">
        <f t="shared" si="51"/>
        <v>MEDICARE TAXES</v>
      </c>
    </row>
    <row r="2148" spans="5:8" x14ac:dyDescent="0.25">
      <c r="E2148" t="str">
        <f>""</f>
        <v/>
      </c>
      <c r="F2148" t="str">
        <f>""</f>
        <v/>
      </c>
      <c r="H2148" t="str">
        <f t="shared" si="51"/>
        <v>MEDICARE TAXES</v>
      </c>
    </row>
    <row r="2149" spans="5:8" x14ac:dyDescent="0.25">
      <c r="E2149" t="str">
        <f>""</f>
        <v/>
      </c>
      <c r="F2149" t="str">
        <f>""</f>
        <v/>
      </c>
      <c r="H2149" t="str">
        <f t="shared" si="51"/>
        <v>MEDICARE TAXES</v>
      </c>
    </row>
    <row r="2150" spans="5:8" x14ac:dyDescent="0.25">
      <c r="E2150" t="str">
        <f>""</f>
        <v/>
      </c>
      <c r="F2150" t="str">
        <f>""</f>
        <v/>
      </c>
      <c r="H2150" t="str">
        <f t="shared" si="51"/>
        <v>MEDICARE TAXES</v>
      </c>
    </row>
    <row r="2151" spans="5:8" x14ac:dyDescent="0.25">
      <c r="E2151" t="str">
        <f>""</f>
        <v/>
      </c>
      <c r="F2151" t="str">
        <f>""</f>
        <v/>
      </c>
      <c r="H2151" t="str">
        <f t="shared" si="51"/>
        <v>MEDICARE TAXES</v>
      </c>
    </row>
    <row r="2152" spans="5:8" x14ac:dyDescent="0.25">
      <c r="E2152" t="str">
        <f>""</f>
        <v/>
      </c>
      <c r="F2152" t="str">
        <f>""</f>
        <v/>
      </c>
      <c r="H2152" t="str">
        <f t="shared" si="51"/>
        <v>MEDICARE TAXES</v>
      </c>
    </row>
    <row r="2153" spans="5:8" x14ac:dyDescent="0.25">
      <c r="E2153" t="str">
        <f>""</f>
        <v/>
      </c>
      <c r="F2153" t="str">
        <f>""</f>
        <v/>
      </c>
      <c r="H2153" t="str">
        <f t="shared" si="51"/>
        <v>MEDICARE TAXES</v>
      </c>
    </row>
    <row r="2154" spans="5:8" x14ac:dyDescent="0.25">
      <c r="E2154" t="str">
        <f>""</f>
        <v/>
      </c>
      <c r="F2154" t="str">
        <f>""</f>
        <v/>
      </c>
      <c r="H2154" t="str">
        <f t="shared" ref="H2154:H2178" si="52">"MEDICARE TAXES"</f>
        <v>MEDICARE TAXES</v>
      </c>
    </row>
    <row r="2155" spans="5:8" x14ac:dyDescent="0.25">
      <c r="E2155" t="str">
        <f>""</f>
        <v/>
      </c>
      <c r="F2155" t="str">
        <f>""</f>
        <v/>
      </c>
      <c r="H2155" t="str">
        <f t="shared" si="52"/>
        <v>MEDICARE TAXES</v>
      </c>
    </row>
    <row r="2156" spans="5:8" x14ac:dyDescent="0.25">
      <c r="E2156" t="str">
        <f>""</f>
        <v/>
      </c>
      <c r="F2156" t="str">
        <f>""</f>
        <v/>
      </c>
      <c r="H2156" t="str">
        <f t="shared" si="52"/>
        <v>MEDICARE TAXES</v>
      </c>
    </row>
    <row r="2157" spans="5:8" x14ac:dyDescent="0.25">
      <c r="E2157" t="str">
        <f>""</f>
        <v/>
      </c>
      <c r="F2157" t="str">
        <f>""</f>
        <v/>
      </c>
      <c r="H2157" t="str">
        <f t="shared" si="52"/>
        <v>MEDICARE TAXES</v>
      </c>
    </row>
    <row r="2158" spans="5:8" x14ac:dyDescent="0.25">
      <c r="E2158" t="str">
        <f>""</f>
        <v/>
      </c>
      <c r="F2158" t="str">
        <f>""</f>
        <v/>
      </c>
      <c r="H2158" t="str">
        <f t="shared" si="52"/>
        <v>MEDICARE TAXES</v>
      </c>
    </row>
    <row r="2159" spans="5:8" x14ac:dyDescent="0.25">
      <c r="E2159" t="str">
        <f>""</f>
        <v/>
      </c>
      <c r="F2159" t="str">
        <f>""</f>
        <v/>
      </c>
      <c r="H2159" t="str">
        <f t="shared" si="52"/>
        <v>MEDICARE TAXES</v>
      </c>
    </row>
    <row r="2160" spans="5:8" x14ac:dyDescent="0.25">
      <c r="E2160" t="str">
        <f>""</f>
        <v/>
      </c>
      <c r="F2160" t="str">
        <f>""</f>
        <v/>
      </c>
      <c r="H2160" t="str">
        <f t="shared" si="52"/>
        <v>MEDICARE TAXES</v>
      </c>
    </row>
    <row r="2161" spans="5:8" x14ac:dyDescent="0.25">
      <c r="E2161" t="str">
        <f>""</f>
        <v/>
      </c>
      <c r="F2161" t="str">
        <f>""</f>
        <v/>
      </c>
      <c r="H2161" t="str">
        <f t="shared" si="52"/>
        <v>MEDICARE TAXES</v>
      </c>
    </row>
    <row r="2162" spans="5:8" x14ac:dyDescent="0.25">
      <c r="E2162" t="str">
        <f>""</f>
        <v/>
      </c>
      <c r="F2162" t="str">
        <f>""</f>
        <v/>
      </c>
      <c r="H2162" t="str">
        <f t="shared" si="52"/>
        <v>MEDICARE TAXES</v>
      </c>
    </row>
    <row r="2163" spans="5:8" x14ac:dyDescent="0.25">
      <c r="E2163" t="str">
        <f>""</f>
        <v/>
      </c>
      <c r="F2163" t="str">
        <f>""</f>
        <v/>
      </c>
      <c r="H2163" t="str">
        <f t="shared" si="52"/>
        <v>MEDICARE TAXES</v>
      </c>
    </row>
    <row r="2164" spans="5:8" x14ac:dyDescent="0.25">
      <c r="E2164" t="str">
        <f>""</f>
        <v/>
      </c>
      <c r="F2164" t="str">
        <f>""</f>
        <v/>
      </c>
      <c r="H2164" t="str">
        <f t="shared" si="52"/>
        <v>MEDICARE TAXES</v>
      </c>
    </row>
    <row r="2165" spans="5:8" x14ac:dyDescent="0.25">
      <c r="E2165" t="str">
        <f>""</f>
        <v/>
      </c>
      <c r="F2165" t="str">
        <f>""</f>
        <v/>
      </c>
      <c r="H2165" t="str">
        <f t="shared" si="52"/>
        <v>MEDICARE TAXES</v>
      </c>
    </row>
    <row r="2166" spans="5:8" x14ac:dyDescent="0.25">
      <c r="E2166" t="str">
        <f>""</f>
        <v/>
      </c>
      <c r="F2166" t="str">
        <f>""</f>
        <v/>
      </c>
      <c r="H2166" t="str">
        <f t="shared" si="52"/>
        <v>MEDICARE TAXES</v>
      </c>
    </row>
    <row r="2167" spans="5:8" x14ac:dyDescent="0.25">
      <c r="E2167" t="str">
        <f>""</f>
        <v/>
      </c>
      <c r="F2167" t="str">
        <f>""</f>
        <v/>
      </c>
      <c r="H2167" t="str">
        <f t="shared" si="52"/>
        <v>MEDICARE TAXES</v>
      </c>
    </row>
    <row r="2168" spans="5:8" x14ac:dyDescent="0.25">
      <c r="E2168" t="str">
        <f>""</f>
        <v/>
      </c>
      <c r="F2168" t="str">
        <f>""</f>
        <v/>
      </c>
      <c r="H2168" t="str">
        <f t="shared" si="52"/>
        <v>MEDICARE TAXES</v>
      </c>
    </row>
    <row r="2169" spans="5:8" x14ac:dyDescent="0.25">
      <c r="E2169" t="str">
        <f>""</f>
        <v/>
      </c>
      <c r="F2169" t="str">
        <f>""</f>
        <v/>
      </c>
      <c r="H2169" t="str">
        <f t="shared" si="52"/>
        <v>MEDICARE TAXES</v>
      </c>
    </row>
    <row r="2170" spans="5:8" x14ac:dyDescent="0.25">
      <c r="E2170" t="str">
        <f>""</f>
        <v/>
      </c>
      <c r="F2170" t="str">
        <f>""</f>
        <v/>
      </c>
      <c r="H2170" t="str">
        <f t="shared" si="52"/>
        <v>MEDICARE TAXES</v>
      </c>
    </row>
    <row r="2171" spans="5:8" x14ac:dyDescent="0.25">
      <c r="E2171" t="str">
        <f>""</f>
        <v/>
      </c>
      <c r="F2171" t="str">
        <f>""</f>
        <v/>
      </c>
      <c r="H2171" t="str">
        <f t="shared" si="52"/>
        <v>MEDICARE TAXES</v>
      </c>
    </row>
    <row r="2172" spans="5:8" x14ac:dyDescent="0.25">
      <c r="E2172" t="str">
        <f>""</f>
        <v/>
      </c>
      <c r="F2172" t="str">
        <f>""</f>
        <v/>
      </c>
      <c r="H2172" t="str">
        <f t="shared" si="52"/>
        <v>MEDICARE TAXES</v>
      </c>
    </row>
    <row r="2173" spans="5:8" x14ac:dyDescent="0.25">
      <c r="E2173" t="str">
        <f>""</f>
        <v/>
      </c>
      <c r="F2173" t="str">
        <f>""</f>
        <v/>
      </c>
      <c r="H2173" t="str">
        <f t="shared" si="52"/>
        <v>MEDICARE TAXES</v>
      </c>
    </row>
    <row r="2174" spans="5:8" x14ac:dyDescent="0.25">
      <c r="E2174" t="str">
        <f>""</f>
        <v/>
      </c>
      <c r="F2174" t="str">
        <f>""</f>
        <v/>
      </c>
      <c r="H2174" t="str">
        <f t="shared" si="52"/>
        <v>MEDICARE TAXES</v>
      </c>
    </row>
    <row r="2175" spans="5:8" x14ac:dyDescent="0.25">
      <c r="E2175" t="str">
        <f>"T4 202106093832"</f>
        <v>T4 202106093832</v>
      </c>
      <c r="F2175" t="str">
        <f>"MEDICARE TAXES"</f>
        <v>MEDICARE TAXES</v>
      </c>
      <c r="G2175" s="4">
        <v>876.84</v>
      </c>
      <c r="H2175" t="str">
        <f t="shared" si="52"/>
        <v>MEDICARE TAXES</v>
      </c>
    </row>
    <row r="2176" spans="5:8" x14ac:dyDescent="0.25">
      <c r="E2176" t="str">
        <f>""</f>
        <v/>
      </c>
      <c r="F2176" t="str">
        <f>""</f>
        <v/>
      </c>
      <c r="H2176" t="str">
        <f t="shared" si="52"/>
        <v>MEDICARE TAXES</v>
      </c>
    </row>
    <row r="2177" spans="1:8" x14ac:dyDescent="0.25">
      <c r="E2177" t="str">
        <f>"T4 202106093834"</f>
        <v>T4 202106093834</v>
      </c>
      <c r="F2177" t="str">
        <f>"MEDICARE TAXES"</f>
        <v>MEDICARE TAXES</v>
      </c>
      <c r="G2177" s="4">
        <v>1058.5</v>
      </c>
      <c r="H2177" t="str">
        <f t="shared" si="52"/>
        <v>MEDICARE TAXES</v>
      </c>
    </row>
    <row r="2178" spans="1:8" x14ac:dyDescent="0.25">
      <c r="E2178" t="str">
        <f>""</f>
        <v/>
      </c>
      <c r="F2178" t="str">
        <f>""</f>
        <v/>
      </c>
      <c r="H2178" t="str">
        <f t="shared" si="52"/>
        <v>MEDICARE TAXES</v>
      </c>
    </row>
    <row r="2179" spans="1:8" x14ac:dyDescent="0.25">
      <c r="A2179" t="s">
        <v>439</v>
      </c>
      <c r="B2179">
        <v>1149</v>
      </c>
      <c r="C2179" s="4">
        <v>246368.6</v>
      </c>
      <c r="D2179" s="1">
        <v>44372</v>
      </c>
      <c r="E2179" t="str">
        <f>"T1 202106224151"</f>
        <v>T1 202106224151</v>
      </c>
      <c r="F2179" t="str">
        <f>"FEDERAL WITHHOLDING"</f>
        <v>FEDERAL WITHHOLDING</v>
      </c>
      <c r="G2179" s="4">
        <v>81536.78</v>
      </c>
      <c r="H2179" t="str">
        <f>"FEDERAL WITHHOLDING"</f>
        <v>FEDERAL WITHHOLDING</v>
      </c>
    </row>
    <row r="2180" spans="1:8" x14ac:dyDescent="0.25">
      <c r="E2180" t="str">
        <f>"T1 202106224152"</f>
        <v>T1 202106224152</v>
      </c>
      <c r="F2180" t="str">
        <f>"FEDERAL WITHHOLDING"</f>
        <v>FEDERAL WITHHOLDING</v>
      </c>
      <c r="G2180" s="4">
        <v>2691.51</v>
      </c>
      <c r="H2180" t="str">
        <f>"FEDERAL WITHHOLDING"</f>
        <v>FEDERAL WITHHOLDING</v>
      </c>
    </row>
    <row r="2181" spans="1:8" x14ac:dyDescent="0.25">
      <c r="E2181" t="str">
        <f>"T1 202106224153"</f>
        <v>T1 202106224153</v>
      </c>
      <c r="F2181" t="str">
        <f>"FEDERAL WITHHOLDING"</f>
        <v>FEDERAL WITHHOLDING</v>
      </c>
      <c r="G2181" s="4">
        <v>3102.41</v>
      </c>
      <c r="H2181" t="str">
        <f>"FEDERAL WITHHOLDING"</f>
        <v>FEDERAL WITHHOLDING</v>
      </c>
    </row>
    <row r="2182" spans="1:8" x14ac:dyDescent="0.25">
      <c r="E2182" t="str">
        <f>"T3 202106224151"</f>
        <v>T3 202106224151</v>
      </c>
      <c r="F2182" t="str">
        <f>"SOCIAL SECURITY TAXES"</f>
        <v>SOCIAL SECURITY TAXES</v>
      </c>
      <c r="G2182" s="4">
        <v>120618.92</v>
      </c>
      <c r="H2182" t="str">
        <f t="shared" ref="H2182:H2213" si="53">"SOCIAL SECURITY TAXES"</f>
        <v>SOCIAL SECURITY TAXES</v>
      </c>
    </row>
    <row r="2183" spans="1:8" x14ac:dyDescent="0.25">
      <c r="E2183" t="str">
        <f>""</f>
        <v/>
      </c>
      <c r="F2183" t="str">
        <f>""</f>
        <v/>
      </c>
      <c r="H2183" t="str">
        <f t="shared" si="53"/>
        <v>SOCIAL SECURITY TAXES</v>
      </c>
    </row>
    <row r="2184" spans="1:8" x14ac:dyDescent="0.25">
      <c r="E2184" t="str">
        <f>""</f>
        <v/>
      </c>
      <c r="F2184" t="str">
        <f>""</f>
        <v/>
      </c>
      <c r="H2184" t="str">
        <f t="shared" si="53"/>
        <v>SOCIAL SECURITY TAXES</v>
      </c>
    </row>
    <row r="2185" spans="1:8" x14ac:dyDescent="0.25">
      <c r="E2185" t="str">
        <f>""</f>
        <v/>
      </c>
      <c r="F2185" t="str">
        <f>""</f>
        <v/>
      </c>
      <c r="H2185" t="str">
        <f t="shared" si="53"/>
        <v>SOCIAL SECURITY TAXES</v>
      </c>
    </row>
    <row r="2186" spans="1:8" x14ac:dyDescent="0.25">
      <c r="E2186" t="str">
        <f>""</f>
        <v/>
      </c>
      <c r="F2186" t="str">
        <f>""</f>
        <v/>
      </c>
      <c r="H2186" t="str">
        <f t="shared" si="53"/>
        <v>SOCIAL SECURITY TAXES</v>
      </c>
    </row>
    <row r="2187" spans="1:8" x14ac:dyDescent="0.25">
      <c r="E2187" t="str">
        <f>""</f>
        <v/>
      </c>
      <c r="F2187" t="str">
        <f>""</f>
        <v/>
      </c>
      <c r="H2187" t="str">
        <f t="shared" si="53"/>
        <v>SOCIAL SECURITY TAXES</v>
      </c>
    </row>
    <row r="2188" spans="1:8" x14ac:dyDescent="0.25">
      <c r="E2188" t="str">
        <f>""</f>
        <v/>
      </c>
      <c r="F2188" t="str">
        <f>""</f>
        <v/>
      </c>
      <c r="H2188" t="str">
        <f t="shared" si="53"/>
        <v>SOCIAL SECURITY TAXES</v>
      </c>
    </row>
    <row r="2189" spans="1:8" x14ac:dyDescent="0.25">
      <c r="E2189" t="str">
        <f>""</f>
        <v/>
      </c>
      <c r="F2189" t="str">
        <f>""</f>
        <v/>
      </c>
      <c r="H2189" t="str">
        <f t="shared" si="53"/>
        <v>SOCIAL SECURITY TAXES</v>
      </c>
    </row>
    <row r="2190" spans="1:8" x14ac:dyDescent="0.25">
      <c r="E2190" t="str">
        <f>""</f>
        <v/>
      </c>
      <c r="F2190" t="str">
        <f>""</f>
        <v/>
      </c>
      <c r="H2190" t="str">
        <f t="shared" si="53"/>
        <v>SOCIAL SECURITY TAXES</v>
      </c>
    </row>
    <row r="2191" spans="1:8" x14ac:dyDescent="0.25">
      <c r="E2191" t="str">
        <f>""</f>
        <v/>
      </c>
      <c r="F2191" t="str">
        <f>""</f>
        <v/>
      </c>
      <c r="H2191" t="str">
        <f t="shared" si="53"/>
        <v>SOCIAL SECURITY TAXES</v>
      </c>
    </row>
    <row r="2192" spans="1:8" x14ac:dyDescent="0.25">
      <c r="E2192" t="str">
        <f>""</f>
        <v/>
      </c>
      <c r="F2192" t="str">
        <f>""</f>
        <v/>
      </c>
      <c r="H2192" t="str">
        <f t="shared" si="53"/>
        <v>SOCIAL SECURITY TAXES</v>
      </c>
    </row>
    <row r="2193" spans="5:8" x14ac:dyDescent="0.25">
      <c r="E2193" t="str">
        <f>""</f>
        <v/>
      </c>
      <c r="F2193" t="str">
        <f>""</f>
        <v/>
      </c>
      <c r="H2193" t="str">
        <f t="shared" si="53"/>
        <v>SOCIAL SECURITY TAXES</v>
      </c>
    </row>
    <row r="2194" spans="5:8" x14ac:dyDescent="0.25">
      <c r="E2194" t="str">
        <f>""</f>
        <v/>
      </c>
      <c r="F2194" t="str">
        <f>""</f>
        <v/>
      </c>
      <c r="H2194" t="str">
        <f t="shared" si="53"/>
        <v>SOCIAL SECURITY TAXES</v>
      </c>
    </row>
    <row r="2195" spans="5:8" x14ac:dyDescent="0.25">
      <c r="E2195" t="str">
        <f>""</f>
        <v/>
      </c>
      <c r="F2195" t="str">
        <f>""</f>
        <v/>
      </c>
      <c r="H2195" t="str">
        <f t="shared" si="53"/>
        <v>SOCIAL SECURITY TAXES</v>
      </c>
    </row>
    <row r="2196" spans="5:8" x14ac:dyDescent="0.25">
      <c r="E2196" t="str">
        <f>""</f>
        <v/>
      </c>
      <c r="F2196" t="str">
        <f>""</f>
        <v/>
      </c>
      <c r="H2196" t="str">
        <f t="shared" si="53"/>
        <v>SOCIAL SECURITY TAXES</v>
      </c>
    </row>
    <row r="2197" spans="5:8" x14ac:dyDescent="0.25">
      <c r="E2197" t="str">
        <f>""</f>
        <v/>
      </c>
      <c r="F2197" t="str">
        <f>""</f>
        <v/>
      </c>
      <c r="H2197" t="str">
        <f t="shared" si="53"/>
        <v>SOCIAL SECURITY TAXES</v>
      </c>
    </row>
    <row r="2198" spans="5:8" x14ac:dyDescent="0.25">
      <c r="E2198" t="str">
        <f>""</f>
        <v/>
      </c>
      <c r="F2198" t="str">
        <f>""</f>
        <v/>
      </c>
      <c r="H2198" t="str">
        <f t="shared" si="53"/>
        <v>SOCIAL SECURITY TAXES</v>
      </c>
    </row>
    <row r="2199" spans="5:8" x14ac:dyDescent="0.25">
      <c r="E2199" t="str">
        <f>""</f>
        <v/>
      </c>
      <c r="F2199" t="str">
        <f>""</f>
        <v/>
      </c>
      <c r="H2199" t="str">
        <f t="shared" si="53"/>
        <v>SOCIAL SECURITY TAXES</v>
      </c>
    </row>
    <row r="2200" spans="5:8" x14ac:dyDescent="0.25">
      <c r="E2200" t="str">
        <f>""</f>
        <v/>
      </c>
      <c r="F2200" t="str">
        <f>""</f>
        <v/>
      </c>
      <c r="H2200" t="str">
        <f t="shared" si="53"/>
        <v>SOCIAL SECURITY TAXES</v>
      </c>
    </row>
    <row r="2201" spans="5:8" x14ac:dyDescent="0.25">
      <c r="E2201" t="str">
        <f>""</f>
        <v/>
      </c>
      <c r="F2201" t="str">
        <f>""</f>
        <v/>
      </c>
      <c r="H2201" t="str">
        <f t="shared" si="53"/>
        <v>SOCIAL SECURITY TAXES</v>
      </c>
    </row>
    <row r="2202" spans="5:8" x14ac:dyDescent="0.25">
      <c r="E2202" t="str">
        <f>""</f>
        <v/>
      </c>
      <c r="F2202" t="str">
        <f>""</f>
        <v/>
      </c>
      <c r="H2202" t="str">
        <f t="shared" si="53"/>
        <v>SOCIAL SECURITY TAXES</v>
      </c>
    </row>
    <row r="2203" spans="5:8" x14ac:dyDescent="0.25">
      <c r="E2203" t="str">
        <f>""</f>
        <v/>
      </c>
      <c r="F2203" t="str">
        <f>""</f>
        <v/>
      </c>
      <c r="H2203" t="str">
        <f t="shared" si="53"/>
        <v>SOCIAL SECURITY TAXES</v>
      </c>
    </row>
    <row r="2204" spans="5:8" x14ac:dyDescent="0.25">
      <c r="E2204" t="str">
        <f>""</f>
        <v/>
      </c>
      <c r="F2204" t="str">
        <f>""</f>
        <v/>
      </c>
      <c r="H2204" t="str">
        <f t="shared" si="53"/>
        <v>SOCIAL SECURITY TAXES</v>
      </c>
    </row>
    <row r="2205" spans="5:8" x14ac:dyDescent="0.25">
      <c r="E2205" t="str">
        <f>""</f>
        <v/>
      </c>
      <c r="F2205" t="str">
        <f>""</f>
        <v/>
      </c>
      <c r="H2205" t="str">
        <f t="shared" si="53"/>
        <v>SOCIAL SECURITY TAXES</v>
      </c>
    </row>
    <row r="2206" spans="5:8" x14ac:dyDescent="0.25">
      <c r="E2206" t="str">
        <f>""</f>
        <v/>
      </c>
      <c r="F2206" t="str">
        <f>""</f>
        <v/>
      </c>
      <c r="H2206" t="str">
        <f t="shared" si="53"/>
        <v>SOCIAL SECURITY TAXES</v>
      </c>
    </row>
    <row r="2207" spans="5:8" x14ac:dyDescent="0.25">
      <c r="E2207" t="str">
        <f>""</f>
        <v/>
      </c>
      <c r="F2207" t="str">
        <f>""</f>
        <v/>
      </c>
      <c r="H2207" t="str">
        <f t="shared" si="53"/>
        <v>SOCIAL SECURITY TAXES</v>
      </c>
    </row>
    <row r="2208" spans="5:8" x14ac:dyDescent="0.25">
      <c r="E2208" t="str">
        <f>""</f>
        <v/>
      </c>
      <c r="F2208" t="str">
        <f>""</f>
        <v/>
      </c>
      <c r="H2208" t="str">
        <f t="shared" si="53"/>
        <v>SOCIAL SECURITY TAXES</v>
      </c>
    </row>
    <row r="2209" spans="5:8" x14ac:dyDescent="0.25">
      <c r="E2209" t="str">
        <f>""</f>
        <v/>
      </c>
      <c r="F2209" t="str">
        <f>""</f>
        <v/>
      </c>
      <c r="H2209" t="str">
        <f t="shared" si="53"/>
        <v>SOCIAL SECURITY TAXES</v>
      </c>
    </row>
    <row r="2210" spans="5:8" x14ac:dyDescent="0.25">
      <c r="E2210" t="str">
        <f>""</f>
        <v/>
      </c>
      <c r="F2210" t="str">
        <f>""</f>
        <v/>
      </c>
      <c r="H2210" t="str">
        <f t="shared" si="53"/>
        <v>SOCIAL SECURITY TAXES</v>
      </c>
    </row>
    <row r="2211" spans="5:8" x14ac:dyDescent="0.25">
      <c r="E2211" t="str">
        <f>""</f>
        <v/>
      </c>
      <c r="F2211" t="str">
        <f>""</f>
        <v/>
      </c>
      <c r="H2211" t="str">
        <f t="shared" si="53"/>
        <v>SOCIAL SECURITY TAXES</v>
      </c>
    </row>
    <row r="2212" spans="5:8" x14ac:dyDescent="0.25">
      <c r="E2212" t="str">
        <f>""</f>
        <v/>
      </c>
      <c r="F2212" t="str">
        <f>""</f>
        <v/>
      </c>
      <c r="H2212" t="str">
        <f t="shared" si="53"/>
        <v>SOCIAL SECURITY TAXES</v>
      </c>
    </row>
    <row r="2213" spans="5:8" x14ac:dyDescent="0.25">
      <c r="E2213" t="str">
        <f>""</f>
        <v/>
      </c>
      <c r="F2213" t="str">
        <f>""</f>
        <v/>
      </c>
      <c r="H2213" t="str">
        <f t="shared" si="53"/>
        <v>SOCIAL SECURITY TAXES</v>
      </c>
    </row>
    <row r="2214" spans="5:8" x14ac:dyDescent="0.25">
      <c r="E2214" t="str">
        <f>""</f>
        <v/>
      </c>
      <c r="F2214" t="str">
        <f>""</f>
        <v/>
      </c>
      <c r="H2214" t="str">
        <f t="shared" ref="H2214:H2238" si="54">"SOCIAL SECURITY TAXES"</f>
        <v>SOCIAL SECURITY TAXES</v>
      </c>
    </row>
    <row r="2215" spans="5:8" x14ac:dyDescent="0.25">
      <c r="E2215" t="str">
        <f>""</f>
        <v/>
      </c>
      <c r="F2215" t="str">
        <f>""</f>
        <v/>
      </c>
      <c r="H2215" t="str">
        <f t="shared" si="54"/>
        <v>SOCIAL SECURITY TAXES</v>
      </c>
    </row>
    <row r="2216" spans="5:8" x14ac:dyDescent="0.25">
      <c r="E2216" t="str">
        <f>""</f>
        <v/>
      </c>
      <c r="F2216" t="str">
        <f>""</f>
        <v/>
      </c>
      <c r="H2216" t="str">
        <f t="shared" si="54"/>
        <v>SOCIAL SECURITY TAXES</v>
      </c>
    </row>
    <row r="2217" spans="5:8" x14ac:dyDescent="0.25">
      <c r="E2217" t="str">
        <f>""</f>
        <v/>
      </c>
      <c r="F2217" t="str">
        <f>""</f>
        <v/>
      </c>
      <c r="H2217" t="str">
        <f t="shared" si="54"/>
        <v>SOCIAL SECURITY TAXES</v>
      </c>
    </row>
    <row r="2218" spans="5:8" x14ac:dyDescent="0.25">
      <c r="E2218" t="str">
        <f>""</f>
        <v/>
      </c>
      <c r="F2218" t="str">
        <f>""</f>
        <v/>
      </c>
      <c r="H2218" t="str">
        <f t="shared" si="54"/>
        <v>SOCIAL SECURITY TAXES</v>
      </c>
    </row>
    <row r="2219" spans="5:8" x14ac:dyDescent="0.25">
      <c r="E2219" t="str">
        <f>""</f>
        <v/>
      </c>
      <c r="F2219" t="str">
        <f>""</f>
        <v/>
      </c>
      <c r="H2219" t="str">
        <f t="shared" si="54"/>
        <v>SOCIAL SECURITY TAXES</v>
      </c>
    </row>
    <row r="2220" spans="5:8" x14ac:dyDescent="0.25">
      <c r="E2220" t="str">
        <f>""</f>
        <v/>
      </c>
      <c r="F2220" t="str">
        <f>""</f>
        <v/>
      </c>
      <c r="H2220" t="str">
        <f t="shared" si="54"/>
        <v>SOCIAL SECURITY TAXES</v>
      </c>
    </row>
    <row r="2221" spans="5:8" x14ac:dyDescent="0.25">
      <c r="E2221" t="str">
        <f>""</f>
        <v/>
      </c>
      <c r="F2221" t="str">
        <f>""</f>
        <v/>
      </c>
      <c r="H2221" t="str">
        <f t="shared" si="54"/>
        <v>SOCIAL SECURITY TAXES</v>
      </c>
    </row>
    <row r="2222" spans="5:8" x14ac:dyDescent="0.25">
      <c r="E2222" t="str">
        <f>""</f>
        <v/>
      </c>
      <c r="F2222" t="str">
        <f>""</f>
        <v/>
      </c>
      <c r="H2222" t="str">
        <f t="shared" si="54"/>
        <v>SOCIAL SECURITY TAXES</v>
      </c>
    </row>
    <row r="2223" spans="5:8" x14ac:dyDescent="0.25">
      <c r="E2223" t="str">
        <f>""</f>
        <v/>
      </c>
      <c r="F2223" t="str">
        <f>""</f>
        <v/>
      </c>
      <c r="H2223" t="str">
        <f t="shared" si="54"/>
        <v>SOCIAL SECURITY TAXES</v>
      </c>
    </row>
    <row r="2224" spans="5:8" x14ac:dyDescent="0.25">
      <c r="E2224" t="str">
        <f>""</f>
        <v/>
      </c>
      <c r="F2224" t="str">
        <f>""</f>
        <v/>
      </c>
      <c r="H2224" t="str">
        <f t="shared" si="54"/>
        <v>SOCIAL SECURITY TAXES</v>
      </c>
    </row>
    <row r="2225" spans="5:8" x14ac:dyDescent="0.25">
      <c r="E2225" t="str">
        <f>""</f>
        <v/>
      </c>
      <c r="F2225" t="str">
        <f>""</f>
        <v/>
      </c>
      <c r="H2225" t="str">
        <f t="shared" si="54"/>
        <v>SOCIAL SECURITY TAXES</v>
      </c>
    </row>
    <row r="2226" spans="5:8" x14ac:dyDescent="0.25">
      <c r="E2226" t="str">
        <f>""</f>
        <v/>
      </c>
      <c r="F2226" t="str">
        <f>""</f>
        <v/>
      </c>
      <c r="H2226" t="str">
        <f t="shared" si="54"/>
        <v>SOCIAL SECURITY TAXES</v>
      </c>
    </row>
    <row r="2227" spans="5:8" x14ac:dyDescent="0.25">
      <c r="E2227" t="str">
        <f>""</f>
        <v/>
      </c>
      <c r="F2227" t="str">
        <f>""</f>
        <v/>
      </c>
      <c r="H2227" t="str">
        <f t="shared" si="54"/>
        <v>SOCIAL SECURITY TAXES</v>
      </c>
    </row>
    <row r="2228" spans="5:8" x14ac:dyDescent="0.25">
      <c r="E2228" t="str">
        <f>""</f>
        <v/>
      </c>
      <c r="F2228" t="str">
        <f>""</f>
        <v/>
      </c>
      <c r="H2228" t="str">
        <f t="shared" si="54"/>
        <v>SOCIAL SECURITY TAXES</v>
      </c>
    </row>
    <row r="2229" spans="5:8" x14ac:dyDescent="0.25">
      <c r="E2229" t="str">
        <f>""</f>
        <v/>
      </c>
      <c r="F2229" t="str">
        <f>""</f>
        <v/>
      </c>
      <c r="H2229" t="str">
        <f t="shared" si="54"/>
        <v>SOCIAL SECURITY TAXES</v>
      </c>
    </row>
    <row r="2230" spans="5:8" x14ac:dyDescent="0.25">
      <c r="E2230" t="str">
        <f>""</f>
        <v/>
      </c>
      <c r="F2230" t="str">
        <f>""</f>
        <v/>
      </c>
      <c r="H2230" t="str">
        <f t="shared" si="54"/>
        <v>SOCIAL SECURITY TAXES</v>
      </c>
    </row>
    <row r="2231" spans="5:8" x14ac:dyDescent="0.25">
      <c r="E2231" t="str">
        <f>""</f>
        <v/>
      </c>
      <c r="F2231" t="str">
        <f>""</f>
        <v/>
      </c>
      <c r="H2231" t="str">
        <f t="shared" si="54"/>
        <v>SOCIAL SECURITY TAXES</v>
      </c>
    </row>
    <row r="2232" spans="5:8" x14ac:dyDescent="0.25">
      <c r="E2232" t="str">
        <f>""</f>
        <v/>
      </c>
      <c r="F2232" t="str">
        <f>""</f>
        <v/>
      </c>
      <c r="H2232" t="str">
        <f t="shared" si="54"/>
        <v>SOCIAL SECURITY TAXES</v>
      </c>
    </row>
    <row r="2233" spans="5:8" x14ac:dyDescent="0.25">
      <c r="E2233" t="str">
        <f>""</f>
        <v/>
      </c>
      <c r="F2233" t="str">
        <f>""</f>
        <v/>
      </c>
      <c r="H2233" t="str">
        <f t="shared" si="54"/>
        <v>SOCIAL SECURITY TAXES</v>
      </c>
    </row>
    <row r="2234" spans="5:8" x14ac:dyDescent="0.25">
      <c r="E2234" t="str">
        <f>""</f>
        <v/>
      </c>
      <c r="F2234" t="str">
        <f>""</f>
        <v/>
      </c>
      <c r="H2234" t="str">
        <f t="shared" si="54"/>
        <v>SOCIAL SECURITY TAXES</v>
      </c>
    </row>
    <row r="2235" spans="5:8" x14ac:dyDescent="0.25">
      <c r="E2235" t="str">
        <f>"T3 202106224152"</f>
        <v>T3 202106224152</v>
      </c>
      <c r="F2235" t="str">
        <f>"SOCIAL SECURITY TAXES"</f>
        <v>SOCIAL SECURITY TAXES</v>
      </c>
      <c r="G2235" s="4">
        <v>3772.16</v>
      </c>
      <c r="H2235" t="str">
        <f t="shared" si="54"/>
        <v>SOCIAL SECURITY TAXES</v>
      </c>
    </row>
    <row r="2236" spans="5:8" x14ac:dyDescent="0.25">
      <c r="E2236" t="str">
        <f>""</f>
        <v/>
      </c>
      <c r="F2236" t="str">
        <f>""</f>
        <v/>
      </c>
      <c r="H2236" t="str">
        <f t="shared" si="54"/>
        <v>SOCIAL SECURITY TAXES</v>
      </c>
    </row>
    <row r="2237" spans="5:8" x14ac:dyDescent="0.25">
      <c r="E2237" t="str">
        <f>"T3 202106224153"</f>
        <v>T3 202106224153</v>
      </c>
      <c r="F2237" t="str">
        <f>"SOCIAL SECURITY TAXES"</f>
        <v>SOCIAL SECURITY TAXES</v>
      </c>
      <c r="G2237" s="4">
        <v>4502.26</v>
      </c>
      <c r="H2237" t="str">
        <f t="shared" si="54"/>
        <v>SOCIAL SECURITY TAXES</v>
      </c>
    </row>
    <row r="2238" spans="5:8" x14ac:dyDescent="0.25">
      <c r="E2238" t="str">
        <f>""</f>
        <v/>
      </c>
      <c r="F2238" t="str">
        <f>""</f>
        <v/>
      </c>
      <c r="H2238" t="str">
        <f t="shared" si="54"/>
        <v>SOCIAL SECURITY TAXES</v>
      </c>
    </row>
    <row r="2239" spans="5:8" x14ac:dyDescent="0.25">
      <c r="E2239" t="str">
        <f>"T4 202106224151"</f>
        <v>T4 202106224151</v>
      </c>
      <c r="F2239" t="str">
        <f>"MEDICARE TAXES"</f>
        <v>MEDICARE TAXES</v>
      </c>
      <c r="G2239" s="4">
        <v>28209.360000000001</v>
      </c>
      <c r="H2239" t="str">
        <f t="shared" ref="H2239:H2270" si="55">"MEDICARE TAXES"</f>
        <v>MEDICARE TAXES</v>
      </c>
    </row>
    <row r="2240" spans="5:8" x14ac:dyDescent="0.25">
      <c r="E2240" t="str">
        <f>""</f>
        <v/>
      </c>
      <c r="F2240" t="str">
        <f>""</f>
        <v/>
      </c>
      <c r="H2240" t="str">
        <f t="shared" si="55"/>
        <v>MEDICARE TAXES</v>
      </c>
    </row>
    <row r="2241" spans="5:8" x14ac:dyDescent="0.25">
      <c r="E2241" t="str">
        <f>""</f>
        <v/>
      </c>
      <c r="F2241" t="str">
        <f>""</f>
        <v/>
      </c>
      <c r="H2241" t="str">
        <f t="shared" si="55"/>
        <v>MEDICARE TAXES</v>
      </c>
    </row>
    <row r="2242" spans="5:8" x14ac:dyDescent="0.25">
      <c r="E2242" t="str">
        <f>""</f>
        <v/>
      </c>
      <c r="F2242" t="str">
        <f>""</f>
        <v/>
      </c>
      <c r="H2242" t="str">
        <f t="shared" si="55"/>
        <v>MEDICARE TAXES</v>
      </c>
    </row>
    <row r="2243" spans="5:8" x14ac:dyDescent="0.25">
      <c r="E2243" t="str">
        <f>""</f>
        <v/>
      </c>
      <c r="F2243" t="str">
        <f>""</f>
        <v/>
      </c>
      <c r="H2243" t="str">
        <f t="shared" si="55"/>
        <v>MEDICARE TAXES</v>
      </c>
    </row>
    <row r="2244" spans="5:8" x14ac:dyDescent="0.25">
      <c r="E2244" t="str">
        <f>""</f>
        <v/>
      </c>
      <c r="F2244" t="str">
        <f>""</f>
        <v/>
      </c>
      <c r="H2244" t="str">
        <f t="shared" si="55"/>
        <v>MEDICARE TAXES</v>
      </c>
    </row>
    <row r="2245" spans="5:8" x14ac:dyDescent="0.25">
      <c r="E2245" t="str">
        <f>""</f>
        <v/>
      </c>
      <c r="F2245" t="str">
        <f>""</f>
        <v/>
      </c>
      <c r="H2245" t="str">
        <f t="shared" si="55"/>
        <v>MEDICARE TAXES</v>
      </c>
    </row>
    <row r="2246" spans="5:8" x14ac:dyDescent="0.25">
      <c r="E2246" t="str">
        <f>""</f>
        <v/>
      </c>
      <c r="F2246" t="str">
        <f>""</f>
        <v/>
      </c>
      <c r="H2246" t="str">
        <f t="shared" si="55"/>
        <v>MEDICARE TAXES</v>
      </c>
    </row>
    <row r="2247" spans="5:8" x14ac:dyDescent="0.25">
      <c r="E2247" t="str">
        <f>""</f>
        <v/>
      </c>
      <c r="F2247" t="str">
        <f>""</f>
        <v/>
      </c>
      <c r="H2247" t="str">
        <f t="shared" si="55"/>
        <v>MEDICARE TAXES</v>
      </c>
    </row>
    <row r="2248" spans="5:8" x14ac:dyDescent="0.25">
      <c r="E2248" t="str">
        <f>""</f>
        <v/>
      </c>
      <c r="F2248" t="str">
        <f>""</f>
        <v/>
      </c>
      <c r="H2248" t="str">
        <f t="shared" si="55"/>
        <v>MEDICARE TAXES</v>
      </c>
    </row>
    <row r="2249" spans="5:8" x14ac:dyDescent="0.25">
      <c r="E2249" t="str">
        <f>""</f>
        <v/>
      </c>
      <c r="F2249" t="str">
        <f>""</f>
        <v/>
      </c>
      <c r="H2249" t="str">
        <f t="shared" si="55"/>
        <v>MEDICARE TAXES</v>
      </c>
    </row>
    <row r="2250" spans="5:8" x14ac:dyDescent="0.25">
      <c r="E2250" t="str">
        <f>""</f>
        <v/>
      </c>
      <c r="F2250" t="str">
        <f>""</f>
        <v/>
      </c>
      <c r="H2250" t="str">
        <f t="shared" si="55"/>
        <v>MEDICARE TAXES</v>
      </c>
    </row>
    <row r="2251" spans="5:8" x14ac:dyDescent="0.25">
      <c r="E2251" t="str">
        <f>""</f>
        <v/>
      </c>
      <c r="F2251" t="str">
        <f>""</f>
        <v/>
      </c>
      <c r="H2251" t="str">
        <f t="shared" si="55"/>
        <v>MEDICARE TAXES</v>
      </c>
    </row>
    <row r="2252" spans="5:8" x14ac:dyDescent="0.25">
      <c r="E2252" t="str">
        <f>""</f>
        <v/>
      </c>
      <c r="F2252" t="str">
        <f>""</f>
        <v/>
      </c>
      <c r="H2252" t="str">
        <f t="shared" si="55"/>
        <v>MEDICARE TAXES</v>
      </c>
    </row>
    <row r="2253" spans="5:8" x14ac:dyDescent="0.25">
      <c r="E2253" t="str">
        <f>""</f>
        <v/>
      </c>
      <c r="F2253" t="str">
        <f>""</f>
        <v/>
      </c>
      <c r="H2253" t="str">
        <f t="shared" si="55"/>
        <v>MEDICARE TAXES</v>
      </c>
    </row>
    <row r="2254" spans="5:8" x14ac:dyDescent="0.25">
      <c r="E2254" t="str">
        <f>""</f>
        <v/>
      </c>
      <c r="F2254" t="str">
        <f>""</f>
        <v/>
      </c>
      <c r="H2254" t="str">
        <f t="shared" si="55"/>
        <v>MEDICARE TAXES</v>
      </c>
    </row>
    <row r="2255" spans="5:8" x14ac:dyDescent="0.25">
      <c r="E2255" t="str">
        <f>""</f>
        <v/>
      </c>
      <c r="F2255" t="str">
        <f>""</f>
        <v/>
      </c>
      <c r="H2255" t="str">
        <f t="shared" si="55"/>
        <v>MEDICARE TAXES</v>
      </c>
    </row>
    <row r="2256" spans="5:8" x14ac:dyDescent="0.25">
      <c r="E2256" t="str">
        <f>""</f>
        <v/>
      </c>
      <c r="F2256" t="str">
        <f>""</f>
        <v/>
      </c>
      <c r="H2256" t="str">
        <f t="shared" si="55"/>
        <v>MEDICARE TAXES</v>
      </c>
    </row>
    <row r="2257" spans="5:8" x14ac:dyDescent="0.25">
      <c r="E2257" t="str">
        <f>""</f>
        <v/>
      </c>
      <c r="F2257" t="str">
        <f>""</f>
        <v/>
      </c>
      <c r="H2257" t="str">
        <f t="shared" si="55"/>
        <v>MEDICARE TAXES</v>
      </c>
    </row>
    <row r="2258" spans="5:8" x14ac:dyDescent="0.25">
      <c r="E2258" t="str">
        <f>""</f>
        <v/>
      </c>
      <c r="F2258" t="str">
        <f>""</f>
        <v/>
      </c>
      <c r="H2258" t="str">
        <f t="shared" si="55"/>
        <v>MEDICARE TAXES</v>
      </c>
    </row>
    <row r="2259" spans="5:8" x14ac:dyDescent="0.25">
      <c r="E2259" t="str">
        <f>""</f>
        <v/>
      </c>
      <c r="F2259" t="str">
        <f>""</f>
        <v/>
      </c>
      <c r="H2259" t="str">
        <f t="shared" si="55"/>
        <v>MEDICARE TAXES</v>
      </c>
    </row>
    <row r="2260" spans="5:8" x14ac:dyDescent="0.25">
      <c r="E2260" t="str">
        <f>""</f>
        <v/>
      </c>
      <c r="F2260" t="str">
        <f>""</f>
        <v/>
      </c>
      <c r="H2260" t="str">
        <f t="shared" si="55"/>
        <v>MEDICARE TAXES</v>
      </c>
    </row>
    <row r="2261" spans="5:8" x14ac:dyDescent="0.25">
      <c r="E2261" t="str">
        <f>""</f>
        <v/>
      </c>
      <c r="F2261" t="str">
        <f>""</f>
        <v/>
      </c>
      <c r="H2261" t="str">
        <f t="shared" si="55"/>
        <v>MEDICARE TAXES</v>
      </c>
    </row>
    <row r="2262" spans="5:8" x14ac:dyDescent="0.25">
      <c r="E2262" t="str">
        <f>""</f>
        <v/>
      </c>
      <c r="F2262" t="str">
        <f>""</f>
        <v/>
      </c>
      <c r="H2262" t="str">
        <f t="shared" si="55"/>
        <v>MEDICARE TAXES</v>
      </c>
    </row>
    <row r="2263" spans="5:8" x14ac:dyDescent="0.25">
      <c r="E2263" t="str">
        <f>""</f>
        <v/>
      </c>
      <c r="F2263" t="str">
        <f>""</f>
        <v/>
      </c>
      <c r="H2263" t="str">
        <f t="shared" si="55"/>
        <v>MEDICARE TAXES</v>
      </c>
    </row>
    <row r="2264" spans="5:8" x14ac:dyDescent="0.25">
      <c r="E2264" t="str">
        <f>""</f>
        <v/>
      </c>
      <c r="F2264" t="str">
        <f>""</f>
        <v/>
      </c>
      <c r="H2264" t="str">
        <f t="shared" si="55"/>
        <v>MEDICARE TAXES</v>
      </c>
    </row>
    <row r="2265" spans="5:8" x14ac:dyDescent="0.25">
      <c r="E2265" t="str">
        <f>""</f>
        <v/>
      </c>
      <c r="F2265" t="str">
        <f>""</f>
        <v/>
      </c>
      <c r="H2265" t="str">
        <f t="shared" si="55"/>
        <v>MEDICARE TAXES</v>
      </c>
    </row>
    <row r="2266" spans="5:8" x14ac:dyDescent="0.25">
      <c r="E2266" t="str">
        <f>""</f>
        <v/>
      </c>
      <c r="F2266" t="str">
        <f>""</f>
        <v/>
      </c>
      <c r="H2266" t="str">
        <f t="shared" si="55"/>
        <v>MEDICARE TAXES</v>
      </c>
    </row>
    <row r="2267" spans="5:8" x14ac:dyDescent="0.25">
      <c r="E2267" t="str">
        <f>""</f>
        <v/>
      </c>
      <c r="F2267" t="str">
        <f>""</f>
        <v/>
      </c>
      <c r="H2267" t="str">
        <f t="shared" si="55"/>
        <v>MEDICARE TAXES</v>
      </c>
    </row>
    <row r="2268" spans="5:8" x14ac:dyDescent="0.25">
      <c r="E2268" t="str">
        <f>""</f>
        <v/>
      </c>
      <c r="F2268" t="str">
        <f>""</f>
        <v/>
      </c>
      <c r="H2268" t="str">
        <f t="shared" si="55"/>
        <v>MEDICARE TAXES</v>
      </c>
    </row>
    <row r="2269" spans="5:8" x14ac:dyDescent="0.25">
      <c r="E2269" t="str">
        <f>""</f>
        <v/>
      </c>
      <c r="F2269" t="str">
        <f>""</f>
        <v/>
      </c>
      <c r="H2269" t="str">
        <f t="shared" si="55"/>
        <v>MEDICARE TAXES</v>
      </c>
    </row>
    <row r="2270" spans="5:8" x14ac:dyDescent="0.25">
      <c r="E2270" t="str">
        <f>""</f>
        <v/>
      </c>
      <c r="F2270" t="str">
        <f>""</f>
        <v/>
      </c>
      <c r="H2270" t="str">
        <f t="shared" si="55"/>
        <v>MEDICARE TAXES</v>
      </c>
    </row>
    <row r="2271" spans="5:8" x14ac:dyDescent="0.25">
      <c r="E2271" t="str">
        <f>""</f>
        <v/>
      </c>
      <c r="F2271" t="str">
        <f>""</f>
        <v/>
      </c>
      <c r="H2271" t="str">
        <f t="shared" ref="H2271:H2295" si="56">"MEDICARE TAXES"</f>
        <v>MEDICARE TAXES</v>
      </c>
    </row>
    <row r="2272" spans="5:8" x14ac:dyDescent="0.25">
      <c r="E2272" t="str">
        <f>""</f>
        <v/>
      </c>
      <c r="F2272" t="str">
        <f>""</f>
        <v/>
      </c>
      <c r="H2272" t="str">
        <f t="shared" si="56"/>
        <v>MEDICARE TAXES</v>
      </c>
    </row>
    <row r="2273" spans="5:8" x14ac:dyDescent="0.25">
      <c r="E2273" t="str">
        <f>""</f>
        <v/>
      </c>
      <c r="F2273" t="str">
        <f>""</f>
        <v/>
      </c>
      <c r="H2273" t="str">
        <f t="shared" si="56"/>
        <v>MEDICARE TAXES</v>
      </c>
    </row>
    <row r="2274" spans="5:8" x14ac:dyDescent="0.25">
      <c r="E2274" t="str">
        <f>""</f>
        <v/>
      </c>
      <c r="F2274" t="str">
        <f>""</f>
        <v/>
      </c>
      <c r="H2274" t="str">
        <f t="shared" si="56"/>
        <v>MEDICARE TAXES</v>
      </c>
    </row>
    <row r="2275" spans="5:8" x14ac:dyDescent="0.25">
      <c r="E2275" t="str">
        <f>""</f>
        <v/>
      </c>
      <c r="F2275" t="str">
        <f>""</f>
        <v/>
      </c>
      <c r="H2275" t="str">
        <f t="shared" si="56"/>
        <v>MEDICARE TAXES</v>
      </c>
    </row>
    <row r="2276" spans="5:8" x14ac:dyDescent="0.25">
      <c r="E2276" t="str">
        <f>""</f>
        <v/>
      </c>
      <c r="F2276" t="str">
        <f>""</f>
        <v/>
      </c>
      <c r="H2276" t="str">
        <f t="shared" si="56"/>
        <v>MEDICARE TAXES</v>
      </c>
    </row>
    <row r="2277" spans="5:8" x14ac:dyDescent="0.25">
      <c r="E2277" t="str">
        <f>""</f>
        <v/>
      </c>
      <c r="F2277" t="str">
        <f>""</f>
        <v/>
      </c>
      <c r="H2277" t="str">
        <f t="shared" si="56"/>
        <v>MEDICARE TAXES</v>
      </c>
    </row>
    <row r="2278" spans="5:8" x14ac:dyDescent="0.25">
      <c r="E2278" t="str">
        <f>""</f>
        <v/>
      </c>
      <c r="F2278" t="str">
        <f>""</f>
        <v/>
      </c>
      <c r="H2278" t="str">
        <f t="shared" si="56"/>
        <v>MEDICARE TAXES</v>
      </c>
    </row>
    <row r="2279" spans="5:8" x14ac:dyDescent="0.25">
      <c r="E2279" t="str">
        <f>""</f>
        <v/>
      </c>
      <c r="F2279" t="str">
        <f>""</f>
        <v/>
      </c>
      <c r="H2279" t="str">
        <f t="shared" si="56"/>
        <v>MEDICARE TAXES</v>
      </c>
    </row>
    <row r="2280" spans="5:8" x14ac:dyDescent="0.25">
      <c r="E2280" t="str">
        <f>""</f>
        <v/>
      </c>
      <c r="F2280" t="str">
        <f>""</f>
        <v/>
      </c>
      <c r="H2280" t="str">
        <f t="shared" si="56"/>
        <v>MEDICARE TAXES</v>
      </c>
    </row>
    <row r="2281" spans="5:8" x14ac:dyDescent="0.25">
      <c r="E2281" t="str">
        <f>""</f>
        <v/>
      </c>
      <c r="F2281" t="str">
        <f>""</f>
        <v/>
      </c>
      <c r="H2281" t="str">
        <f t="shared" si="56"/>
        <v>MEDICARE TAXES</v>
      </c>
    </row>
    <row r="2282" spans="5:8" x14ac:dyDescent="0.25">
      <c r="E2282" t="str">
        <f>""</f>
        <v/>
      </c>
      <c r="F2282" t="str">
        <f>""</f>
        <v/>
      </c>
      <c r="H2282" t="str">
        <f t="shared" si="56"/>
        <v>MEDICARE TAXES</v>
      </c>
    </row>
    <row r="2283" spans="5:8" x14ac:dyDescent="0.25">
      <c r="E2283" t="str">
        <f>""</f>
        <v/>
      </c>
      <c r="F2283" t="str">
        <f>""</f>
        <v/>
      </c>
      <c r="H2283" t="str">
        <f t="shared" si="56"/>
        <v>MEDICARE TAXES</v>
      </c>
    </row>
    <row r="2284" spans="5:8" x14ac:dyDescent="0.25">
      <c r="E2284" t="str">
        <f>""</f>
        <v/>
      </c>
      <c r="F2284" t="str">
        <f>""</f>
        <v/>
      </c>
      <c r="H2284" t="str">
        <f t="shared" si="56"/>
        <v>MEDICARE TAXES</v>
      </c>
    </row>
    <row r="2285" spans="5:8" x14ac:dyDescent="0.25">
      <c r="E2285" t="str">
        <f>""</f>
        <v/>
      </c>
      <c r="F2285" t="str">
        <f>""</f>
        <v/>
      </c>
      <c r="H2285" t="str">
        <f t="shared" si="56"/>
        <v>MEDICARE TAXES</v>
      </c>
    </row>
    <row r="2286" spans="5:8" x14ac:dyDescent="0.25">
      <c r="E2286" t="str">
        <f>""</f>
        <v/>
      </c>
      <c r="F2286" t="str">
        <f>""</f>
        <v/>
      </c>
      <c r="H2286" t="str">
        <f t="shared" si="56"/>
        <v>MEDICARE TAXES</v>
      </c>
    </row>
    <row r="2287" spans="5:8" x14ac:dyDescent="0.25">
      <c r="E2287" t="str">
        <f>""</f>
        <v/>
      </c>
      <c r="F2287" t="str">
        <f>""</f>
        <v/>
      </c>
      <c r="H2287" t="str">
        <f t="shared" si="56"/>
        <v>MEDICARE TAXES</v>
      </c>
    </row>
    <row r="2288" spans="5:8" x14ac:dyDescent="0.25">
      <c r="E2288" t="str">
        <f>""</f>
        <v/>
      </c>
      <c r="F2288" t="str">
        <f>""</f>
        <v/>
      </c>
      <c r="H2288" t="str">
        <f t="shared" si="56"/>
        <v>MEDICARE TAXES</v>
      </c>
    </row>
    <row r="2289" spans="1:8" x14ac:dyDescent="0.25">
      <c r="E2289" t="str">
        <f>""</f>
        <v/>
      </c>
      <c r="F2289" t="str">
        <f>""</f>
        <v/>
      </c>
      <c r="H2289" t="str">
        <f t="shared" si="56"/>
        <v>MEDICARE TAXES</v>
      </c>
    </row>
    <row r="2290" spans="1:8" x14ac:dyDescent="0.25">
      <c r="E2290" t="str">
        <f>""</f>
        <v/>
      </c>
      <c r="F2290" t="str">
        <f>""</f>
        <v/>
      </c>
      <c r="H2290" t="str">
        <f t="shared" si="56"/>
        <v>MEDICARE TAXES</v>
      </c>
    </row>
    <row r="2291" spans="1:8" x14ac:dyDescent="0.25">
      <c r="E2291" t="str">
        <f>""</f>
        <v/>
      </c>
      <c r="F2291" t="str">
        <f>""</f>
        <v/>
      </c>
      <c r="H2291" t="str">
        <f t="shared" si="56"/>
        <v>MEDICARE TAXES</v>
      </c>
    </row>
    <row r="2292" spans="1:8" x14ac:dyDescent="0.25">
      <c r="E2292" t="str">
        <f>"T4 202106224152"</f>
        <v>T4 202106224152</v>
      </c>
      <c r="F2292" t="str">
        <f>"MEDICARE TAXES"</f>
        <v>MEDICARE TAXES</v>
      </c>
      <c r="G2292" s="4">
        <v>882.24</v>
      </c>
      <c r="H2292" t="str">
        <f t="shared" si="56"/>
        <v>MEDICARE TAXES</v>
      </c>
    </row>
    <row r="2293" spans="1:8" x14ac:dyDescent="0.25">
      <c r="E2293" t="str">
        <f>""</f>
        <v/>
      </c>
      <c r="F2293" t="str">
        <f>""</f>
        <v/>
      </c>
      <c r="H2293" t="str">
        <f t="shared" si="56"/>
        <v>MEDICARE TAXES</v>
      </c>
    </row>
    <row r="2294" spans="1:8" x14ac:dyDescent="0.25">
      <c r="E2294" t="str">
        <f>"T4 202106224153"</f>
        <v>T4 202106224153</v>
      </c>
      <c r="F2294" t="str">
        <f>"MEDICARE TAXES"</f>
        <v>MEDICARE TAXES</v>
      </c>
      <c r="G2294" s="4">
        <v>1052.96</v>
      </c>
      <c r="H2294" t="str">
        <f t="shared" si="56"/>
        <v>MEDICARE TAXES</v>
      </c>
    </row>
    <row r="2295" spans="1:8" x14ac:dyDescent="0.25">
      <c r="E2295" t="str">
        <f>""</f>
        <v/>
      </c>
      <c r="F2295" t="str">
        <f>""</f>
        <v/>
      </c>
      <c r="H2295" t="str">
        <f t="shared" si="56"/>
        <v>MEDICARE TAXES</v>
      </c>
    </row>
    <row r="2296" spans="1:8" x14ac:dyDescent="0.25">
      <c r="A2296" t="s">
        <v>440</v>
      </c>
      <c r="B2296">
        <v>1159</v>
      </c>
      <c r="C2296" s="4">
        <v>425.32</v>
      </c>
      <c r="D2296" s="1">
        <v>44376</v>
      </c>
      <c r="E2296" t="str">
        <f>"LIX202106093830"</f>
        <v>LIX202106093830</v>
      </c>
      <c r="F2296" t="str">
        <f>"TEXAS LIFE/OLIVO GROUP"</f>
        <v>TEXAS LIFE/OLIVO GROUP</v>
      </c>
      <c r="G2296" s="4">
        <v>212.66</v>
      </c>
      <c r="H2296" t="str">
        <f>"TEXAS LIFE/OLIVO GROUP"</f>
        <v>TEXAS LIFE/OLIVO GROUP</v>
      </c>
    </row>
    <row r="2297" spans="1:8" x14ac:dyDescent="0.25">
      <c r="E2297" t="str">
        <f>"LIX202106224151"</f>
        <v>LIX202106224151</v>
      </c>
      <c r="F2297" t="str">
        <f>"TEXAS LIFE/OLIVO GROUP"</f>
        <v>TEXAS LIFE/OLIVO GROUP</v>
      </c>
      <c r="G2297" s="4">
        <v>212.66</v>
      </c>
      <c r="H2297" t="str">
        <f>"TEXAS LIFE/OLIVO GROUP"</f>
        <v>TEXAS LIFE/OLIVO GROUP</v>
      </c>
    </row>
    <row r="2298" spans="1:8" x14ac:dyDescent="0.25">
      <c r="A2298" t="s">
        <v>441</v>
      </c>
      <c r="B2298">
        <v>48405</v>
      </c>
      <c r="C2298" s="4">
        <v>383699.7</v>
      </c>
      <c r="D2298" s="1">
        <v>44376</v>
      </c>
      <c r="E2298" t="str">
        <f>"202106294199"</f>
        <v>202106294199</v>
      </c>
      <c r="F2298" t="str">
        <f>"RETIREE INS - JUNE 2021"</f>
        <v>RETIREE INS - JUNE 2021</v>
      </c>
      <c r="G2298" s="4">
        <v>17603.22</v>
      </c>
      <c r="H2298" t="str">
        <f>"RETIREE INS - JUNE 2021"</f>
        <v>RETIREE INS - JUNE 2021</v>
      </c>
    </row>
    <row r="2299" spans="1:8" x14ac:dyDescent="0.25">
      <c r="E2299" t="str">
        <f>"2EC202106093830"</f>
        <v>2EC202106093830</v>
      </c>
      <c r="F2299" t="str">
        <f>"BCBS PAYABLE"</f>
        <v>BCBS PAYABLE</v>
      </c>
      <c r="G2299" s="4">
        <v>51673.599999999999</v>
      </c>
      <c r="H2299" t="str">
        <f t="shared" ref="H2299:H2362" si="57">"BCBS PAYABLE"</f>
        <v>BCBS PAYABLE</v>
      </c>
    </row>
    <row r="2300" spans="1:8" x14ac:dyDescent="0.25">
      <c r="E2300" t="str">
        <f>""</f>
        <v/>
      </c>
      <c r="F2300" t="str">
        <f>""</f>
        <v/>
      </c>
      <c r="H2300" t="str">
        <f t="shared" si="57"/>
        <v>BCBS PAYABLE</v>
      </c>
    </row>
    <row r="2301" spans="1:8" x14ac:dyDescent="0.25">
      <c r="E2301" t="str">
        <f>""</f>
        <v/>
      </c>
      <c r="F2301" t="str">
        <f>""</f>
        <v/>
      </c>
      <c r="H2301" t="str">
        <f t="shared" si="57"/>
        <v>BCBS PAYABLE</v>
      </c>
    </row>
    <row r="2302" spans="1:8" x14ac:dyDescent="0.25">
      <c r="E2302" t="str">
        <f>""</f>
        <v/>
      </c>
      <c r="F2302" t="str">
        <f>""</f>
        <v/>
      </c>
      <c r="H2302" t="str">
        <f t="shared" si="57"/>
        <v>BCBS PAYABLE</v>
      </c>
    </row>
    <row r="2303" spans="1:8" x14ac:dyDescent="0.25">
      <c r="E2303" t="str">
        <f>""</f>
        <v/>
      </c>
      <c r="F2303" t="str">
        <f>""</f>
        <v/>
      </c>
      <c r="H2303" t="str">
        <f t="shared" si="57"/>
        <v>BCBS PAYABLE</v>
      </c>
    </row>
    <row r="2304" spans="1:8" x14ac:dyDescent="0.25">
      <c r="E2304" t="str">
        <f>""</f>
        <v/>
      </c>
      <c r="F2304" t="str">
        <f>""</f>
        <v/>
      </c>
      <c r="H2304" t="str">
        <f t="shared" si="57"/>
        <v>BCBS PAYABLE</v>
      </c>
    </row>
    <row r="2305" spans="5:8" x14ac:dyDescent="0.25">
      <c r="E2305" t="str">
        <f>""</f>
        <v/>
      </c>
      <c r="F2305" t="str">
        <f>""</f>
        <v/>
      </c>
      <c r="H2305" t="str">
        <f t="shared" si="57"/>
        <v>BCBS PAYABLE</v>
      </c>
    </row>
    <row r="2306" spans="5:8" x14ac:dyDescent="0.25">
      <c r="E2306" t="str">
        <f>""</f>
        <v/>
      </c>
      <c r="F2306" t="str">
        <f>""</f>
        <v/>
      </c>
      <c r="H2306" t="str">
        <f t="shared" si="57"/>
        <v>BCBS PAYABLE</v>
      </c>
    </row>
    <row r="2307" spans="5:8" x14ac:dyDescent="0.25">
      <c r="E2307" t="str">
        <f>""</f>
        <v/>
      </c>
      <c r="F2307" t="str">
        <f>""</f>
        <v/>
      </c>
      <c r="H2307" t="str">
        <f t="shared" si="57"/>
        <v>BCBS PAYABLE</v>
      </c>
    </row>
    <row r="2308" spans="5:8" x14ac:dyDescent="0.25">
      <c r="E2308" t="str">
        <f>""</f>
        <v/>
      </c>
      <c r="F2308" t="str">
        <f>""</f>
        <v/>
      </c>
      <c r="H2308" t="str">
        <f t="shared" si="57"/>
        <v>BCBS PAYABLE</v>
      </c>
    </row>
    <row r="2309" spans="5:8" x14ac:dyDescent="0.25">
      <c r="E2309" t="str">
        <f>""</f>
        <v/>
      </c>
      <c r="F2309" t="str">
        <f>""</f>
        <v/>
      </c>
      <c r="H2309" t="str">
        <f t="shared" si="57"/>
        <v>BCBS PAYABLE</v>
      </c>
    </row>
    <row r="2310" spans="5:8" x14ac:dyDescent="0.25">
      <c r="E2310" t="str">
        <f>""</f>
        <v/>
      </c>
      <c r="F2310" t="str">
        <f>""</f>
        <v/>
      </c>
      <c r="H2310" t="str">
        <f t="shared" si="57"/>
        <v>BCBS PAYABLE</v>
      </c>
    </row>
    <row r="2311" spans="5:8" x14ac:dyDescent="0.25">
      <c r="E2311" t="str">
        <f>""</f>
        <v/>
      </c>
      <c r="F2311" t="str">
        <f>""</f>
        <v/>
      </c>
      <c r="H2311" t="str">
        <f t="shared" si="57"/>
        <v>BCBS PAYABLE</v>
      </c>
    </row>
    <row r="2312" spans="5:8" x14ac:dyDescent="0.25">
      <c r="E2312" t="str">
        <f>""</f>
        <v/>
      </c>
      <c r="F2312" t="str">
        <f>""</f>
        <v/>
      </c>
      <c r="H2312" t="str">
        <f t="shared" si="57"/>
        <v>BCBS PAYABLE</v>
      </c>
    </row>
    <row r="2313" spans="5:8" x14ac:dyDescent="0.25">
      <c r="E2313" t="str">
        <f>""</f>
        <v/>
      </c>
      <c r="F2313" t="str">
        <f>""</f>
        <v/>
      </c>
      <c r="H2313" t="str">
        <f t="shared" si="57"/>
        <v>BCBS PAYABLE</v>
      </c>
    </row>
    <row r="2314" spans="5:8" x14ac:dyDescent="0.25">
      <c r="E2314" t="str">
        <f>""</f>
        <v/>
      </c>
      <c r="F2314" t="str">
        <f>""</f>
        <v/>
      </c>
      <c r="H2314" t="str">
        <f t="shared" si="57"/>
        <v>BCBS PAYABLE</v>
      </c>
    </row>
    <row r="2315" spans="5:8" x14ac:dyDescent="0.25">
      <c r="E2315" t="str">
        <f>""</f>
        <v/>
      </c>
      <c r="F2315" t="str">
        <f>""</f>
        <v/>
      </c>
      <c r="H2315" t="str">
        <f t="shared" si="57"/>
        <v>BCBS PAYABLE</v>
      </c>
    </row>
    <row r="2316" spans="5:8" x14ac:dyDescent="0.25">
      <c r="E2316" t="str">
        <f>""</f>
        <v/>
      </c>
      <c r="F2316" t="str">
        <f>""</f>
        <v/>
      </c>
      <c r="H2316" t="str">
        <f t="shared" si="57"/>
        <v>BCBS PAYABLE</v>
      </c>
    </row>
    <row r="2317" spans="5:8" x14ac:dyDescent="0.25">
      <c r="E2317" t="str">
        <f>""</f>
        <v/>
      </c>
      <c r="F2317" t="str">
        <f>""</f>
        <v/>
      </c>
      <c r="H2317" t="str">
        <f t="shared" si="57"/>
        <v>BCBS PAYABLE</v>
      </c>
    </row>
    <row r="2318" spans="5:8" x14ac:dyDescent="0.25">
      <c r="E2318" t="str">
        <f>""</f>
        <v/>
      </c>
      <c r="F2318" t="str">
        <f>""</f>
        <v/>
      </c>
      <c r="H2318" t="str">
        <f t="shared" si="57"/>
        <v>BCBS PAYABLE</v>
      </c>
    </row>
    <row r="2319" spans="5:8" x14ac:dyDescent="0.25">
      <c r="E2319" t="str">
        <f>""</f>
        <v/>
      </c>
      <c r="F2319" t="str">
        <f>""</f>
        <v/>
      </c>
      <c r="H2319" t="str">
        <f t="shared" si="57"/>
        <v>BCBS PAYABLE</v>
      </c>
    </row>
    <row r="2320" spans="5:8" x14ac:dyDescent="0.25">
      <c r="E2320" t="str">
        <f>""</f>
        <v/>
      </c>
      <c r="F2320" t="str">
        <f>""</f>
        <v/>
      </c>
      <c r="H2320" t="str">
        <f t="shared" si="57"/>
        <v>BCBS PAYABLE</v>
      </c>
    </row>
    <row r="2321" spans="5:8" x14ac:dyDescent="0.25">
      <c r="E2321" t="str">
        <f>""</f>
        <v/>
      </c>
      <c r="F2321" t="str">
        <f>""</f>
        <v/>
      </c>
      <c r="H2321" t="str">
        <f t="shared" si="57"/>
        <v>BCBS PAYABLE</v>
      </c>
    </row>
    <row r="2322" spans="5:8" x14ac:dyDescent="0.25">
      <c r="E2322" t="str">
        <f>""</f>
        <v/>
      </c>
      <c r="F2322" t="str">
        <f>""</f>
        <v/>
      </c>
      <c r="H2322" t="str">
        <f t="shared" si="57"/>
        <v>BCBS PAYABLE</v>
      </c>
    </row>
    <row r="2323" spans="5:8" x14ac:dyDescent="0.25">
      <c r="E2323" t="str">
        <f>""</f>
        <v/>
      </c>
      <c r="F2323" t="str">
        <f>""</f>
        <v/>
      </c>
      <c r="H2323" t="str">
        <f t="shared" si="57"/>
        <v>BCBS PAYABLE</v>
      </c>
    </row>
    <row r="2324" spans="5:8" x14ac:dyDescent="0.25">
      <c r="E2324" t="str">
        <f>""</f>
        <v/>
      </c>
      <c r="F2324" t="str">
        <f>""</f>
        <v/>
      </c>
      <c r="H2324" t="str">
        <f t="shared" si="57"/>
        <v>BCBS PAYABLE</v>
      </c>
    </row>
    <row r="2325" spans="5:8" x14ac:dyDescent="0.25">
      <c r="E2325" t="str">
        <f>""</f>
        <v/>
      </c>
      <c r="F2325" t="str">
        <f>""</f>
        <v/>
      </c>
      <c r="H2325" t="str">
        <f t="shared" si="57"/>
        <v>BCBS PAYABLE</v>
      </c>
    </row>
    <row r="2326" spans="5:8" x14ac:dyDescent="0.25">
      <c r="E2326" t="str">
        <f>""</f>
        <v/>
      </c>
      <c r="F2326" t="str">
        <f>""</f>
        <v/>
      </c>
      <c r="H2326" t="str">
        <f t="shared" si="57"/>
        <v>BCBS PAYABLE</v>
      </c>
    </row>
    <row r="2327" spans="5:8" x14ac:dyDescent="0.25">
      <c r="E2327" t="str">
        <f>""</f>
        <v/>
      </c>
      <c r="F2327" t="str">
        <f>""</f>
        <v/>
      </c>
      <c r="H2327" t="str">
        <f t="shared" si="57"/>
        <v>BCBS PAYABLE</v>
      </c>
    </row>
    <row r="2328" spans="5:8" x14ac:dyDescent="0.25">
      <c r="E2328" t="str">
        <f>""</f>
        <v/>
      </c>
      <c r="F2328" t="str">
        <f>""</f>
        <v/>
      </c>
      <c r="H2328" t="str">
        <f t="shared" si="57"/>
        <v>BCBS PAYABLE</v>
      </c>
    </row>
    <row r="2329" spans="5:8" x14ac:dyDescent="0.25">
      <c r="E2329" t="str">
        <f>""</f>
        <v/>
      </c>
      <c r="F2329" t="str">
        <f>""</f>
        <v/>
      </c>
      <c r="H2329" t="str">
        <f t="shared" si="57"/>
        <v>BCBS PAYABLE</v>
      </c>
    </row>
    <row r="2330" spans="5:8" x14ac:dyDescent="0.25">
      <c r="E2330" t="str">
        <f>""</f>
        <v/>
      </c>
      <c r="F2330" t="str">
        <f>""</f>
        <v/>
      </c>
      <c r="H2330" t="str">
        <f t="shared" si="57"/>
        <v>BCBS PAYABLE</v>
      </c>
    </row>
    <row r="2331" spans="5:8" x14ac:dyDescent="0.25">
      <c r="E2331" t="str">
        <f>""</f>
        <v/>
      </c>
      <c r="F2331" t="str">
        <f>""</f>
        <v/>
      </c>
      <c r="H2331" t="str">
        <f t="shared" si="57"/>
        <v>BCBS PAYABLE</v>
      </c>
    </row>
    <row r="2332" spans="5:8" x14ac:dyDescent="0.25">
      <c r="E2332" t="str">
        <f>""</f>
        <v/>
      </c>
      <c r="F2332" t="str">
        <f>""</f>
        <v/>
      </c>
      <c r="H2332" t="str">
        <f t="shared" si="57"/>
        <v>BCBS PAYABLE</v>
      </c>
    </row>
    <row r="2333" spans="5:8" x14ac:dyDescent="0.25">
      <c r="E2333" t="str">
        <f>""</f>
        <v/>
      </c>
      <c r="F2333" t="str">
        <f>""</f>
        <v/>
      </c>
      <c r="H2333" t="str">
        <f t="shared" si="57"/>
        <v>BCBS PAYABLE</v>
      </c>
    </row>
    <row r="2334" spans="5:8" x14ac:dyDescent="0.25">
      <c r="E2334" t="str">
        <f>"2EC202106093832"</f>
        <v>2EC202106093832</v>
      </c>
      <c r="F2334" t="str">
        <f>"BCBS PAYABLE"</f>
        <v>BCBS PAYABLE</v>
      </c>
      <c r="G2334" s="4">
        <v>2348.8000000000002</v>
      </c>
      <c r="H2334" t="str">
        <f t="shared" si="57"/>
        <v>BCBS PAYABLE</v>
      </c>
    </row>
    <row r="2335" spans="5:8" x14ac:dyDescent="0.25">
      <c r="E2335" t="str">
        <f>""</f>
        <v/>
      </c>
      <c r="F2335" t="str">
        <f>""</f>
        <v/>
      </c>
      <c r="H2335" t="str">
        <f t="shared" si="57"/>
        <v>BCBS PAYABLE</v>
      </c>
    </row>
    <row r="2336" spans="5:8" x14ac:dyDescent="0.25">
      <c r="E2336" t="str">
        <f>"2EC202106224151"</f>
        <v>2EC202106224151</v>
      </c>
      <c r="F2336" t="str">
        <f>"BCBS PAYABLE"</f>
        <v>BCBS PAYABLE</v>
      </c>
      <c r="G2336" s="4">
        <v>52271.29</v>
      </c>
      <c r="H2336" t="str">
        <f t="shared" si="57"/>
        <v>BCBS PAYABLE</v>
      </c>
    </row>
    <row r="2337" spans="5:8" x14ac:dyDescent="0.25">
      <c r="E2337" t="str">
        <f>""</f>
        <v/>
      </c>
      <c r="F2337" t="str">
        <f>""</f>
        <v/>
      </c>
      <c r="H2337" t="str">
        <f t="shared" si="57"/>
        <v>BCBS PAYABLE</v>
      </c>
    </row>
    <row r="2338" spans="5:8" x14ac:dyDescent="0.25">
      <c r="E2338" t="str">
        <f>""</f>
        <v/>
      </c>
      <c r="F2338" t="str">
        <f>""</f>
        <v/>
      </c>
      <c r="H2338" t="str">
        <f t="shared" si="57"/>
        <v>BCBS PAYABLE</v>
      </c>
    </row>
    <row r="2339" spans="5:8" x14ac:dyDescent="0.25">
      <c r="E2339" t="str">
        <f>""</f>
        <v/>
      </c>
      <c r="F2339" t="str">
        <f>""</f>
        <v/>
      </c>
      <c r="H2339" t="str">
        <f t="shared" si="57"/>
        <v>BCBS PAYABLE</v>
      </c>
    </row>
    <row r="2340" spans="5:8" x14ac:dyDescent="0.25">
      <c r="E2340" t="str">
        <f>""</f>
        <v/>
      </c>
      <c r="F2340" t="str">
        <f>""</f>
        <v/>
      </c>
      <c r="H2340" t="str">
        <f t="shared" si="57"/>
        <v>BCBS PAYABLE</v>
      </c>
    </row>
    <row r="2341" spans="5:8" x14ac:dyDescent="0.25">
      <c r="E2341" t="str">
        <f>""</f>
        <v/>
      </c>
      <c r="F2341" t="str">
        <f>""</f>
        <v/>
      </c>
      <c r="H2341" t="str">
        <f t="shared" si="57"/>
        <v>BCBS PAYABLE</v>
      </c>
    </row>
    <row r="2342" spans="5:8" x14ac:dyDescent="0.25">
      <c r="E2342" t="str">
        <f>""</f>
        <v/>
      </c>
      <c r="F2342" t="str">
        <f>""</f>
        <v/>
      </c>
      <c r="H2342" t="str">
        <f t="shared" si="57"/>
        <v>BCBS PAYABLE</v>
      </c>
    </row>
    <row r="2343" spans="5:8" x14ac:dyDescent="0.25">
      <c r="E2343" t="str">
        <f>""</f>
        <v/>
      </c>
      <c r="F2343" t="str">
        <f>""</f>
        <v/>
      </c>
      <c r="H2343" t="str">
        <f t="shared" si="57"/>
        <v>BCBS PAYABLE</v>
      </c>
    </row>
    <row r="2344" spans="5:8" x14ac:dyDescent="0.25">
      <c r="E2344" t="str">
        <f>""</f>
        <v/>
      </c>
      <c r="F2344" t="str">
        <f>""</f>
        <v/>
      </c>
      <c r="H2344" t="str">
        <f t="shared" si="57"/>
        <v>BCBS PAYABLE</v>
      </c>
    </row>
    <row r="2345" spans="5:8" x14ac:dyDescent="0.25">
      <c r="E2345" t="str">
        <f>""</f>
        <v/>
      </c>
      <c r="F2345" t="str">
        <f>""</f>
        <v/>
      </c>
      <c r="H2345" t="str">
        <f t="shared" si="57"/>
        <v>BCBS PAYABLE</v>
      </c>
    </row>
    <row r="2346" spans="5:8" x14ac:dyDescent="0.25">
      <c r="E2346" t="str">
        <f>""</f>
        <v/>
      </c>
      <c r="F2346" t="str">
        <f>""</f>
        <v/>
      </c>
      <c r="H2346" t="str">
        <f t="shared" si="57"/>
        <v>BCBS PAYABLE</v>
      </c>
    </row>
    <row r="2347" spans="5:8" x14ac:dyDescent="0.25">
      <c r="E2347" t="str">
        <f>""</f>
        <v/>
      </c>
      <c r="F2347" t="str">
        <f>""</f>
        <v/>
      </c>
      <c r="H2347" t="str">
        <f t="shared" si="57"/>
        <v>BCBS PAYABLE</v>
      </c>
    </row>
    <row r="2348" spans="5:8" x14ac:dyDescent="0.25">
      <c r="E2348" t="str">
        <f>""</f>
        <v/>
      </c>
      <c r="F2348" t="str">
        <f>""</f>
        <v/>
      </c>
      <c r="H2348" t="str">
        <f t="shared" si="57"/>
        <v>BCBS PAYABLE</v>
      </c>
    </row>
    <row r="2349" spans="5:8" x14ac:dyDescent="0.25">
      <c r="E2349" t="str">
        <f>""</f>
        <v/>
      </c>
      <c r="F2349" t="str">
        <f>""</f>
        <v/>
      </c>
      <c r="H2349" t="str">
        <f t="shared" si="57"/>
        <v>BCBS PAYABLE</v>
      </c>
    </row>
    <row r="2350" spans="5:8" x14ac:dyDescent="0.25">
      <c r="E2350" t="str">
        <f>""</f>
        <v/>
      </c>
      <c r="F2350" t="str">
        <f>""</f>
        <v/>
      </c>
      <c r="H2350" t="str">
        <f t="shared" si="57"/>
        <v>BCBS PAYABLE</v>
      </c>
    </row>
    <row r="2351" spans="5:8" x14ac:dyDescent="0.25">
      <c r="E2351" t="str">
        <f>""</f>
        <v/>
      </c>
      <c r="F2351" t="str">
        <f>""</f>
        <v/>
      </c>
      <c r="H2351" t="str">
        <f t="shared" si="57"/>
        <v>BCBS PAYABLE</v>
      </c>
    </row>
    <row r="2352" spans="5:8" x14ac:dyDescent="0.25">
      <c r="E2352" t="str">
        <f>""</f>
        <v/>
      </c>
      <c r="F2352" t="str">
        <f>""</f>
        <v/>
      </c>
      <c r="H2352" t="str">
        <f t="shared" si="57"/>
        <v>BCBS PAYABLE</v>
      </c>
    </row>
    <row r="2353" spans="5:8" x14ac:dyDescent="0.25">
      <c r="E2353" t="str">
        <f>""</f>
        <v/>
      </c>
      <c r="F2353" t="str">
        <f>""</f>
        <v/>
      </c>
      <c r="H2353" t="str">
        <f t="shared" si="57"/>
        <v>BCBS PAYABLE</v>
      </c>
    </row>
    <row r="2354" spans="5:8" x14ac:dyDescent="0.25">
      <c r="E2354" t="str">
        <f>""</f>
        <v/>
      </c>
      <c r="F2354" t="str">
        <f>""</f>
        <v/>
      </c>
      <c r="H2354" t="str">
        <f t="shared" si="57"/>
        <v>BCBS PAYABLE</v>
      </c>
    </row>
    <row r="2355" spans="5:8" x14ac:dyDescent="0.25">
      <c r="E2355" t="str">
        <f>""</f>
        <v/>
      </c>
      <c r="F2355" t="str">
        <f>""</f>
        <v/>
      </c>
      <c r="H2355" t="str">
        <f t="shared" si="57"/>
        <v>BCBS PAYABLE</v>
      </c>
    </row>
    <row r="2356" spans="5:8" x14ac:dyDescent="0.25">
      <c r="E2356" t="str">
        <f>""</f>
        <v/>
      </c>
      <c r="F2356" t="str">
        <f>""</f>
        <v/>
      </c>
      <c r="H2356" t="str">
        <f t="shared" si="57"/>
        <v>BCBS PAYABLE</v>
      </c>
    </row>
    <row r="2357" spans="5:8" x14ac:dyDescent="0.25">
      <c r="E2357" t="str">
        <f>""</f>
        <v/>
      </c>
      <c r="F2357" t="str">
        <f>""</f>
        <v/>
      </c>
      <c r="H2357" t="str">
        <f t="shared" si="57"/>
        <v>BCBS PAYABLE</v>
      </c>
    </row>
    <row r="2358" spans="5:8" x14ac:dyDescent="0.25">
      <c r="E2358" t="str">
        <f>""</f>
        <v/>
      </c>
      <c r="F2358" t="str">
        <f>""</f>
        <v/>
      </c>
      <c r="H2358" t="str">
        <f t="shared" si="57"/>
        <v>BCBS PAYABLE</v>
      </c>
    </row>
    <row r="2359" spans="5:8" x14ac:dyDescent="0.25">
      <c r="E2359" t="str">
        <f>""</f>
        <v/>
      </c>
      <c r="F2359" t="str">
        <f>""</f>
        <v/>
      </c>
      <c r="H2359" t="str">
        <f t="shared" si="57"/>
        <v>BCBS PAYABLE</v>
      </c>
    </row>
    <row r="2360" spans="5:8" x14ac:dyDescent="0.25">
      <c r="E2360" t="str">
        <f>""</f>
        <v/>
      </c>
      <c r="F2360" t="str">
        <f>""</f>
        <v/>
      </c>
      <c r="H2360" t="str">
        <f t="shared" si="57"/>
        <v>BCBS PAYABLE</v>
      </c>
    </row>
    <row r="2361" spans="5:8" x14ac:dyDescent="0.25">
      <c r="E2361" t="str">
        <f>""</f>
        <v/>
      </c>
      <c r="F2361" t="str">
        <f>""</f>
        <v/>
      </c>
      <c r="H2361" t="str">
        <f t="shared" si="57"/>
        <v>BCBS PAYABLE</v>
      </c>
    </row>
    <row r="2362" spans="5:8" x14ac:dyDescent="0.25">
      <c r="E2362" t="str">
        <f>""</f>
        <v/>
      </c>
      <c r="F2362" t="str">
        <f>""</f>
        <v/>
      </c>
      <c r="H2362" t="str">
        <f t="shared" si="57"/>
        <v>BCBS PAYABLE</v>
      </c>
    </row>
    <row r="2363" spans="5:8" x14ac:dyDescent="0.25">
      <c r="E2363" t="str">
        <f>""</f>
        <v/>
      </c>
      <c r="F2363" t="str">
        <f>""</f>
        <v/>
      </c>
      <c r="H2363" t="str">
        <f t="shared" ref="H2363:H2426" si="58">"BCBS PAYABLE"</f>
        <v>BCBS PAYABLE</v>
      </c>
    </row>
    <row r="2364" spans="5:8" x14ac:dyDescent="0.25">
      <c r="E2364" t="str">
        <f>""</f>
        <v/>
      </c>
      <c r="F2364" t="str">
        <f>""</f>
        <v/>
      </c>
      <c r="H2364" t="str">
        <f t="shared" si="58"/>
        <v>BCBS PAYABLE</v>
      </c>
    </row>
    <row r="2365" spans="5:8" x14ac:dyDescent="0.25">
      <c r="E2365" t="str">
        <f>""</f>
        <v/>
      </c>
      <c r="F2365" t="str">
        <f>""</f>
        <v/>
      </c>
      <c r="H2365" t="str">
        <f t="shared" si="58"/>
        <v>BCBS PAYABLE</v>
      </c>
    </row>
    <row r="2366" spans="5:8" x14ac:dyDescent="0.25">
      <c r="E2366" t="str">
        <f>""</f>
        <v/>
      </c>
      <c r="F2366" t="str">
        <f>""</f>
        <v/>
      </c>
      <c r="H2366" t="str">
        <f t="shared" si="58"/>
        <v>BCBS PAYABLE</v>
      </c>
    </row>
    <row r="2367" spans="5:8" x14ac:dyDescent="0.25">
      <c r="E2367" t="str">
        <f>""</f>
        <v/>
      </c>
      <c r="F2367" t="str">
        <f>""</f>
        <v/>
      </c>
      <c r="H2367" t="str">
        <f t="shared" si="58"/>
        <v>BCBS PAYABLE</v>
      </c>
    </row>
    <row r="2368" spans="5:8" x14ac:dyDescent="0.25">
      <c r="E2368" t="str">
        <f>""</f>
        <v/>
      </c>
      <c r="F2368" t="str">
        <f>""</f>
        <v/>
      </c>
      <c r="H2368" t="str">
        <f t="shared" si="58"/>
        <v>BCBS PAYABLE</v>
      </c>
    </row>
    <row r="2369" spans="5:8" x14ac:dyDescent="0.25">
      <c r="E2369" t="str">
        <f>""</f>
        <v/>
      </c>
      <c r="F2369" t="str">
        <f>""</f>
        <v/>
      </c>
      <c r="H2369" t="str">
        <f t="shared" si="58"/>
        <v>BCBS PAYABLE</v>
      </c>
    </row>
    <row r="2370" spans="5:8" x14ac:dyDescent="0.25">
      <c r="E2370" t="str">
        <f>""</f>
        <v/>
      </c>
      <c r="F2370" t="str">
        <f>""</f>
        <v/>
      </c>
      <c r="H2370" t="str">
        <f t="shared" si="58"/>
        <v>BCBS PAYABLE</v>
      </c>
    </row>
    <row r="2371" spans="5:8" x14ac:dyDescent="0.25">
      <c r="E2371" t="str">
        <f>"2EC202106224152"</f>
        <v>2EC202106224152</v>
      </c>
      <c r="F2371" t="str">
        <f>"BCBS PAYABLE"</f>
        <v>BCBS PAYABLE</v>
      </c>
      <c r="G2371" s="4">
        <v>2348.8000000000002</v>
      </c>
      <c r="H2371" t="str">
        <f t="shared" si="58"/>
        <v>BCBS PAYABLE</v>
      </c>
    </row>
    <row r="2372" spans="5:8" x14ac:dyDescent="0.25">
      <c r="E2372" t="str">
        <f>""</f>
        <v/>
      </c>
      <c r="F2372" t="str">
        <f>""</f>
        <v/>
      </c>
      <c r="H2372" t="str">
        <f t="shared" si="58"/>
        <v>BCBS PAYABLE</v>
      </c>
    </row>
    <row r="2373" spans="5:8" x14ac:dyDescent="0.25">
      <c r="E2373" t="str">
        <f>"2EF202106093830"</f>
        <v>2EF202106093830</v>
      </c>
      <c r="F2373" t="str">
        <f>"BCBS PAYABLE"</f>
        <v>BCBS PAYABLE</v>
      </c>
      <c r="G2373" s="4">
        <v>2799.81</v>
      </c>
      <c r="H2373" t="str">
        <f t="shared" si="58"/>
        <v>BCBS PAYABLE</v>
      </c>
    </row>
    <row r="2374" spans="5:8" x14ac:dyDescent="0.25">
      <c r="E2374" t="str">
        <f>""</f>
        <v/>
      </c>
      <c r="F2374" t="str">
        <f>""</f>
        <v/>
      </c>
      <c r="H2374" t="str">
        <f t="shared" si="58"/>
        <v>BCBS PAYABLE</v>
      </c>
    </row>
    <row r="2375" spans="5:8" x14ac:dyDescent="0.25">
      <c r="E2375" t="str">
        <f>""</f>
        <v/>
      </c>
      <c r="F2375" t="str">
        <f>""</f>
        <v/>
      </c>
      <c r="H2375" t="str">
        <f t="shared" si="58"/>
        <v>BCBS PAYABLE</v>
      </c>
    </row>
    <row r="2376" spans="5:8" x14ac:dyDescent="0.25">
      <c r="E2376" t="str">
        <f>""</f>
        <v/>
      </c>
      <c r="F2376" t="str">
        <f>""</f>
        <v/>
      </c>
      <c r="H2376" t="str">
        <f t="shared" si="58"/>
        <v>BCBS PAYABLE</v>
      </c>
    </row>
    <row r="2377" spans="5:8" x14ac:dyDescent="0.25">
      <c r="E2377" t="str">
        <f>""</f>
        <v/>
      </c>
      <c r="F2377" t="str">
        <f>""</f>
        <v/>
      </c>
      <c r="H2377" t="str">
        <f t="shared" si="58"/>
        <v>BCBS PAYABLE</v>
      </c>
    </row>
    <row r="2378" spans="5:8" x14ac:dyDescent="0.25">
      <c r="E2378" t="str">
        <f>"2EF202106224151"</f>
        <v>2EF202106224151</v>
      </c>
      <c r="F2378" t="str">
        <f>"BCBS PAYABLE"</f>
        <v>BCBS PAYABLE</v>
      </c>
      <c r="G2378" s="4">
        <v>2799.81</v>
      </c>
      <c r="H2378" t="str">
        <f t="shared" si="58"/>
        <v>BCBS PAYABLE</v>
      </c>
    </row>
    <row r="2379" spans="5:8" x14ac:dyDescent="0.25">
      <c r="E2379" t="str">
        <f>""</f>
        <v/>
      </c>
      <c r="F2379" t="str">
        <f>""</f>
        <v/>
      </c>
      <c r="H2379" t="str">
        <f t="shared" si="58"/>
        <v>BCBS PAYABLE</v>
      </c>
    </row>
    <row r="2380" spans="5:8" x14ac:dyDescent="0.25">
      <c r="E2380" t="str">
        <f>""</f>
        <v/>
      </c>
      <c r="F2380" t="str">
        <f>""</f>
        <v/>
      </c>
      <c r="H2380" t="str">
        <f t="shared" si="58"/>
        <v>BCBS PAYABLE</v>
      </c>
    </row>
    <row r="2381" spans="5:8" x14ac:dyDescent="0.25">
      <c r="E2381" t="str">
        <f>""</f>
        <v/>
      </c>
      <c r="F2381" t="str">
        <f>""</f>
        <v/>
      </c>
      <c r="H2381" t="str">
        <f t="shared" si="58"/>
        <v>BCBS PAYABLE</v>
      </c>
    </row>
    <row r="2382" spans="5:8" x14ac:dyDescent="0.25">
      <c r="E2382" t="str">
        <f>""</f>
        <v/>
      </c>
      <c r="F2382" t="str">
        <f>""</f>
        <v/>
      </c>
      <c r="H2382" t="str">
        <f t="shared" si="58"/>
        <v>BCBS PAYABLE</v>
      </c>
    </row>
    <row r="2383" spans="5:8" x14ac:dyDescent="0.25">
      <c r="E2383" t="str">
        <f>"2EO202106093830"</f>
        <v>2EO202106093830</v>
      </c>
      <c r="F2383" t="str">
        <f>"BCBS PAYABLE"</f>
        <v>BCBS PAYABLE</v>
      </c>
      <c r="G2383" s="4">
        <v>105967.3</v>
      </c>
      <c r="H2383" t="str">
        <f t="shared" si="58"/>
        <v>BCBS PAYABLE</v>
      </c>
    </row>
    <row r="2384" spans="5:8" x14ac:dyDescent="0.25">
      <c r="E2384" t="str">
        <f>""</f>
        <v/>
      </c>
      <c r="F2384" t="str">
        <f>""</f>
        <v/>
      </c>
      <c r="H2384" t="str">
        <f t="shared" si="58"/>
        <v>BCBS PAYABLE</v>
      </c>
    </row>
    <row r="2385" spans="5:8" x14ac:dyDescent="0.25">
      <c r="E2385" t="str">
        <f>""</f>
        <v/>
      </c>
      <c r="F2385" t="str">
        <f>""</f>
        <v/>
      </c>
      <c r="H2385" t="str">
        <f t="shared" si="58"/>
        <v>BCBS PAYABLE</v>
      </c>
    </row>
    <row r="2386" spans="5:8" x14ac:dyDescent="0.25">
      <c r="E2386" t="str">
        <f>""</f>
        <v/>
      </c>
      <c r="F2386" t="str">
        <f>""</f>
        <v/>
      </c>
      <c r="H2386" t="str">
        <f t="shared" si="58"/>
        <v>BCBS PAYABLE</v>
      </c>
    </row>
    <row r="2387" spans="5:8" x14ac:dyDescent="0.25">
      <c r="E2387" t="str">
        <f>""</f>
        <v/>
      </c>
      <c r="F2387" t="str">
        <f>""</f>
        <v/>
      </c>
      <c r="H2387" t="str">
        <f t="shared" si="58"/>
        <v>BCBS PAYABLE</v>
      </c>
    </row>
    <row r="2388" spans="5:8" x14ac:dyDescent="0.25">
      <c r="E2388" t="str">
        <f>""</f>
        <v/>
      </c>
      <c r="F2388" t="str">
        <f>""</f>
        <v/>
      </c>
      <c r="H2388" t="str">
        <f t="shared" si="58"/>
        <v>BCBS PAYABLE</v>
      </c>
    </row>
    <row r="2389" spans="5:8" x14ac:dyDescent="0.25">
      <c r="E2389" t="str">
        <f>""</f>
        <v/>
      </c>
      <c r="F2389" t="str">
        <f>""</f>
        <v/>
      </c>
      <c r="H2389" t="str">
        <f t="shared" si="58"/>
        <v>BCBS PAYABLE</v>
      </c>
    </row>
    <row r="2390" spans="5:8" x14ac:dyDescent="0.25">
      <c r="E2390" t="str">
        <f>""</f>
        <v/>
      </c>
      <c r="F2390" t="str">
        <f>""</f>
        <v/>
      </c>
      <c r="H2390" t="str">
        <f t="shared" si="58"/>
        <v>BCBS PAYABLE</v>
      </c>
    </row>
    <row r="2391" spans="5:8" x14ac:dyDescent="0.25">
      <c r="E2391" t="str">
        <f>""</f>
        <v/>
      </c>
      <c r="F2391" t="str">
        <f>""</f>
        <v/>
      </c>
      <c r="H2391" t="str">
        <f t="shared" si="58"/>
        <v>BCBS PAYABLE</v>
      </c>
    </row>
    <row r="2392" spans="5:8" x14ac:dyDescent="0.25">
      <c r="E2392" t="str">
        <f>""</f>
        <v/>
      </c>
      <c r="F2392" t="str">
        <f>""</f>
        <v/>
      </c>
      <c r="H2392" t="str">
        <f t="shared" si="58"/>
        <v>BCBS PAYABLE</v>
      </c>
    </row>
    <row r="2393" spans="5:8" x14ac:dyDescent="0.25">
      <c r="E2393" t="str">
        <f>""</f>
        <v/>
      </c>
      <c r="F2393" t="str">
        <f>""</f>
        <v/>
      </c>
      <c r="H2393" t="str">
        <f t="shared" si="58"/>
        <v>BCBS PAYABLE</v>
      </c>
    </row>
    <row r="2394" spans="5:8" x14ac:dyDescent="0.25">
      <c r="E2394" t="str">
        <f>""</f>
        <v/>
      </c>
      <c r="F2394" t="str">
        <f>""</f>
        <v/>
      </c>
      <c r="H2394" t="str">
        <f t="shared" si="58"/>
        <v>BCBS PAYABLE</v>
      </c>
    </row>
    <row r="2395" spans="5:8" x14ac:dyDescent="0.25">
      <c r="E2395" t="str">
        <f>""</f>
        <v/>
      </c>
      <c r="F2395" t="str">
        <f>""</f>
        <v/>
      </c>
      <c r="H2395" t="str">
        <f t="shared" si="58"/>
        <v>BCBS PAYABLE</v>
      </c>
    </row>
    <row r="2396" spans="5:8" x14ac:dyDescent="0.25">
      <c r="E2396" t="str">
        <f>""</f>
        <v/>
      </c>
      <c r="F2396" t="str">
        <f>""</f>
        <v/>
      </c>
      <c r="H2396" t="str">
        <f t="shared" si="58"/>
        <v>BCBS PAYABLE</v>
      </c>
    </row>
    <row r="2397" spans="5:8" x14ac:dyDescent="0.25">
      <c r="E2397" t="str">
        <f>""</f>
        <v/>
      </c>
      <c r="F2397" t="str">
        <f>""</f>
        <v/>
      </c>
      <c r="H2397" t="str">
        <f t="shared" si="58"/>
        <v>BCBS PAYABLE</v>
      </c>
    </row>
    <row r="2398" spans="5:8" x14ac:dyDescent="0.25">
      <c r="E2398" t="str">
        <f>""</f>
        <v/>
      </c>
      <c r="F2398" t="str">
        <f>""</f>
        <v/>
      </c>
      <c r="H2398" t="str">
        <f t="shared" si="58"/>
        <v>BCBS PAYABLE</v>
      </c>
    </row>
    <row r="2399" spans="5:8" x14ac:dyDescent="0.25">
      <c r="E2399" t="str">
        <f>""</f>
        <v/>
      </c>
      <c r="F2399" t="str">
        <f>""</f>
        <v/>
      </c>
      <c r="H2399" t="str">
        <f t="shared" si="58"/>
        <v>BCBS PAYABLE</v>
      </c>
    </row>
    <row r="2400" spans="5:8" x14ac:dyDescent="0.25">
      <c r="E2400" t="str">
        <f>""</f>
        <v/>
      </c>
      <c r="F2400" t="str">
        <f>""</f>
        <v/>
      </c>
      <c r="H2400" t="str">
        <f t="shared" si="58"/>
        <v>BCBS PAYABLE</v>
      </c>
    </row>
    <row r="2401" spans="5:8" x14ac:dyDescent="0.25">
      <c r="E2401" t="str">
        <f>""</f>
        <v/>
      </c>
      <c r="F2401" t="str">
        <f>""</f>
        <v/>
      </c>
      <c r="H2401" t="str">
        <f t="shared" si="58"/>
        <v>BCBS PAYABLE</v>
      </c>
    </row>
    <row r="2402" spans="5:8" x14ac:dyDescent="0.25">
      <c r="E2402" t="str">
        <f>""</f>
        <v/>
      </c>
      <c r="F2402" t="str">
        <f>""</f>
        <v/>
      </c>
      <c r="H2402" t="str">
        <f t="shared" si="58"/>
        <v>BCBS PAYABLE</v>
      </c>
    </row>
    <row r="2403" spans="5:8" x14ac:dyDescent="0.25">
      <c r="E2403" t="str">
        <f>""</f>
        <v/>
      </c>
      <c r="F2403" t="str">
        <f>""</f>
        <v/>
      </c>
      <c r="H2403" t="str">
        <f t="shared" si="58"/>
        <v>BCBS PAYABLE</v>
      </c>
    </row>
    <row r="2404" spans="5:8" x14ac:dyDescent="0.25">
      <c r="E2404" t="str">
        <f>""</f>
        <v/>
      </c>
      <c r="F2404" t="str">
        <f>""</f>
        <v/>
      </c>
      <c r="H2404" t="str">
        <f t="shared" si="58"/>
        <v>BCBS PAYABLE</v>
      </c>
    </row>
    <row r="2405" spans="5:8" x14ac:dyDescent="0.25">
      <c r="E2405" t="str">
        <f>""</f>
        <v/>
      </c>
      <c r="F2405" t="str">
        <f>""</f>
        <v/>
      </c>
      <c r="H2405" t="str">
        <f t="shared" si="58"/>
        <v>BCBS PAYABLE</v>
      </c>
    </row>
    <row r="2406" spans="5:8" x14ac:dyDescent="0.25">
      <c r="E2406" t="str">
        <f>""</f>
        <v/>
      </c>
      <c r="F2406" t="str">
        <f>""</f>
        <v/>
      </c>
      <c r="H2406" t="str">
        <f t="shared" si="58"/>
        <v>BCBS PAYABLE</v>
      </c>
    </row>
    <row r="2407" spans="5:8" x14ac:dyDescent="0.25">
      <c r="E2407" t="str">
        <f>""</f>
        <v/>
      </c>
      <c r="F2407" t="str">
        <f>""</f>
        <v/>
      </c>
      <c r="H2407" t="str">
        <f t="shared" si="58"/>
        <v>BCBS PAYABLE</v>
      </c>
    </row>
    <row r="2408" spans="5:8" x14ac:dyDescent="0.25">
      <c r="E2408" t="str">
        <f>""</f>
        <v/>
      </c>
      <c r="F2408" t="str">
        <f>""</f>
        <v/>
      </c>
      <c r="H2408" t="str">
        <f t="shared" si="58"/>
        <v>BCBS PAYABLE</v>
      </c>
    </row>
    <row r="2409" spans="5:8" x14ac:dyDescent="0.25">
      <c r="E2409" t="str">
        <f>""</f>
        <v/>
      </c>
      <c r="F2409" t="str">
        <f>""</f>
        <v/>
      </c>
      <c r="H2409" t="str">
        <f t="shared" si="58"/>
        <v>BCBS PAYABLE</v>
      </c>
    </row>
    <row r="2410" spans="5:8" x14ac:dyDescent="0.25">
      <c r="E2410" t="str">
        <f>""</f>
        <v/>
      </c>
      <c r="F2410" t="str">
        <f>""</f>
        <v/>
      </c>
      <c r="H2410" t="str">
        <f t="shared" si="58"/>
        <v>BCBS PAYABLE</v>
      </c>
    </row>
    <row r="2411" spans="5:8" x14ac:dyDescent="0.25">
      <c r="E2411" t="str">
        <f>""</f>
        <v/>
      </c>
      <c r="F2411" t="str">
        <f>""</f>
        <v/>
      </c>
      <c r="H2411" t="str">
        <f t="shared" si="58"/>
        <v>BCBS PAYABLE</v>
      </c>
    </row>
    <row r="2412" spans="5:8" x14ac:dyDescent="0.25">
      <c r="E2412" t="str">
        <f>""</f>
        <v/>
      </c>
      <c r="F2412" t="str">
        <f>""</f>
        <v/>
      </c>
      <c r="H2412" t="str">
        <f t="shared" si="58"/>
        <v>BCBS PAYABLE</v>
      </c>
    </row>
    <row r="2413" spans="5:8" x14ac:dyDescent="0.25">
      <c r="E2413" t="str">
        <f>""</f>
        <v/>
      </c>
      <c r="F2413" t="str">
        <f>""</f>
        <v/>
      </c>
      <c r="H2413" t="str">
        <f t="shared" si="58"/>
        <v>BCBS PAYABLE</v>
      </c>
    </row>
    <row r="2414" spans="5:8" x14ac:dyDescent="0.25">
      <c r="E2414" t="str">
        <f>""</f>
        <v/>
      </c>
      <c r="F2414" t="str">
        <f>""</f>
        <v/>
      </c>
      <c r="H2414" t="str">
        <f t="shared" si="58"/>
        <v>BCBS PAYABLE</v>
      </c>
    </row>
    <row r="2415" spans="5:8" x14ac:dyDescent="0.25">
      <c r="E2415" t="str">
        <f>""</f>
        <v/>
      </c>
      <c r="F2415" t="str">
        <f>""</f>
        <v/>
      </c>
      <c r="H2415" t="str">
        <f t="shared" si="58"/>
        <v>BCBS PAYABLE</v>
      </c>
    </row>
    <row r="2416" spans="5:8" x14ac:dyDescent="0.25">
      <c r="E2416" t="str">
        <f>""</f>
        <v/>
      </c>
      <c r="F2416" t="str">
        <f>""</f>
        <v/>
      </c>
      <c r="H2416" t="str">
        <f t="shared" si="58"/>
        <v>BCBS PAYABLE</v>
      </c>
    </row>
    <row r="2417" spans="5:8" x14ac:dyDescent="0.25">
      <c r="E2417" t="str">
        <f>""</f>
        <v/>
      </c>
      <c r="F2417" t="str">
        <f>""</f>
        <v/>
      </c>
      <c r="H2417" t="str">
        <f t="shared" si="58"/>
        <v>BCBS PAYABLE</v>
      </c>
    </row>
    <row r="2418" spans="5:8" x14ac:dyDescent="0.25">
      <c r="E2418" t="str">
        <f>""</f>
        <v/>
      </c>
      <c r="F2418" t="str">
        <f>""</f>
        <v/>
      </c>
      <c r="H2418" t="str">
        <f t="shared" si="58"/>
        <v>BCBS PAYABLE</v>
      </c>
    </row>
    <row r="2419" spans="5:8" x14ac:dyDescent="0.25">
      <c r="E2419" t="str">
        <f>""</f>
        <v/>
      </c>
      <c r="F2419" t="str">
        <f>""</f>
        <v/>
      </c>
      <c r="H2419" t="str">
        <f t="shared" si="58"/>
        <v>BCBS PAYABLE</v>
      </c>
    </row>
    <row r="2420" spans="5:8" x14ac:dyDescent="0.25">
      <c r="E2420" t="str">
        <f>""</f>
        <v/>
      </c>
      <c r="F2420" t="str">
        <f>""</f>
        <v/>
      </c>
      <c r="H2420" t="str">
        <f t="shared" si="58"/>
        <v>BCBS PAYABLE</v>
      </c>
    </row>
    <row r="2421" spans="5:8" x14ac:dyDescent="0.25">
      <c r="E2421" t="str">
        <f>""</f>
        <v/>
      </c>
      <c r="F2421" t="str">
        <f>""</f>
        <v/>
      </c>
      <c r="H2421" t="str">
        <f t="shared" si="58"/>
        <v>BCBS PAYABLE</v>
      </c>
    </row>
    <row r="2422" spans="5:8" x14ac:dyDescent="0.25">
      <c r="E2422" t="str">
        <f>""</f>
        <v/>
      </c>
      <c r="F2422" t="str">
        <f>""</f>
        <v/>
      </c>
      <c r="H2422" t="str">
        <f t="shared" si="58"/>
        <v>BCBS PAYABLE</v>
      </c>
    </row>
    <row r="2423" spans="5:8" x14ac:dyDescent="0.25">
      <c r="E2423" t="str">
        <f>""</f>
        <v/>
      </c>
      <c r="F2423" t="str">
        <f>""</f>
        <v/>
      </c>
      <c r="H2423" t="str">
        <f t="shared" si="58"/>
        <v>BCBS PAYABLE</v>
      </c>
    </row>
    <row r="2424" spans="5:8" x14ac:dyDescent="0.25">
      <c r="E2424" t="str">
        <f>""</f>
        <v/>
      </c>
      <c r="F2424" t="str">
        <f>""</f>
        <v/>
      </c>
      <c r="H2424" t="str">
        <f t="shared" si="58"/>
        <v>BCBS PAYABLE</v>
      </c>
    </row>
    <row r="2425" spans="5:8" x14ac:dyDescent="0.25">
      <c r="E2425" t="str">
        <f>""</f>
        <v/>
      </c>
      <c r="F2425" t="str">
        <f>""</f>
        <v/>
      </c>
      <c r="H2425" t="str">
        <f t="shared" si="58"/>
        <v>BCBS PAYABLE</v>
      </c>
    </row>
    <row r="2426" spans="5:8" x14ac:dyDescent="0.25">
      <c r="E2426" t="str">
        <f>""</f>
        <v/>
      </c>
      <c r="F2426" t="str">
        <f>""</f>
        <v/>
      </c>
      <c r="H2426" t="str">
        <f t="shared" si="58"/>
        <v>BCBS PAYABLE</v>
      </c>
    </row>
    <row r="2427" spans="5:8" x14ac:dyDescent="0.25">
      <c r="E2427" t="str">
        <f>""</f>
        <v/>
      </c>
      <c r="F2427" t="str">
        <f>""</f>
        <v/>
      </c>
      <c r="H2427" t="str">
        <f t="shared" ref="H2427:H2490" si="59">"BCBS PAYABLE"</f>
        <v>BCBS PAYABLE</v>
      </c>
    </row>
    <row r="2428" spans="5:8" x14ac:dyDescent="0.25">
      <c r="E2428" t="str">
        <f>""</f>
        <v/>
      </c>
      <c r="F2428" t="str">
        <f>""</f>
        <v/>
      </c>
      <c r="H2428" t="str">
        <f t="shared" si="59"/>
        <v>BCBS PAYABLE</v>
      </c>
    </row>
    <row r="2429" spans="5:8" x14ac:dyDescent="0.25">
      <c r="E2429" t="str">
        <f>""</f>
        <v/>
      </c>
      <c r="F2429" t="str">
        <f>""</f>
        <v/>
      </c>
      <c r="H2429" t="str">
        <f t="shared" si="59"/>
        <v>BCBS PAYABLE</v>
      </c>
    </row>
    <row r="2430" spans="5:8" x14ac:dyDescent="0.25">
      <c r="E2430" t="str">
        <f>"2EO202106093832"</f>
        <v>2EO202106093832</v>
      </c>
      <c r="F2430" t="str">
        <f>"BCBS PAYABLE"</f>
        <v>BCBS PAYABLE</v>
      </c>
      <c r="G2430" s="4">
        <v>3076.47</v>
      </c>
      <c r="H2430" t="str">
        <f t="shared" si="59"/>
        <v>BCBS PAYABLE</v>
      </c>
    </row>
    <row r="2431" spans="5:8" x14ac:dyDescent="0.25">
      <c r="E2431" t="str">
        <f>"2EO202106224151"</f>
        <v>2EO202106224151</v>
      </c>
      <c r="F2431" t="str">
        <f>"BCBS PAYABLE"</f>
        <v>BCBS PAYABLE</v>
      </c>
      <c r="G2431" s="4">
        <v>104941.81</v>
      </c>
      <c r="H2431" t="str">
        <f t="shared" si="59"/>
        <v>BCBS PAYABLE</v>
      </c>
    </row>
    <row r="2432" spans="5:8" x14ac:dyDescent="0.25">
      <c r="E2432" t="str">
        <f>""</f>
        <v/>
      </c>
      <c r="F2432" t="str">
        <f>""</f>
        <v/>
      </c>
      <c r="H2432" t="str">
        <f t="shared" si="59"/>
        <v>BCBS PAYABLE</v>
      </c>
    </row>
    <row r="2433" spans="5:8" x14ac:dyDescent="0.25">
      <c r="E2433" t="str">
        <f>""</f>
        <v/>
      </c>
      <c r="F2433" t="str">
        <f>""</f>
        <v/>
      </c>
      <c r="H2433" t="str">
        <f t="shared" si="59"/>
        <v>BCBS PAYABLE</v>
      </c>
    </row>
    <row r="2434" spans="5:8" x14ac:dyDescent="0.25">
      <c r="E2434" t="str">
        <f>""</f>
        <v/>
      </c>
      <c r="F2434" t="str">
        <f>""</f>
        <v/>
      </c>
      <c r="H2434" t="str">
        <f t="shared" si="59"/>
        <v>BCBS PAYABLE</v>
      </c>
    </row>
    <row r="2435" spans="5:8" x14ac:dyDescent="0.25">
      <c r="E2435" t="str">
        <f>""</f>
        <v/>
      </c>
      <c r="F2435" t="str">
        <f>""</f>
        <v/>
      </c>
      <c r="H2435" t="str">
        <f t="shared" si="59"/>
        <v>BCBS PAYABLE</v>
      </c>
    </row>
    <row r="2436" spans="5:8" x14ac:dyDescent="0.25">
      <c r="E2436" t="str">
        <f>""</f>
        <v/>
      </c>
      <c r="F2436" t="str">
        <f>""</f>
        <v/>
      </c>
      <c r="H2436" t="str">
        <f t="shared" si="59"/>
        <v>BCBS PAYABLE</v>
      </c>
    </row>
    <row r="2437" spans="5:8" x14ac:dyDescent="0.25">
      <c r="E2437" t="str">
        <f>""</f>
        <v/>
      </c>
      <c r="F2437" t="str">
        <f>""</f>
        <v/>
      </c>
      <c r="H2437" t="str">
        <f t="shared" si="59"/>
        <v>BCBS PAYABLE</v>
      </c>
    </row>
    <row r="2438" spans="5:8" x14ac:dyDescent="0.25">
      <c r="E2438" t="str">
        <f>""</f>
        <v/>
      </c>
      <c r="F2438" t="str">
        <f>""</f>
        <v/>
      </c>
      <c r="H2438" t="str">
        <f t="shared" si="59"/>
        <v>BCBS PAYABLE</v>
      </c>
    </row>
    <row r="2439" spans="5:8" x14ac:dyDescent="0.25">
      <c r="E2439" t="str">
        <f>""</f>
        <v/>
      </c>
      <c r="F2439" t="str">
        <f>""</f>
        <v/>
      </c>
      <c r="H2439" t="str">
        <f t="shared" si="59"/>
        <v>BCBS PAYABLE</v>
      </c>
    </row>
    <row r="2440" spans="5:8" x14ac:dyDescent="0.25">
      <c r="E2440" t="str">
        <f>""</f>
        <v/>
      </c>
      <c r="F2440" t="str">
        <f>""</f>
        <v/>
      </c>
      <c r="H2440" t="str">
        <f t="shared" si="59"/>
        <v>BCBS PAYABLE</v>
      </c>
    </row>
    <row r="2441" spans="5:8" x14ac:dyDescent="0.25">
      <c r="E2441" t="str">
        <f>""</f>
        <v/>
      </c>
      <c r="F2441" t="str">
        <f>""</f>
        <v/>
      </c>
      <c r="H2441" t="str">
        <f t="shared" si="59"/>
        <v>BCBS PAYABLE</v>
      </c>
    </row>
    <row r="2442" spans="5:8" x14ac:dyDescent="0.25">
      <c r="E2442" t="str">
        <f>""</f>
        <v/>
      </c>
      <c r="F2442" t="str">
        <f>""</f>
        <v/>
      </c>
      <c r="H2442" t="str">
        <f t="shared" si="59"/>
        <v>BCBS PAYABLE</v>
      </c>
    </row>
    <row r="2443" spans="5:8" x14ac:dyDescent="0.25">
      <c r="E2443" t="str">
        <f>""</f>
        <v/>
      </c>
      <c r="F2443" t="str">
        <f>""</f>
        <v/>
      </c>
      <c r="H2443" t="str">
        <f t="shared" si="59"/>
        <v>BCBS PAYABLE</v>
      </c>
    </row>
    <row r="2444" spans="5:8" x14ac:dyDescent="0.25">
      <c r="E2444" t="str">
        <f>""</f>
        <v/>
      </c>
      <c r="F2444" t="str">
        <f>""</f>
        <v/>
      </c>
      <c r="H2444" t="str">
        <f t="shared" si="59"/>
        <v>BCBS PAYABLE</v>
      </c>
    </row>
    <row r="2445" spans="5:8" x14ac:dyDescent="0.25">
      <c r="E2445" t="str">
        <f>""</f>
        <v/>
      </c>
      <c r="F2445" t="str">
        <f>""</f>
        <v/>
      </c>
      <c r="H2445" t="str">
        <f t="shared" si="59"/>
        <v>BCBS PAYABLE</v>
      </c>
    </row>
    <row r="2446" spans="5:8" x14ac:dyDescent="0.25">
      <c r="E2446" t="str">
        <f>""</f>
        <v/>
      </c>
      <c r="F2446" t="str">
        <f>""</f>
        <v/>
      </c>
      <c r="H2446" t="str">
        <f t="shared" si="59"/>
        <v>BCBS PAYABLE</v>
      </c>
    </row>
    <row r="2447" spans="5:8" x14ac:dyDescent="0.25">
      <c r="E2447" t="str">
        <f>""</f>
        <v/>
      </c>
      <c r="F2447" t="str">
        <f>""</f>
        <v/>
      </c>
      <c r="H2447" t="str">
        <f t="shared" si="59"/>
        <v>BCBS PAYABLE</v>
      </c>
    </row>
    <row r="2448" spans="5:8" x14ac:dyDescent="0.25">
      <c r="E2448" t="str">
        <f>""</f>
        <v/>
      </c>
      <c r="F2448" t="str">
        <f>""</f>
        <v/>
      </c>
      <c r="H2448" t="str">
        <f t="shared" si="59"/>
        <v>BCBS PAYABLE</v>
      </c>
    </row>
    <row r="2449" spans="5:8" x14ac:dyDescent="0.25">
      <c r="E2449" t="str">
        <f>""</f>
        <v/>
      </c>
      <c r="F2449" t="str">
        <f>""</f>
        <v/>
      </c>
      <c r="H2449" t="str">
        <f t="shared" si="59"/>
        <v>BCBS PAYABLE</v>
      </c>
    </row>
    <row r="2450" spans="5:8" x14ac:dyDescent="0.25">
      <c r="E2450" t="str">
        <f>""</f>
        <v/>
      </c>
      <c r="F2450" t="str">
        <f>""</f>
        <v/>
      </c>
      <c r="H2450" t="str">
        <f t="shared" si="59"/>
        <v>BCBS PAYABLE</v>
      </c>
    </row>
    <row r="2451" spans="5:8" x14ac:dyDescent="0.25">
      <c r="E2451" t="str">
        <f>""</f>
        <v/>
      </c>
      <c r="F2451" t="str">
        <f>""</f>
        <v/>
      </c>
      <c r="H2451" t="str">
        <f t="shared" si="59"/>
        <v>BCBS PAYABLE</v>
      </c>
    </row>
    <row r="2452" spans="5:8" x14ac:dyDescent="0.25">
      <c r="E2452" t="str">
        <f>""</f>
        <v/>
      </c>
      <c r="F2452" t="str">
        <f>""</f>
        <v/>
      </c>
      <c r="H2452" t="str">
        <f t="shared" si="59"/>
        <v>BCBS PAYABLE</v>
      </c>
    </row>
    <row r="2453" spans="5:8" x14ac:dyDescent="0.25">
      <c r="E2453" t="str">
        <f>""</f>
        <v/>
      </c>
      <c r="F2453" t="str">
        <f>""</f>
        <v/>
      </c>
      <c r="H2453" t="str">
        <f t="shared" si="59"/>
        <v>BCBS PAYABLE</v>
      </c>
    </row>
    <row r="2454" spans="5:8" x14ac:dyDescent="0.25">
      <c r="E2454" t="str">
        <f>""</f>
        <v/>
      </c>
      <c r="F2454" t="str">
        <f>""</f>
        <v/>
      </c>
      <c r="H2454" t="str">
        <f t="shared" si="59"/>
        <v>BCBS PAYABLE</v>
      </c>
    </row>
    <row r="2455" spans="5:8" x14ac:dyDescent="0.25">
      <c r="E2455" t="str">
        <f>""</f>
        <v/>
      </c>
      <c r="F2455" t="str">
        <f>""</f>
        <v/>
      </c>
      <c r="H2455" t="str">
        <f t="shared" si="59"/>
        <v>BCBS PAYABLE</v>
      </c>
    </row>
    <row r="2456" spans="5:8" x14ac:dyDescent="0.25">
      <c r="E2456" t="str">
        <f>""</f>
        <v/>
      </c>
      <c r="F2456" t="str">
        <f>""</f>
        <v/>
      </c>
      <c r="H2456" t="str">
        <f t="shared" si="59"/>
        <v>BCBS PAYABLE</v>
      </c>
    </row>
    <row r="2457" spans="5:8" x14ac:dyDescent="0.25">
      <c r="E2457" t="str">
        <f>""</f>
        <v/>
      </c>
      <c r="F2457" t="str">
        <f>""</f>
        <v/>
      </c>
      <c r="H2457" t="str">
        <f t="shared" si="59"/>
        <v>BCBS PAYABLE</v>
      </c>
    </row>
    <row r="2458" spans="5:8" x14ac:dyDescent="0.25">
      <c r="E2458" t="str">
        <f>""</f>
        <v/>
      </c>
      <c r="F2458" t="str">
        <f>""</f>
        <v/>
      </c>
      <c r="H2458" t="str">
        <f t="shared" si="59"/>
        <v>BCBS PAYABLE</v>
      </c>
    </row>
    <row r="2459" spans="5:8" x14ac:dyDescent="0.25">
      <c r="E2459" t="str">
        <f>""</f>
        <v/>
      </c>
      <c r="F2459" t="str">
        <f>""</f>
        <v/>
      </c>
      <c r="H2459" t="str">
        <f t="shared" si="59"/>
        <v>BCBS PAYABLE</v>
      </c>
    </row>
    <row r="2460" spans="5:8" x14ac:dyDescent="0.25">
      <c r="E2460" t="str">
        <f>""</f>
        <v/>
      </c>
      <c r="F2460" t="str">
        <f>""</f>
        <v/>
      </c>
      <c r="H2460" t="str">
        <f t="shared" si="59"/>
        <v>BCBS PAYABLE</v>
      </c>
    </row>
    <row r="2461" spans="5:8" x14ac:dyDescent="0.25">
      <c r="E2461" t="str">
        <f>""</f>
        <v/>
      </c>
      <c r="F2461" t="str">
        <f>""</f>
        <v/>
      </c>
      <c r="H2461" t="str">
        <f t="shared" si="59"/>
        <v>BCBS PAYABLE</v>
      </c>
    </row>
    <row r="2462" spans="5:8" x14ac:dyDescent="0.25">
      <c r="E2462" t="str">
        <f>""</f>
        <v/>
      </c>
      <c r="F2462" t="str">
        <f>""</f>
        <v/>
      </c>
      <c r="H2462" t="str">
        <f t="shared" si="59"/>
        <v>BCBS PAYABLE</v>
      </c>
    </row>
    <row r="2463" spans="5:8" x14ac:dyDescent="0.25">
      <c r="E2463" t="str">
        <f>""</f>
        <v/>
      </c>
      <c r="F2463" t="str">
        <f>""</f>
        <v/>
      </c>
      <c r="H2463" t="str">
        <f t="shared" si="59"/>
        <v>BCBS PAYABLE</v>
      </c>
    </row>
    <row r="2464" spans="5:8" x14ac:dyDescent="0.25">
      <c r="E2464" t="str">
        <f>""</f>
        <v/>
      </c>
      <c r="F2464" t="str">
        <f>""</f>
        <v/>
      </c>
      <c r="H2464" t="str">
        <f t="shared" si="59"/>
        <v>BCBS PAYABLE</v>
      </c>
    </row>
    <row r="2465" spans="5:8" x14ac:dyDescent="0.25">
      <c r="E2465" t="str">
        <f>""</f>
        <v/>
      </c>
      <c r="F2465" t="str">
        <f>""</f>
        <v/>
      </c>
      <c r="H2465" t="str">
        <f t="shared" si="59"/>
        <v>BCBS PAYABLE</v>
      </c>
    </row>
    <row r="2466" spans="5:8" x14ac:dyDescent="0.25">
      <c r="E2466" t="str">
        <f>""</f>
        <v/>
      </c>
      <c r="F2466" t="str">
        <f>""</f>
        <v/>
      </c>
      <c r="H2466" t="str">
        <f t="shared" si="59"/>
        <v>BCBS PAYABLE</v>
      </c>
    </row>
    <row r="2467" spans="5:8" x14ac:dyDescent="0.25">
      <c r="E2467" t="str">
        <f>""</f>
        <v/>
      </c>
      <c r="F2467" t="str">
        <f>""</f>
        <v/>
      </c>
      <c r="H2467" t="str">
        <f t="shared" si="59"/>
        <v>BCBS PAYABLE</v>
      </c>
    </row>
    <row r="2468" spans="5:8" x14ac:dyDescent="0.25">
      <c r="E2468" t="str">
        <f>""</f>
        <v/>
      </c>
      <c r="F2468" t="str">
        <f>""</f>
        <v/>
      </c>
      <c r="H2468" t="str">
        <f t="shared" si="59"/>
        <v>BCBS PAYABLE</v>
      </c>
    </row>
    <row r="2469" spans="5:8" x14ac:dyDescent="0.25">
      <c r="E2469" t="str">
        <f>""</f>
        <v/>
      </c>
      <c r="F2469" t="str">
        <f>""</f>
        <v/>
      </c>
      <c r="H2469" t="str">
        <f t="shared" si="59"/>
        <v>BCBS PAYABLE</v>
      </c>
    </row>
    <row r="2470" spans="5:8" x14ac:dyDescent="0.25">
      <c r="E2470" t="str">
        <f>""</f>
        <v/>
      </c>
      <c r="F2470" t="str">
        <f>""</f>
        <v/>
      </c>
      <c r="H2470" t="str">
        <f t="shared" si="59"/>
        <v>BCBS PAYABLE</v>
      </c>
    </row>
    <row r="2471" spans="5:8" x14ac:dyDescent="0.25">
      <c r="E2471" t="str">
        <f>""</f>
        <v/>
      </c>
      <c r="F2471" t="str">
        <f>""</f>
        <v/>
      </c>
      <c r="H2471" t="str">
        <f t="shared" si="59"/>
        <v>BCBS PAYABLE</v>
      </c>
    </row>
    <row r="2472" spans="5:8" x14ac:dyDescent="0.25">
      <c r="E2472" t="str">
        <f>""</f>
        <v/>
      </c>
      <c r="F2472" t="str">
        <f>""</f>
        <v/>
      </c>
      <c r="H2472" t="str">
        <f t="shared" si="59"/>
        <v>BCBS PAYABLE</v>
      </c>
    </row>
    <row r="2473" spans="5:8" x14ac:dyDescent="0.25">
      <c r="E2473" t="str">
        <f>""</f>
        <v/>
      </c>
      <c r="F2473" t="str">
        <f>""</f>
        <v/>
      </c>
      <c r="H2473" t="str">
        <f t="shared" si="59"/>
        <v>BCBS PAYABLE</v>
      </c>
    </row>
    <row r="2474" spans="5:8" x14ac:dyDescent="0.25">
      <c r="E2474" t="str">
        <f>""</f>
        <v/>
      </c>
      <c r="F2474" t="str">
        <f>""</f>
        <v/>
      </c>
      <c r="H2474" t="str">
        <f t="shared" si="59"/>
        <v>BCBS PAYABLE</v>
      </c>
    </row>
    <row r="2475" spans="5:8" x14ac:dyDescent="0.25">
      <c r="E2475" t="str">
        <f>""</f>
        <v/>
      </c>
      <c r="F2475" t="str">
        <f>""</f>
        <v/>
      </c>
      <c r="H2475" t="str">
        <f t="shared" si="59"/>
        <v>BCBS PAYABLE</v>
      </c>
    </row>
    <row r="2476" spans="5:8" x14ac:dyDescent="0.25">
      <c r="E2476" t="str">
        <f>""</f>
        <v/>
      </c>
      <c r="F2476" t="str">
        <f>""</f>
        <v/>
      </c>
      <c r="H2476" t="str">
        <f t="shared" si="59"/>
        <v>BCBS PAYABLE</v>
      </c>
    </row>
    <row r="2477" spans="5:8" x14ac:dyDescent="0.25">
      <c r="E2477" t="str">
        <f>""</f>
        <v/>
      </c>
      <c r="F2477" t="str">
        <f>""</f>
        <v/>
      </c>
      <c r="H2477" t="str">
        <f t="shared" si="59"/>
        <v>BCBS PAYABLE</v>
      </c>
    </row>
    <row r="2478" spans="5:8" x14ac:dyDescent="0.25">
      <c r="E2478" t="str">
        <f>"2EO202106224152"</f>
        <v>2EO202106224152</v>
      </c>
      <c r="F2478" t="str">
        <f>"BCBS PAYABLE"</f>
        <v>BCBS PAYABLE</v>
      </c>
      <c r="G2478" s="4">
        <v>3076.47</v>
      </c>
      <c r="H2478" t="str">
        <f t="shared" si="59"/>
        <v>BCBS PAYABLE</v>
      </c>
    </row>
    <row r="2479" spans="5:8" x14ac:dyDescent="0.25">
      <c r="E2479" t="str">
        <f>"2ES202106093830"</f>
        <v>2ES202106093830</v>
      </c>
      <c r="F2479" t="str">
        <f>"BCBS PAYABLE"</f>
        <v>BCBS PAYABLE</v>
      </c>
      <c r="G2479" s="4">
        <v>17396.16</v>
      </c>
      <c r="H2479" t="str">
        <f t="shared" si="59"/>
        <v>BCBS PAYABLE</v>
      </c>
    </row>
    <row r="2480" spans="5:8" x14ac:dyDescent="0.25">
      <c r="E2480" t="str">
        <f>""</f>
        <v/>
      </c>
      <c r="F2480" t="str">
        <f>""</f>
        <v/>
      </c>
      <c r="H2480" t="str">
        <f t="shared" si="59"/>
        <v>BCBS PAYABLE</v>
      </c>
    </row>
    <row r="2481" spans="5:8" x14ac:dyDescent="0.25">
      <c r="E2481" t="str">
        <f>""</f>
        <v/>
      </c>
      <c r="F2481" t="str">
        <f>""</f>
        <v/>
      </c>
      <c r="H2481" t="str">
        <f t="shared" si="59"/>
        <v>BCBS PAYABLE</v>
      </c>
    </row>
    <row r="2482" spans="5:8" x14ac:dyDescent="0.25">
      <c r="E2482" t="str">
        <f>""</f>
        <v/>
      </c>
      <c r="F2482" t="str">
        <f>""</f>
        <v/>
      </c>
      <c r="H2482" t="str">
        <f t="shared" si="59"/>
        <v>BCBS PAYABLE</v>
      </c>
    </row>
    <row r="2483" spans="5:8" x14ac:dyDescent="0.25">
      <c r="E2483" t="str">
        <f>""</f>
        <v/>
      </c>
      <c r="F2483" t="str">
        <f>""</f>
        <v/>
      </c>
      <c r="H2483" t="str">
        <f t="shared" si="59"/>
        <v>BCBS PAYABLE</v>
      </c>
    </row>
    <row r="2484" spans="5:8" x14ac:dyDescent="0.25">
      <c r="E2484" t="str">
        <f>""</f>
        <v/>
      </c>
      <c r="F2484" t="str">
        <f>""</f>
        <v/>
      </c>
      <c r="H2484" t="str">
        <f t="shared" si="59"/>
        <v>BCBS PAYABLE</v>
      </c>
    </row>
    <row r="2485" spans="5:8" x14ac:dyDescent="0.25">
      <c r="E2485" t="str">
        <f>""</f>
        <v/>
      </c>
      <c r="F2485" t="str">
        <f>""</f>
        <v/>
      </c>
      <c r="H2485" t="str">
        <f t="shared" si="59"/>
        <v>BCBS PAYABLE</v>
      </c>
    </row>
    <row r="2486" spans="5:8" x14ac:dyDescent="0.25">
      <c r="E2486" t="str">
        <f>""</f>
        <v/>
      </c>
      <c r="F2486" t="str">
        <f>""</f>
        <v/>
      </c>
      <c r="H2486" t="str">
        <f t="shared" si="59"/>
        <v>BCBS PAYABLE</v>
      </c>
    </row>
    <row r="2487" spans="5:8" x14ac:dyDescent="0.25">
      <c r="E2487" t="str">
        <f>""</f>
        <v/>
      </c>
      <c r="F2487" t="str">
        <f>""</f>
        <v/>
      </c>
      <c r="H2487" t="str">
        <f t="shared" si="59"/>
        <v>BCBS PAYABLE</v>
      </c>
    </row>
    <row r="2488" spans="5:8" x14ac:dyDescent="0.25">
      <c r="E2488" t="str">
        <f>""</f>
        <v/>
      </c>
      <c r="F2488" t="str">
        <f>""</f>
        <v/>
      </c>
      <c r="H2488" t="str">
        <f t="shared" si="59"/>
        <v>BCBS PAYABLE</v>
      </c>
    </row>
    <row r="2489" spans="5:8" x14ac:dyDescent="0.25">
      <c r="E2489" t="str">
        <f>""</f>
        <v/>
      </c>
      <c r="F2489" t="str">
        <f>""</f>
        <v/>
      </c>
      <c r="H2489" t="str">
        <f t="shared" si="59"/>
        <v>BCBS PAYABLE</v>
      </c>
    </row>
    <row r="2490" spans="5:8" x14ac:dyDescent="0.25">
      <c r="E2490" t="str">
        <f>""</f>
        <v/>
      </c>
      <c r="F2490" t="str">
        <f>""</f>
        <v/>
      </c>
      <c r="H2490" t="str">
        <f t="shared" si="59"/>
        <v>BCBS PAYABLE</v>
      </c>
    </row>
    <row r="2491" spans="5:8" x14ac:dyDescent="0.25">
      <c r="E2491" t="str">
        <f>""</f>
        <v/>
      </c>
      <c r="F2491" t="str">
        <f>""</f>
        <v/>
      </c>
      <c r="H2491" t="str">
        <f t="shared" ref="H2491:H2514" si="60">"BCBS PAYABLE"</f>
        <v>BCBS PAYABLE</v>
      </c>
    </row>
    <row r="2492" spans="5:8" x14ac:dyDescent="0.25">
      <c r="E2492" t="str">
        <f>""</f>
        <v/>
      </c>
      <c r="F2492" t="str">
        <f>""</f>
        <v/>
      </c>
      <c r="H2492" t="str">
        <f t="shared" si="60"/>
        <v>BCBS PAYABLE</v>
      </c>
    </row>
    <row r="2493" spans="5:8" x14ac:dyDescent="0.25">
      <c r="E2493" t="str">
        <f>""</f>
        <v/>
      </c>
      <c r="F2493" t="str">
        <f>""</f>
        <v/>
      </c>
      <c r="H2493" t="str">
        <f t="shared" si="60"/>
        <v>BCBS PAYABLE</v>
      </c>
    </row>
    <row r="2494" spans="5:8" x14ac:dyDescent="0.25">
      <c r="E2494" t="str">
        <f>""</f>
        <v/>
      </c>
      <c r="F2494" t="str">
        <f>""</f>
        <v/>
      </c>
      <c r="H2494" t="str">
        <f t="shared" si="60"/>
        <v>BCBS PAYABLE</v>
      </c>
    </row>
    <row r="2495" spans="5:8" x14ac:dyDescent="0.25">
      <c r="E2495" t="str">
        <f>""</f>
        <v/>
      </c>
      <c r="F2495" t="str">
        <f>""</f>
        <v/>
      </c>
      <c r="H2495" t="str">
        <f t="shared" si="60"/>
        <v>BCBS PAYABLE</v>
      </c>
    </row>
    <row r="2496" spans="5:8" x14ac:dyDescent="0.25">
      <c r="E2496" t="str">
        <f>""</f>
        <v/>
      </c>
      <c r="F2496" t="str">
        <f>""</f>
        <v/>
      </c>
      <c r="H2496" t="str">
        <f t="shared" si="60"/>
        <v>BCBS PAYABLE</v>
      </c>
    </row>
    <row r="2497" spans="5:8" x14ac:dyDescent="0.25">
      <c r="E2497" t="str">
        <f>"2ES202106224151"</f>
        <v>2ES202106224151</v>
      </c>
      <c r="F2497" t="str">
        <f>"BCBS PAYABLE"</f>
        <v>BCBS PAYABLE</v>
      </c>
      <c r="G2497" s="4">
        <v>17396.16</v>
      </c>
      <c r="H2497" t="str">
        <f t="shared" si="60"/>
        <v>BCBS PAYABLE</v>
      </c>
    </row>
    <row r="2498" spans="5:8" x14ac:dyDescent="0.25">
      <c r="E2498" t="str">
        <f>""</f>
        <v/>
      </c>
      <c r="F2498" t="str">
        <f>""</f>
        <v/>
      </c>
      <c r="H2498" t="str">
        <f t="shared" si="60"/>
        <v>BCBS PAYABLE</v>
      </c>
    </row>
    <row r="2499" spans="5:8" x14ac:dyDescent="0.25">
      <c r="E2499" t="str">
        <f>""</f>
        <v/>
      </c>
      <c r="F2499" t="str">
        <f>""</f>
        <v/>
      </c>
      <c r="H2499" t="str">
        <f t="shared" si="60"/>
        <v>BCBS PAYABLE</v>
      </c>
    </row>
    <row r="2500" spans="5:8" x14ac:dyDescent="0.25">
      <c r="E2500" t="str">
        <f>""</f>
        <v/>
      </c>
      <c r="F2500" t="str">
        <f>""</f>
        <v/>
      </c>
      <c r="H2500" t="str">
        <f t="shared" si="60"/>
        <v>BCBS PAYABLE</v>
      </c>
    </row>
    <row r="2501" spans="5:8" x14ac:dyDescent="0.25">
      <c r="E2501" t="str">
        <f>""</f>
        <v/>
      </c>
      <c r="F2501" t="str">
        <f>""</f>
        <v/>
      </c>
      <c r="H2501" t="str">
        <f t="shared" si="60"/>
        <v>BCBS PAYABLE</v>
      </c>
    </row>
    <row r="2502" spans="5:8" x14ac:dyDescent="0.25">
      <c r="E2502" t="str">
        <f>""</f>
        <v/>
      </c>
      <c r="F2502" t="str">
        <f>""</f>
        <v/>
      </c>
      <c r="H2502" t="str">
        <f t="shared" si="60"/>
        <v>BCBS PAYABLE</v>
      </c>
    </row>
    <row r="2503" spans="5:8" x14ac:dyDescent="0.25">
      <c r="E2503" t="str">
        <f>""</f>
        <v/>
      </c>
      <c r="F2503" t="str">
        <f>""</f>
        <v/>
      </c>
      <c r="H2503" t="str">
        <f t="shared" si="60"/>
        <v>BCBS PAYABLE</v>
      </c>
    </row>
    <row r="2504" spans="5:8" x14ac:dyDescent="0.25">
      <c r="E2504" t="str">
        <f>""</f>
        <v/>
      </c>
      <c r="F2504" t="str">
        <f>""</f>
        <v/>
      </c>
      <c r="H2504" t="str">
        <f t="shared" si="60"/>
        <v>BCBS PAYABLE</v>
      </c>
    </row>
    <row r="2505" spans="5:8" x14ac:dyDescent="0.25">
      <c r="E2505" t="str">
        <f>""</f>
        <v/>
      </c>
      <c r="F2505" t="str">
        <f>""</f>
        <v/>
      </c>
      <c r="H2505" t="str">
        <f t="shared" si="60"/>
        <v>BCBS PAYABLE</v>
      </c>
    </row>
    <row r="2506" spans="5:8" x14ac:dyDescent="0.25">
      <c r="E2506" t="str">
        <f>""</f>
        <v/>
      </c>
      <c r="F2506" t="str">
        <f>""</f>
        <v/>
      </c>
      <c r="H2506" t="str">
        <f t="shared" si="60"/>
        <v>BCBS PAYABLE</v>
      </c>
    </row>
    <row r="2507" spans="5:8" x14ac:dyDescent="0.25">
      <c r="E2507" t="str">
        <f>""</f>
        <v/>
      </c>
      <c r="F2507" t="str">
        <f>""</f>
        <v/>
      </c>
      <c r="H2507" t="str">
        <f t="shared" si="60"/>
        <v>BCBS PAYABLE</v>
      </c>
    </row>
    <row r="2508" spans="5:8" x14ac:dyDescent="0.25">
      <c r="E2508" t="str">
        <f>""</f>
        <v/>
      </c>
      <c r="F2508" t="str">
        <f>""</f>
        <v/>
      </c>
      <c r="H2508" t="str">
        <f t="shared" si="60"/>
        <v>BCBS PAYABLE</v>
      </c>
    </row>
    <row r="2509" spans="5:8" x14ac:dyDescent="0.25">
      <c r="E2509" t="str">
        <f>""</f>
        <v/>
      </c>
      <c r="F2509" t="str">
        <f>""</f>
        <v/>
      </c>
      <c r="H2509" t="str">
        <f t="shared" si="60"/>
        <v>BCBS PAYABLE</v>
      </c>
    </row>
    <row r="2510" spans="5:8" x14ac:dyDescent="0.25">
      <c r="E2510" t="str">
        <f>""</f>
        <v/>
      </c>
      <c r="F2510" t="str">
        <f>""</f>
        <v/>
      </c>
      <c r="H2510" t="str">
        <f t="shared" si="60"/>
        <v>BCBS PAYABLE</v>
      </c>
    </row>
    <row r="2511" spans="5:8" x14ac:dyDescent="0.25">
      <c r="E2511" t="str">
        <f>""</f>
        <v/>
      </c>
      <c r="F2511" t="str">
        <f>""</f>
        <v/>
      </c>
      <c r="H2511" t="str">
        <f t="shared" si="60"/>
        <v>BCBS PAYABLE</v>
      </c>
    </row>
    <row r="2512" spans="5:8" x14ac:dyDescent="0.25">
      <c r="E2512" t="str">
        <f>""</f>
        <v/>
      </c>
      <c r="F2512" t="str">
        <f>""</f>
        <v/>
      </c>
      <c r="H2512" t="str">
        <f t="shared" si="60"/>
        <v>BCBS PAYABLE</v>
      </c>
    </row>
    <row r="2513" spans="1:8" x14ac:dyDescent="0.25">
      <c r="E2513" t="str">
        <f>""</f>
        <v/>
      </c>
      <c r="F2513" t="str">
        <f>""</f>
        <v/>
      </c>
      <c r="H2513" t="str">
        <f t="shared" si="60"/>
        <v>BCBS PAYABLE</v>
      </c>
    </row>
    <row r="2514" spans="1:8" x14ac:dyDescent="0.25">
      <c r="E2514" t="str">
        <f>""</f>
        <v/>
      </c>
      <c r="F2514" t="str">
        <f>""</f>
        <v/>
      </c>
      <c r="H2514" t="str">
        <f t="shared" si="60"/>
        <v>BCBS PAYABLE</v>
      </c>
    </row>
    <row r="2515" spans="1:8" x14ac:dyDescent="0.25">
      <c r="A2515" t="s">
        <v>442</v>
      </c>
      <c r="B2515">
        <v>1095</v>
      </c>
      <c r="C2515" s="4">
        <v>9343.56</v>
      </c>
      <c r="D2515" s="1">
        <v>44358</v>
      </c>
      <c r="E2515" t="str">
        <f>"FSA202106093830"</f>
        <v>FSA202106093830</v>
      </c>
      <c r="F2515" t="str">
        <f>"TASC FSA"</f>
        <v>TASC FSA</v>
      </c>
      <c r="G2515" s="4">
        <v>7200.1</v>
      </c>
      <c r="H2515" t="str">
        <f>"TASC FSA"</f>
        <v>TASC FSA</v>
      </c>
    </row>
    <row r="2516" spans="1:8" x14ac:dyDescent="0.25">
      <c r="E2516" t="str">
        <f>"FSA202106093832"</f>
        <v>FSA202106093832</v>
      </c>
      <c r="F2516" t="str">
        <f>"TASC FSA"</f>
        <v>TASC FSA</v>
      </c>
      <c r="G2516" s="4">
        <v>328.74</v>
      </c>
      <c r="H2516" t="str">
        <f>"TASC FSA"</f>
        <v>TASC FSA</v>
      </c>
    </row>
    <row r="2517" spans="1:8" x14ac:dyDescent="0.25">
      <c r="E2517" t="str">
        <f>"FSC202106093830"</f>
        <v>FSC202106093830</v>
      </c>
      <c r="F2517" t="str">
        <f>"TASC DEPENDENT CARE"</f>
        <v>TASC DEPENDENT CARE</v>
      </c>
      <c r="G2517" s="4">
        <v>50</v>
      </c>
      <c r="H2517" t="str">
        <f>"TASC DEPENDENT CARE"</f>
        <v>TASC DEPENDENT CARE</v>
      </c>
    </row>
    <row r="2518" spans="1:8" x14ac:dyDescent="0.25">
      <c r="E2518" t="str">
        <f>"FSF202106093830"</f>
        <v>FSF202106093830</v>
      </c>
      <c r="F2518" t="str">
        <f>"TASC - FSA  FEES"</f>
        <v>TASC - FSA  FEES</v>
      </c>
      <c r="G2518" s="4">
        <v>243</v>
      </c>
      <c r="H2518" t="str">
        <f t="shared" ref="H2518:H2557" si="61">"TASC - FSA  FEES"</f>
        <v>TASC - FSA  FEES</v>
      </c>
    </row>
    <row r="2519" spans="1:8" x14ac:dyDescent="0.25">
      <c r="E2519" t="str">
        <f>""</f>
        <v/>
      </c>
      <c r="F2519" t="str">
        <f>""</f>
        <v/>
      </c>
      <c r="H2519" t="str">
        <f t="shared" si="61"/>
        <v>TASC - FSA  FEES</v>
      </c>
    </row>
    <row r="2520" spans="1:8" x14ac:dyDescent="0.25">
      <c r="E2520" t="str">
        <f>""</f>
        <v/>
      </c>
      <c r="F2520" t="str">
        <f>""</f>
        <v/>
      </c>
      <c r="H2520" t="str">
        <f t="shared" si="61"/>
        <v>TASC - FSA  FEES</v>
      </c>
    </row>
    <row r="2521" spans="1:8" x14ac:dyDescent="0.25">
      <c r="E2521" t="str">
        <f>""</f>
        <v/>
      </c>
      <c r="F2521" t="str">
        <f>""</f>
        <v/>
      </c>
      <c r="H2521" t="str">
        <f t="shared" si="61"/>
        <v>TASC - FSA  FEES</v>
      </c>
    </row>
    <row r="2522" spans="1:8" x14ac:dyDescent="0.25">
      <c r="E2522" t="str">
        <f>""</f>
        <v/>
      </c>
      <c r="F2522" t="str">
        <f>""</f>
        <v/>
      </c>
      <c r="H2522" t="str">
        <f t="shared" si="61"/>
        <v>TASC - FSA  FEES</v>
      </c>
    </row>
    <row r="2523" spans="1:8" x14ac:dyDescent="0.25">
      <c r="E2523" t="str">
        <f>""</f>
        <v/>
      </c>
      <c r="F2523" t="str">
        <f>""</f>
        <v/>
      </c>
      <c r="H2523" t="str">
        <f t="shared" si="61"/>
        <v>TASC - FSA  FEES</v>
      </c>
    </row>
    <row r="2524" spans="1:8" x14ac:dyDescent="0.25">
      <c r="E2524" t="str">
        <f>""</f>
        <v/>
      </c>
      <c r="F2524" t="str">
        <f>""</f>
        <v/>
      </c>
      <c r="H2524" t="str">
        <f t="shared" si="61"/>
        <v>TASC - FSA  FEES</v>
      </c>
    </row>
    <row r="2525" spans="1:8" x14ac:dyDescent="0.25">
      <c r="E2525" t="str">
        <f>""</f>
        <v/>
      </c>
      <c r="F2525" t="str">
        <f>""</f>
        <v/>
      </c>
      <c r="H2525" t="str">
        <f t="shared" si="61"/>
        <v>TASC - FSA  FEES</v>
      </c>
    </row>
    <row r="2526" spans="1:8" x14ac:dyDescent="0.25">
      <c r="E2526" t="str">
        <f>""</f>
        <v/>
      </c>
      <c r="F2526" t="str">
        <f>""</f>
        <v/>
      </c>
      <c r="H2526" t="str">
        <f t="shared" si="61"/>
        <v>TASC - FSA  FEES</v>
      </c>
    </row>
    <row r="2527" spans="1:8" x14ac:dyDescent="0.25">
      <c r="E2527" t="str">
        <f>""</f>
        <v/>
      </c>
      <c r="F2527" t="str">
        <f>""</f>
        <v/>
      </c>
      <c r="H2527" t="str">
        <f t="shared" si="61"/>
        <v>TASC - FSA  FEES</v>
      </c>
    </row>
    <row r="2528" spans="1:8" x14ac:dyDescent="0.25">
      <c r="E2528" t="str">
        <f>""</f>
        <v/>
      </c>
      <c r="F2528" t="str">
        <f>""</f>
        <v/>
      </c>
      <c r="H2528" t="str">
        <f t="shared" si="61"/>
        <v>TASC - FSA  FEES</v>
      </c>
    </row>
    <row r="2529" spans="5:8" x14ac:dyDescent="0.25">
      <c r="E2529" t="str">
        <f>""</f>
        <v/>
      </c>
      <c r="F2529" t="str">
        <f>""</f>
        <v/>
      </c>
      <c r="H2529" t="str">
        <f t="shared" si="61"/>
        <v>TASC - FSA  FEES</v>
      </c>
    </row>
    <row r="2530" spans="5:8" x14ac:dyDescent="0.25">
      <c r="E2530" t="str">
        <f>""</f>
        <v/>
      </c>
      <c r="F2530" t="str">
        <f>""</f>
        <v/>
      </c>
      <c r="H2530" t="str">
        <f t="shared" si="61"/>
        <v>TASC - FSA  FEES</v>
      </c>
    </row>
    <row r="2531" spans="5:8" x14ac:dyDescent="0.25">
      <c r="E2531" t="str">
        <f>""</f>
        <v/>
      </c>
      <c r="F2531" t="str">
        <f>""</f>
        <v/>
      </c>
      <c r="H2531" t="str">
        <f t="shared" si="61"/>
        <v>TASC - FSA  FEES</v>
      </c>
    </row>
    <row r="2532" spans="5:8" x14ac:dyDescent="0.25">
      <c r="E2532" t="str">
        <f>""</f>
        <v/>
      </c>
      <c r="F2532" t="str">
        <f>""</f>
        <v/>
      </c>
      <c r="H2532" t="str">
        <f t="shared" si="61"/>
        <v>TASC - FSA  FEES</v>
      </c>
    </row>
    <row r="2533" spans="5:8" x14ac:dyDescent="0.25">
      <c r="E2533" t="str">
        <f>""</f>
        <v/>
      </c>
      <c r="F2533" t="str">
        <f>""</f>
        <v/>
      </c>
      <c r="H2533" t="str">
        <f t="shared" si="61"/>
        <v>TASC - FSA  FEES</v>
      </c>
    </row>
    <row r="2534" spans="5:8" x14ac:dyDescent="0.25">
      <c r="E2534" t="str">
        <f>""</f>
        <v/>
      </c>
      <c r="F2534" t="str">
        <f>""</f>
        <v/>
      </c>
      <c r="H2534" t="str">
        <f t="shared" si="61"/>
        <v>TASC - FSA  FEES</v>
      </c>
    </row>
    <row r="2535" spans="5:8" x14ac:dyDescent="0.25">
      <c r="E2535" t="str">
        <f>""</f>
        <v/>
      </c>
      <c r="F2535" t="str">
        <f>""</f>
        <v/>
      </c>
      <c r="H2535" t="str">
        <f t="shared" si="61"/>
        <v>TASC - FSA  FEES</v>
      </c>
    </row>
    <row r="2536" spans="5:8" x14ac:dyDescent="0.25">
      <c r="E2536" t="str">
        <f>""</f>
        <v/>
      </c>
      <c r="F2536" t="str">
        <f>""</f>
        <v/>
      </c>
      <c r="H2536" t="str">
        <f t="shared" si="61"/>
        <v>TASC - FSA  FEES</v>
      </c>
    </row>
    <row r="2537" spans="5:8" x14ac:dyDescent="0.25">
      <c r="E2537" t="str">
        <f>""</f>
        <v/>
      </c>
      <c r="F2537" t="str">
        <f>""</f>
        <v/>
      </c>
      <c r="H2537" t="str">
        <f t="shared" si="61"/>
        <v>TASC - FSA  FEES</v>
      </c>
    </row>
    <row r="2538" spans="5:8" x14ac:dyDescent="0.25">
      <c r="E2538" t="str">
        <f>""</f>
        <v/>
      </c>
      <c r="F2538" t="str">
        <f>""</f>
        <v/>
      </c>
      <c r="H2538" t="str">
        <f t="shared" si="61"/>
        <v>TASC - FSA  FEES</v>
      </c>
    </row>
    <row r="2539" spans="5:8" x14ac:dyDescent="0.25">
      <c r="E2539" t="str">
        <f>""</f>
        <v/>
      </c>
      <c r="F2539" t="str">
        <f>""</f>
        <v/>
      </c>
      <c r="H2539" t="str">
        <f t="shared" si="61"/>
        <v>TASC - FSA  FEES</v>
      </c>
    </row>
    <row r="2540" spans="5:8" x14ac:dyDescent="0.25">
      <c r="E2540" t="str">
        <f>""</f>
        <v/>
      </c>
      <c r="F2540" t="str">
        <f>""</f>
        <v/>
      </c>
      <c r="H2540" t="str">
        <f t="shared" si="61"/>
        <v>TASC - FSA  FEES</v>
      </c>
    </row>
    <row r="2541" spans="5:8" x14ac:dyDescent="0.25">
      <c r="E2541" t="str">
        <f>""</f>
        <v/>
      </c>
      <c r="F2541" t="str">
        <f>""</f>
        <v/>
      </c>
      <c r="H2541" t="str">
        <f t="shared" si="61"/>
        <v>TASC - FSA  FEES</v>
      </c>
    </row>
    <row r="2542" spans="5:8" x14ac:dyDescent="0.25">
      <c r="E2542" t="str">
        <f>""</f>
        <v/>
      </c>
      <c r="F2542" t="str">
        <f>""</f>
        <v/>
      </c>
      <c r="H2542" t="str">
        <f t="shared" si="61"/>
        <v>TASC - FSA  FEES</v>
      </c>
    </row>
    <row r="2543" spans="5:8" x14ac:dyDescent="0.25">
      <c r="E2543" t="str">
        <f>""</f>
        <v/>
      </c>
      <c r="F2543" t="str">
        <f>""</f>
        <v/>
      </c>
      <c r="H2543" t="str">
        <f t="shared" si="61"/>
        <v>TASC - FSA  FEES</v>
      </c>
    </row>
    <row r="2544" spans="5:8" x14ac:dyDescent="0.25">
      <c r="E2544" t="str">
        <f>""</f>
        <v/>
      </c>
      <c r="F2544" t="str">
        <f>""</f>
        <v/>
      </c>
      <c r="H2544" t="str">
        <f t="shared" si="61"/>
        <v>TASC - FSA  FEES</v>
      </c>
    </row>
    <row r="2545" spans="5:8" x14ac:dyDescent="0.25">
      <c r="E2545" t="str">
        <f>""</f>
        <v/>
      </c>
      <c r="F2545" t="str">
        <f>""</f>
        <v/>
      </c>
      <c r="H2545" t="str">
        <f t="shared" si="61"/>
        <v>TASC - FSA  FEES</v>
      </c>
    </row>
    <row r="2546" spans="5:8" x14ac:dyDescent="0.25">
      <c r="E2546" t="str">
        <f>""</f>
        <v/>
      </c>
      <c r="F2546" t="str">
        <f>""</f>
        <v/>
      </c>
      <c r="H2546" t="str">
        <f t="shared" si="61"/>
        <v>TASC - FSA  FEES</v>
      </c>
    </row>
    <row r="2547" spans="5:8" x14ac:dyDescent="0.25">
      <c r="E2547" t="str">
        <f>""</f>
        <v/>
      </c>
      <c r="F2547" t="str">
        <f>""</f>
        <v/>
      </c>
      <c r="H2547" t="str">
        <f t="shared" si="61"/>
        <v>TASC - FSA  FEES</v>
      </c>
    </row>
    <row r="2548" spans="5:8" x14ac:dyDescent="0.25">
      <c r="E2548" t="str">
        <f>""</f>
        <v/>
      </c>
      <c r="F2548" t="str">
        <f>""</f>
        <v/>
      </c>
      <c r="H2548" t="str">
        <f t="shared" si="61"/>
        <v>TASC - FSA  FEES</v>
      </c>
    </row>
    <row r="2549" spans="5:8" x14ac:dyDescent="0.25">
      <c r="E2549" t="str">
        <f>""</f>
        <v/>
      </c>
      <c r="F2549" t="str">
        <f>""</f>
        <v/>
      </c>
      <c r="H2549" t="str">
        <f t="shared" si="61"/>
        <v>TASC - FSA  FEES</v>
      </c>
    </row>
    <row r="2550" spans="5:8" x14ac:dyDescent="0.25">
      <c r="E2550" t="str">
        <f>""</f>
        <v/>
      </c>
      <c r="F2550" t="str">
        <f>""</f>
        <v/>
      </c>
      <c r="H2550" t="str">
        <f t="shared" si="61"/>
        <v>TASC - FSA  FEES</v>
      </c>
    </row>
    <row r="2551" spans="5:8" x14ac:dyDescent="0.25">
      <c r="E2551" t="str">
        <f>""</f>
        <v/>
      </c>
      <c r="F2551" t="str">
        <f>""</f>
        <v/>
      </c>
      <c r="H2551" t="str">
        <f t="shared" si="61"/>
        <v>TASC - FSA  FEES</v>
      </c>
    </row>
    <row r="2552" spans="5:8" x14ac:dyDescent="0.25">
      <c r="E2552" t="str">
        <f>""</f>
        <v/>
      </c>
      <c r="F2552" t="str">
        <f>""</f>
        <v/>
      </c>
      <c r="H2552" t="str">
        <f t="shared" si="61"/>
        <v>TASC - FSA  FEES</v>
      </c>
    </row>
    <row r="2553" spans="5:8" x14ac:dyDescent="0.25">
      <c r="E2553" t="str">
        <f>""</f>
        <v/>
      </c>
      <c r="F2553" t="str">
        <f>""</f>
        <v/>
      </c>
      <c r="H2553" t="str">
        <f t="shared" si="61"/>
        <v>TASC - FSA  FEES</v>
      </c>
    </row>
    <row r="2554" spans="5:8" x14ac:dyDescent="0.25">
      <c r="E2554" t="str">
        <f>""</f>
        <v/>
      </c>
      <c r="F2554" t="str">
        <f>""</f>
        <v/>
      </c>
      <c r="H2554" t="str">
        <f t="shared" si="61"/>
        <v>TASC - FSA  FEES</v>
      </c>
    </row>
    <row r="2555" spans="5:8" x14ac:dyDescent="0.25">
      <c r="E2555" t="str">
        <f>""</f>
        <v/>
      </c>
      <c r="F2555" t="str">
        <f>""</f>
        <v/>
      </c>
      <c r="H2555" t="str">
        <f t="shared" si="61"/>
        <v>TASC - FSA  FEES</v>
      </c>
    </row>
    <row r="2556" spans="5:8" x14ac:dyDescent="0.25">
      <c r="E2556" t="str">
        <f>""</f>
        <v/>
      </c>
      <c r="F2556" t="str">
        <f>""</f>
        <v/>
      </c>
      <c r="H2556" t="str">
        <f t="shared" si="61"/>
        <v>TASC - FSA  FEES</v>
      </c>
    </row>
    <row r="2557" spans="5:8" x14ac:dyDescent="0.25">
      <c r="E2557" t="str">
        <f>"FSF202106093832"</f>
        <v>FSF202106093832</v>
      </c>
      <c r="F2557" t="str">
        <f>"TASC - FSA  FEES"</f>
        <v>TASC - FSA  FEES</v>
      </c>
      <c r="G2557" s="4">
        <v>10.8</v>
      </c>
      <c r="H2557" t="str">
        <f t="shared" si="61"/>
        <v>TASC - FSA  FEES</v>
      </c>
    </row>
    <row r="2558" spans="5:8" x14ac:dyDescent="0.25">
      <c r="E2558" t="str">
        <f>"HRA202106093830"</f>
        <v>HRA202106093830</v>
      </c>
      <c r="F2558" t="str">
        <f>"TASC HRA"</f>
        <v>TASC HRA</v>
      </c>
      <c r="G2558" s="4">
        <v>666.72</v>
      </c>
      <c r="H2558" t="str">
        <f>"TASC HRA"</f>
        <v>TASC HRA</v>
      </c>
    </row>
    <row r="2559" spans="5:8" x14ac:dyDescent="0.25">
      <c r="E2559" t="str">
        <f>""</f>
        <v/>
      </c>
      <c r="F2559" t="str">
        <f>""</f>
        <v/>
      </c>
      <c r="H2559" t="str">
        <f>"TASC HRA"</f>
        <v>TASC HRA</v>
      </c>
    </row>
    <row r="2560" spans="5:8" x14ac:dyDescent="0.25">
      <c r="E2560" t="str">
        <f>""</f>
        <v/>
      </c>
      <c r="F2560" t="str">
        <f>""</f>
        <v/>
      </c>
      <c r="H2560" t="str">
        <f>"TASC HRA"</f>
        <v>TASC HRA</v>
      </c>
    </row>
    <row r="2561" spans="5:8" x14ac:dyDescent="0.25">
      <c r="E2561" t="str">
        <f>"HRF202106093830"</f>
        <v>HRF202106093830</v>
      </c>
      <c r="F2561" t="str">
        <f>"TASC - HRA FEES"</f>
        <v>TASC - HRA FEES</v>
      </c>
      <c r="G2561" s="4">
        <v>819</v>
      </c>
      <c r="H2561" t="str">
        <f t="shared" ref="H2561:H2592" si="62">"TASC - HRA FEES"</f>
        <v>TASC - HRA FEES</v>
      </c>
    </row>
    <row r="2562" spans="5:8" x14ac:dyDescent="0.25">
      <c r="E2562" t="str">
        <f>""</f>
        <v/>
      </c>
      <c r="F2562" t="str">
        <f>""</f>
        <v/>
      </c>
      <c r="H2562" t="str">
        <f t="shared" si="62"/>
        <v>TASC - HRA FEES</v>
      </c>
    </row>
    <row r="2563" spans="5:8" x14ac:dyDescent="0.25">
      <c r="E2563" t="str">
        <f>""</f>
        <v/>
      </c>
      <c r="F2563" t="str">
        <f>""</f>
        <v/>
      </c>
      <c r="H2563" t="str">
        <f t="shared" si="62"/>
        <v>TASC - HRA FEES</v>
      </c>
    </row>
    <row r="2564" spans="5:8" x14ac:dyDescent="0.25">
      <c r="E2564" t="str">
        <f>""</f>
        <v/>
      </c>
      <c r="F2564" t="str">
        <f>""</f>
        <v/>
      </c>
      <c r="H2564" t="str">
        <f t="shared" si="62"/>
        <v>TASC - HRA FEES</v>
      </c>
    </row>
    <row r="2565" spans="5:8" x14ac:dyDescent="0.25">
      <c r="E2565" t="str">
        <f>""</f>
        <v/>
      </c>
      <c r="F2565" t="str">
        <f>""</f>
        <v/>
      </c>
      <c r="H2565" t="str">
        <f t="shared" si="62"/>
        <v>TASC - HRA FEES</v>
      </c>
    </row>
    <row r="2566" spans="5:8" x14ac:dyDescent="0.25">
      <c r="E2566" t="str">
        <f>""</f>
        <v/>
      </c>
      <c r="F2566" t="str">
        <f>""</f>
        <v/>
      </c>
      <c r="H2566" t="str">
        <f t="shared" si="62"/>
        <v>TASC - HRA FEES</v>
      </c>
    </row>
    <row r="2567" spans="5:8" x14ac:dyDescent="0.25">
      <c r="E2567" t="str">
        <f>""</f>
        <v/>
      </c>
      <c r="F2567" t="str">
        <f>""</f>
        <v/>
      </c>
      <c r="H2567" t="str">
        <f t="shared" si="62"/>
        <v>TASC - HRA FEES</v>
      </c>
    </row>
    <row r="2568" spans="5:8" x14ac:dyDescent="0.25">
      <c r="E2568" t="str">
        <f>""</f>
        <v/>
      </c>
      <c r="F2568" t="str">
        <f>""</f>
        <v/>
      </c>
      <c r="H2568" t="str">
        <f t="shared" si="62"/>
        <v>TASC - HRA FEES</v>
      </c>
    </row>
    <row r="2569" spans="5:8" x14ac:dyDescent="0.25">
      <c r="E2569" t="str">
        <f>""</f>
        <v/>
      </c>
      <c r="F2569" t="str">
        <f>""</f>
        <v/>
      </c>
      <c r="H2569" t="str">
        <f t="shared" si="62"/>
        <v>TASC - HRA FEES</v>
      </c>
    </row>
    <row r="2570" spans="5:8" x14ac:dyDescent="0.25">
      <c r="E2570" t="str">
        <f>""</f>
        <v/>
      </c>
      <c r="F2570" t="str">
        <f>""</f>
        <v/>
      </c>
      <c r="H2570" t="str">
        <f t="shared" si="62"/>
        <v>TASC - HRA FEES</v>
      </c>
    </row>
    <row r="2571" spans="5:8" x14ac:dyDescent="0.25">
      <c r="E2571" t="str">
        <f>""</f>
        <v/>
      </c>
      <c r="F2571" t="str">
        <f>""</f>
        <v/>
      </c>
      <c r="H2571" t="str">
        <f t="shared" si="62"/>
        <v>TASC - HRA FEES</v>
      </c>
    </row>
    <row r="2572" spans="5:8" x14ac:dyDescent="0.25">
      <c r="E2572" t="str">
        <f>""</f>
        <v/>
      </c>
      <c r="F2572" t="str">
        <f>""</f>
        <v/>
      </c>
      <c r="H2572" t="str">
        <f t="shared" si="62"/>
        <v>TASC - HRA FEES</v>
      </c>
    </row>
    <row r="2573" spans="5:8" x14ac:dyDescent="0.25">
      <c r="E2573" t="str">
        <f>""</f>
        <v/>
      </c>
      <c r="F2573" t="str">
        <f>""</f>
        <v/>
      </c>
      <c r="H2573" t="str">
        <f t="shared" si="62"/>
        <v>TASC - HRA FEES</v>
      </c>
    </row>
    <row r="2574" spans="5:8" x14ac:dyDescent="0.25">
      <c r="E2574" t="str">
        <f>""</f>
        <v/>
      </c>
      <c r="F2574" t="str">
        <f>""</f>
        <v/>
      </c>
      <c r="H2574" t="str">
        <f t="shared" si="62"/>
        <v>TASC - HRA FEES</v>
      </c>
    </row>
    <row r="2575" spans="5:8" x14ac:dyDescent="0.25">
      <c r="E2575" t="str">
        <f>""</f>
        <v/>
      </c>
      <c r="F2575" t="str">
        <f>""</f>
        <v/>
      </c>
      <c r="H2575" t="str">
        <f t="shared" si="62"/>
        <v>TASC - HRA FEES</v>
      </c>
    </row>
    <row r="2576" spans="5:8" x14ac:dyDescent="0.25">
      <c r="E2576" t="str">
        <f>""</f>
        <v/>
      </c>
      <c r="F2576" t="str">
        <f>""</f>
        <v/>
      </c>
      <c r="H2576" t="str">
        <f t="shared" si="62"/>
        <v>TASC - HRA FEES</v>
      </c>
    </row>
    <row r="2577" spans="5:8" x14ac:dyDescent="0.25">
      <c r="E2577" t="str">
        <f>""</f>
        <v/>
      </c>
      <c r="F2577" t="str">
        <f>""</f>
        <v/>
      </c>
      <c r="H2577" t="str">
        <f t="shared" si="62"/>
        <v>TASC - HRA FEES</v>
      </c>
    </row>
    <row r="2578" spans="5:8" x14ac:dyDescent="0.25">
      <c r="E2578" t="str">
        <f>""</f>
        <v/>
      </c>
      <c r="F2578" t="str">
        <f>""</f>
        <v/>
      </c>
      <c r="H2578" t="str">
        <f t="shared" si="62"/>
        <v>TASC - HRA FEES</v>
      </c>
    </row>
    <row r="2579" spans="5:8" x14ac:dyDescent="0.25">
      <c r="E2579" t="str">
        <f>""</f>
        <v/>
      </c>
      <c r="F2579" t="str">
        <f>""</f>
        <v/>
      </c>
      <c r="H2579" t="str">
        <f t="shared" si="62"/>
        <v>TASC - HRA FEES</v>
      </c>
    </row>
    <row r="2580" spans="5:8" x14ac:dyDescent="0.25">
      <c r="E2580" t="str">
        <f>""</f>
        <v/>
      </c>
      <c r="F2580" t="str">
        <f>""</f>
        <v/>
      </c>
      <c r="H2580" t="str">
        <f t="shared" si="62"/>
        <v>TASC - HRA FEES</v>
      </c>
    </row>
    <row r="2581" spans="5:8" x14ac:dyDescent="0.25">
      <c r="E2581" t="str">
        <f>""</f>
        <v/>
      </c>
      <c r="F2581" t="str">
        <f>""</f>
        <v/>
      </c>
      <c r="H2581" t="str">
        <f t="shared" si="62"/>
        <v>TASC - HRA FEES</v>
      </c>
    </row>
    <row r="2582" spans="5:8" x14ac:dyDescent="0.25">
      <c r="E2582" t="str">
        <f>""</f>
        <v/>
      </c>
      <c r="F2582" t="str">
        <f>""</f>
        <v/>
      </c>
      <c r="H2582" t="str">
        <f t="shared" si="62"/>
        <v>TASC - HRA FEES</v>
      </c>
    </row>
    <row r="2583" spans="5:8" x14ac:dyDescent="0.25">
      <c r="E2583" t="str">
        <f>""</f>
        <v/>
      </c>
      <c r="F2583" t="str">
        <f>""</f>
        <v/>
      </c>
      <c r="H2583" t="str">
        <f t="shared" si="62"/>
        <v>TASC - HRA FEES</v>
      </c>
    </row>
    <row r="2584" spans="5:8" x14ac:dyDescent="0.25">
      <c r="E2584" t="str">
        <f>""</f>
        <v/>
      </c>
      <c r="F2584" t="str">
        <f>""</f>
        <v/>
      </c>
      <c r="H2584" t="str">
        <f t="shared" si="62"/>
        <v>TASC - HRA FEES</v>
      </c>
    </row>
    <row r="2585" spans="5:8" x14ac:dyDescent="0.25">
      <c r="E2585" t="str">
        <f>""</f>
        <v/>
      </c>
      <c r="F2585" t="str">
        <f>""</f>
        <v/>
      </c>
      <c r="H2585" t="str">
        <f t="shared" si="62"/>
        <v>TASC - HRA FEES</v>
      </c>
    </row>
    <row r="2586" spans="5:8" x14ac:dyDescent="0.25">
      <c r="E2586" t="str">
        <f>""</f>
        <v/>
      </c>
      <c r="F2586" t="str">
        <f>""</f>
        <v/>
      </c>
      <c r="H2586" t="str">
        <f t="shared" si="62"/>
        <v>TASC - HRA FEES</v>
      </c>
    </row>
    <row r="2587" spans="5:8" x14ac:dyDescent="0.25">
      <c r="E2587" t="str">
        <f>""</f>
        <v/>
      </c>
      <c r="F2587" t="str">
        <f>""</f>
        <v/>
      </c>
      <c r="H2587" t="str">
        <f t="shared" si="62"/>
        <v>TASC - HRA FEES</v>
      </c>
    </row>
    <row r="2588" spans="5:8" x14ac:dyDescent="0.25">
      <c r="E2588" t="str">
        <f>""</f>
        <v/>
      </c>
      <c r="F2588" t="str">
        <f>""</f>
        <v/>
      </c>
      <c r="H2588" t="str">
        <f t="shared" si="62"/>
        <v>TASC - HRA FEES</v>
      </c>
    </row>
    <row r="2589" spans="5:8" x14ac:dyDescent="0.25">
      <c r="E2589" t="str">
        <f>""</f>
        <v/>
      </c>
      <c r="F2589" t="str">
        <f>""</f>
        <v/>
      </c>
      <c r="H2589" t="str">
        <f t="shared" si="62"/>
        <v>TASC - HRA FEES</v>
      </c>
    </row>
    <row r="2590" spans="5:8" x14ac:dyDescent="0.25">
      <c r="E2590" t="str">
        <f>""</f>
        <v/>
      </c>
      <c r="F2590" t="str">
        <f>""</f>
        <v/>
      </c>
      <c r="H2590" t="str">
        <f t="shared" si="62"/>
        <v>TASC - HRA FEES</v>
      </c>
    </row>
    <row r="2591" spans="5:8" x14ac:dyDescent="0.25">
      <c r="E2591" t="str">
        <f>""</f>
        <v/>
      </c>
      <c r="F2591" t="str">
        <f>""</f>
        <v/>
      </c>
      <c r="H2591" t="str">
        <f t="shared" si="62"/>
        <v>TASC - HRA FEES</v>
      </c>
    </row>
    <row r="2592" spans="5:8" x14ac:dyDescent="0.25">
      <c r="E2592" t="str">
        <f>""</f>
        <v/>
      </c>
      <c r="F2592" t="str">
        <f>""</f>
        <v/>
      </c>
      <c r="H2592" t="str">
        <f t="shared" si="62"/>
        <v>TASC - HRA FEES</v>
      </c>
    </row>
    <row r="2593" spans="5:8" x14ac:dyDescent="0.25">
      <c r="E2593" t="str">
        <f>""</f>
        <v/>
      </c>
      <c r="F2593" t="str">
        <f>""</f>
        <v/>
      </c>
      <c r="H2593" t="str">
        <f t="shared" ref="H2593:H2612" si="63">"TASC - HRA FEES"</f>
        <v>TASC - HRA FEES</v>
      </c>
    </row>
    <row r="2594" spans="5:8" x14ac:dyDescent="0.25">
      <c r="E2594" t="str">
        <f>""</f>
        <v/>
      </c>
      <c r="F2594" t="str">
        <f>""</f>
        <v/>
      </c>
      <c r="H2594" t="str">
        <f t="shared" si="63"/>
        <v>TASC - HRA FEES</v>
      </c>
    </row>
    <row r="2595" spans="5:8" x14ac:dyDescent="0.25">
      <c r="E2595" t="str">
        <f>""</f>
        <v/>
      </c>
      <c r="F2595" t="str">
        <f>""</f>
        <v/>
      </c>
      <c r="H2595" t="str">
        <f t="shared" si="63"/>
        <v>TASC - HRA FEES</v>
      </c>
    </row>
    <row r="2596" spans="5:8" x14ac:dyDescent="0.25">
      <c r="E2596" t="str">
        <f>""</f>
        <v/>
      </c>
      <c r="F2596" t="str">
        <f>""</f>
        <v/>
      </c>
      <c r="H2596" t="str">
        <f t="shared" si="63"/>
        <v>TASC - HRA FEES</v>
      </c>
    </row>
    <row r="2597" spans="5:8" x14ac:dyDescent="0.25">
      <c r="E2597" t="str">
        <f>""</f>
        <v/>
      </c>
      <c r="F2597" t="str">
        <f>""</f>
        <v/>
      </c>
      <c r="H2597" t="str">
        <f t="shared" si="63"/>
        <v>TASC - HRA FEES</v>
      </c>
    </row>
    <row r="2598" spans="5:8" x14ac:dyDescent="0.25">
      <c r="E2598" t="str">
        <f>""</f>
        <v/>
      </c>
      <c r="F2598" t="str">
        <f>""</f>
        <v/>
      </c>
      <c r="H2598" t="str">
        <f t="shared" si="63"/>
        <v>TASC - HRA FEES</v>
      </c>
    </row>
    <row r="2599" spans="5:8" x14ac:dyDescent="0.25">
      <c r="E2599" t="str">
        <f>""</f>
        <v/>
      </c>
      <c r="F2599" t="str">
        <f>""</f>
        <v/>
      </c>
      <c r="H2599" t="str">
        <f t="shared" si="63"/>
        <v>TASC - HRA FEES</v>
      </c>
    </row>
    <row r="2600" spans="5:8" x14ac:dyDescent="0.25">
      <c r="E2600" t="str">
        <f>""</f>
        <v/>
      </c>
      <c r="F2600" t="str">
        <f>""</f>
        <v/>
      </c>
      <c r="H2600" t="str">
        <f t="shared" si="63"/>
        <v>TASC - HRA FEES</v>
      </c>
    </row>
    <row r="2601" spans="5:8" x14ac:dyDescent="0.25">
      <c r="E2601" t="str">
        <f>""</f>
        <v/>
      </c>
      <c r="F2601" t="str">
        <f>""</f>
        <v/>
      </c>
      <c r="H2601" t="str">
        <f t="shared" si="63"/>
        <v>TASC - HRA FEES</v>
      </c>
    </row>
    <row r="2602" spans="5:8" x14ac:dyDescent="0.25">
      <c r="E2602" t="str">
        <f>""</f>
        <v/>
      </c>
      <c r="F2602" t="str">
        <f>""</f>
        <v/>
      </c>
      <c r="H2602" t="str">
        <f t="shared" si="63"/>
        <v>TASC - HRA FEES</v>
      </c>
    </row>
    <row r="2603" spans="5:8" x14ac:dyDescent="0.25">
      <c r="E2603" t="str">
        <f>""</f>
        <v/>
      </c>
      <c r="F2603" t="str">
        <f>""</f>
        <v/>
      </c>
      <c r="H2603" t="str">
        <f t="shared" si="63"/>
        <v>TASC - HRA FEES</v>
      </c>
    </row>
    <row r="2604" spans="5:8" x14ac:dyDescent="0.25">
      <c r="E2604" t="str">
        <f>""</f>
        <v/>
      </c>
      <c r="F2604" t="str">
        <f>""</f>
        <v/>
      </c>
      <c r="H2604" t="str">
        <f t="shared" si="63"/>
        <v>TASC - HRA FEES</v>
      </c>
    </row>
    <row r="2605" spans="5:8" x14ac:dyDescent="0.25">
      <c r="E2605" t="str">
        <f>""</f>
        <v/>
      </c>
      <c r="F2605" t="str">
        <f>""</f>
        <v/>
      </c>
      <c r="H2605" t="str">
        <f t="shared" si="63"/>
        <v>TASC - HRA FEES</v>
      </c>
    </row>
    <row r="2606" spans="5:8" x14ac:dyDescent="0.25">
      <c r="E2606" t="str">
        <f>""</f>
        <v/>
      </c>
      <c r="F2606" t="str">
        <f>""</f>
        <v/>
      </c>
      <c r="H2606" t="str">
        <f t="shared" si="63"/>
        <v>TASC - HRA FEES</v>
      </c>
    </row>
    <row r="2607" spans="5:8" x14ac:dyDescent="0.25">
      <c r="E2607" t="str">
        <f>""</f>
        <v/>
      </c>
      <c r="F2607" t="str">
        <f>""</f>
        <v/>
      </c>
      <c r="H2607" t="str">
        <f t="shared" si="63"/>
        <v>TASC - HRA FEES</v>
      </c>
    </row>
    <row r="2608" spans="5:8" x14ac:dyDescent="0.25">
      <c r="E2608" t="str">
        <f>""</f>
        <v/>
      </c>
      <c r="F2608" t="str">
        <f>""</f>
        <v/>
      </c>
      <c r="H2608" t="str">
        <f t="shared" si="63"/>
        <v>TASC - HRA FEES</v>
      </c>
    </row>
    <row r="2609" spans="1:8" x14ac:dyDescent="0.25">
      <c r="E2609" t="str">
        <f>""</f>
        <v/>
      </c>
      <c r="F2609" t="str">
        <f>""</f>
        <v/>
      </c>
      <c r="H2609" t="str">
        <f t="shared" si="63"/>
        <v>TASC - HRA FEES</v>
      </c>
    </row>
    <row r="2610" spans="1:8" x14ac:dyDescent="0.25">
      <c r="E2610" t="str">
        <f>""</f>
        <v/>
      </c>
      <c r="F2610" t="str">
        <f>""</f>
        <v/>
      </c>
      <c r="H2610" t="str">
        <f t="shared" si="63"/>
        <v>TASC - HRA FEES</v>
      </c>
    </row>
    <row r="2611" spans="1:8" x14ac:dyDescent="0.25">
      <c r="E2611" t="str">
        <f>""</f>
        <v/>
      </c>
      <c r="F2611" t="str">
        <f>""</f>
        <v/>
      </c>
      <c r="H2611" t="str">
        <f t="shared" si="63"/>
        <v>TASC - HRA FEES</v>
      </c>
    </row>
    <row r="2612" spans="1:8" x14ac:dyDescent="0.25">
      <c r="E2612" t="str">
        <f>"HRF202106093832"</f>
        <v>HRF202106093832</v>
      </c>
      <c r="F2612" t="str">
        <f>"TASC - HRA FEES"</f>
        <v>TASC - HRA FEES</v>
      </c>
      <c r="G2612" s="4">
        <v>25.2</v>
      </c>
      <c r="H2612" t="str">
        <f t="shared" si="63"/>
        <v>TASC - HRA FEES</v>
      </c>
    </row>
    <row r="2613" spans="1:8" x14ac:dyDescent="0.25">
      <c r="A2613" t="s">
        <v>442</v>
      </c>
      <c r="B2613">
        <v>1153</v>
      </c>
      <c r="C2613" s="4">
        <v>8673.24</v>
      </c>
      <c r="D2613" s="1">
        <v>44372</v>
      </c>
      <c r="E2613" t="str">
        <f>"FSA202106224151"</f>
        <v>FSA202106224151</v>
      </c>
      <c r="F2613" t="str">
        <f>"TASC FSA"</f>
        <v>TASC FSA</v>
      </c>
      <c r="G2613" s="4">
        <v>7200.1</v>
      </c>
      <c r="H2613" t="str">
        <f>"TASC FSA"</f>
        <v>TASC FSA</v>
      </c>
    </row>
    <row r="2614" spans="1:8" x14ac:dyDescent="0.25">
      <c r="E2614" t="str">
        <f>"FSA202106224152"</f>
        <v>FSA202106224152</v>
      </c>
      <c r="F2614" t="str">
        <f>"TASC FSA"</f>
        <v>TASC FSA</v>
      </c>
      <c r="G2614" s="4">
        <v>328.74</v>
      </c>
      <c r="H2614" t="str">
        <f>"TASC FSA"</f>
        <v>TASC FSA</v>
      </c>
    </row>
    <row r="2615" spans="1:8" x14ac:dyDescent="0.25">
      <c r="E2615" t="str">
        <f>"FSC202106224151"</f>
        <v>FSC202106224151</v>
      </c>
      <c r="F2615" t="str">
        <f>"TASC DEPENDENT CARE"</f>
        <v>TASC DEPENDENT CARE</v>
      </c>
      <c r="G2615" s="4">
        <v>50</v>
      </c>
      <c r="H2615" t="str">
        <f>"TASC DEPENDENT CARE"</f>
        <v>TASC DEPENDENT CARE</v>
      </c>
    </row>
    <row r="2616" spans="1:8" x14ac:dyDescent="0.25">
      <c r="E2616" t="str">
        <f>"FSF202106224151"</f>
        <v>FSF202106224151</v>
      </c>
      <c r="F2616" t="str">
        <f>"TASC - FSA  FEES"</f>
        <v>TASC - FSA  FEES</v>
      </c>
      <c r="G2616" s="4">
        <v>243</v>
      </c>
      <c r="H2616" t="str">
        <f t="shared" ref="H2616:H2655" si="64">"TASC - FSA  FEES"</f>
        <v>TASC - FSA  FEES</v>
      </c>
    </row>
    <row r="2617" spans="1:8" x14ac:dyDescent="0.25">
      <c r="E2617" t="str">
        <f>""</f>
        <v/>
      </c>
      <c r="F2617" t="str">
        <f>""</f>
        <v/>
      </c>
      <c r="H2617" t="str">
        <f t="shared" si="64"/>
        <v>TASC - FSA  FEES</v>
      </c>
    </row>
    <row r="2618" spans="1:8" x14ac:dyDescent="0.25">
      <c r="E2618" t="str">
        <f>""</f>
        <v/>
      </c>
      <c r="F2618" t="str">
        <f>""</f>
        <v/>
      </c>
      <c r="H2618" t="str">
        <f t="shared" si="64"/>
        <v>TASC - FSA  FEES</v>
      </c>
    </row>
    <row r="2619" spans="1:8" x14ac:dyDescent="0.25">
      <c r="E2619" t="str">
        <f>""</f>
        <v/>
      </c>
      <c r="F2619" t="str">
        <f>""</f>
        <v/>
      </c>
      <c r="H2619" t="str">
        <f t="shared" si="64"/>
        <v>TASC - FSA  FEES</v>
      </c>
    </row>
    <row r="2620" spans="1:8" x14ac:dyDescent="0.25">
      <c r="E2620" t="str">
        <f>""</f>
        <v/>
      </c>
      <c r="F2620" t="str">
        <f>""</f>
        <v/>
      </c>
      <c r="H2620" t="str">
        <f t="shared" si="64"/>
        <v>TASC - FSA  FEES</v>
      </c>
    </row>
    <row r="2621" spans="1:8" x14ac:dyDescent="0.25">
      <c r="E2621" t="str">
        <f>""</f>
        <v/>
      </c>
      <c r="F2621" t="str">
        <f>""</f>
        <v/>
      </c>
      <c r="H2621" t="str">
        <f t="shared" si="64"/>
        <v>TASC - FSA  FEES</v>
      </c>
    </row>
    <row r="2622" spans="1:8" x14ac:dyDescent="0.25">
      <c r="E2622" t="str">
        <f>""</f>
        <v/>
      </c>
      <c r="F2622" t="str">
        <f>""</f>
        <v/>
      </c>
      <c r="H2622" t="str">
        <f t="shared" si="64"/>
        <v>TASC - FSA  FEES</v>
      </c>
    </row>
    <row r="2623" spans="1:8" x14ac:dyDescent="0.25">
      <c r="E2623" t="str">
        <f>""</f>
        <v/>
      </c>
      <c r="F2623" t="str">
        <f>""</f>
        <v/>
      </c>
      <c r="H2623" t="str">
        <f t="shared" si="64"/>
        <v>TASC - FSA  FEES</v>
      </c>
    </row>
    <row r="2624" spans="1:8" x14ac:dyDescent="0.25">
      <c r="E2624" t="str">
        <f>""</f>
        <v/>
      </c>
      <c r="F2624" t="str">
        <f>""</f>
        <v/>
      </c>
      <c r="H2624" t="str">
        <f t="shared" si="64"/>
        <v>TASC - FSA  FEES</v>
      </c>
    </row>
    <row r="2625" spans="5:8" x14ac:dyDescent="0.25">
      <c r="E2625" t="str">
        <f>""</f>
        <v/>
      </c>
      <c r="F2625" t="str">
        <f>""</f>
        <v/>
      </c>
      <c r="H2625" t="str">
        <f t="shared" si="64"/>
        <v>TASC - FSA  FEES</v>
      </c>
    </row>
    <row r="2626" spans="5:8" x14ac:dyDescent="0.25">
      <c r="E2626" t="str">
        <f>""</f>
        <v/>
      </c>
      <c r="F2626" t="str">
        <f>""</f>
        <v/>
      </c>
      <c r="H2626" t="str">
        <f t="shared" si="64"/>
        <v>TASC - FSA  FEES</v>
      </c>
    </row>
    <row r="2627" spans="5:8" x14ac:dyDescent="0.25">
      <c r="E2627" t="str">
        <f>""</f>
        <v/>
      </c>
      <c r="F2627" t="str">
        <f>""</f>
        <v/>
      </c>
      <c r="H2627" t="str">
        <f t="shared" si="64"/>
        <v>TASC - FSA  FEES</v>
      </c>
    </row>
    <row r="2628" spans="5:8" x14ac:dyDescent="0.25">
      <c r="E2628" t="str">
        <f>""</f>
        <v/>
      </c>
      <c r="F2628" t="str">
        <f>""</f>
        <v/>
      </c>
      <c r="H2628" t="str">
        <f t="shared" si="64"/>
        <v>TASC - FSA  FEES</v>
      </c>
    </row>
    <row r="2629" spans="5:8" x14ac:dyDescent="0.25">
      <c r="E2629" t="str">
        <f>""</f>
        <v/>
      </c>
      <c r="F2629" t="str">
        <f>""</f>
        <v/>
      </c>
      <c r="H2629" t="str">
        <f t="shared" si="64"/>
        <v>TASC - FSA  FEES</v>
      </c>
    </row>
    <row r="2630" spans="5:8" x14ac:dyDescent="0.25">
      <c r="E2630" t="str">
        <f>""</f>
        <v/>
      </c>
      <c r="F2630" t="str">
        <f>""</f>
        <v/>
      </c>
      <c r="H2630" t="str">
        <f t="shared" si="64"/>
        <v>TASC - FSA  FEES</v>
      </c>
    </row>
    <row r="2631" spans="5:8" x14ac:dyDescent="0.25">
      <c r="E2631" t="str">
        <f>""</f>
        <v/>
      </c>
      <c r="F2631" t="str">
        <f>""</f>
        <v/>
      </c>
      <c r="H2631" t="str">
        <f t="shared" si="64"/>
        <v>TASC - FSA  FEES</v>
      </c>
    </row>
    <row r="2632" spans="5:8" x14ac:dyDescent="0.25">
      <c r="E2632" t="str">
        <f>""</f>
        <v/>
      </c>
      <c r="F2632" t="str">
        <f>""</f>
        <v/>
      </c>
      <c r="H2632" t="str">
        <f t="shared" si="64"/>
        <v>TASC - FSA  FEES</v>
      </c>
    </row>
    <row r="2633" spans="5:8" x14ac:dyDescent="0.25">
      <c r="E2633" t="str">
        <f>""</f>
        <v/>
      </c>
      <c r="F2633" t="str">
        <f>""</f>
        <v/>
      </c>
      <c r="H2633" t="str">
        <f t="shared" si="64"/>
        <v>TASC - FSA  FEES</v>
      </c>
    </row>
    <row r="2634" spans="5:8" x14ac:dyDescent="0.25">
      <c r="E2634" t="str">
        <f>""</f>
        <v/>
      </c>
      <c r="F2634" t="str">
        <f>""</f>
        <v/>
      </c>
      <c r="H2634" t="str">
        <f t="shared" si="64"/>
        <v>TASC - FSA  FEES</v>
      </c>
    </row>
    <row r="2635" spans="5:8" x14ac:dyDescent="0.25">
      <c r="E2635" t="str">
        <f>""</f>
        <v/>
      </c>
      <c r="F2635" t="str">
        <f>""</f>
        <v/>
      </c>
      <c r="H2635" t="str">
        <f t="shared" si="64"/>
        <v>TASC - FSA  FEES</v>
      </c>
    </row>
    <row r="2636" spans="5:8" x14ac:dyDescent="0.25">
      <c r="E2636" t="str">
        <f>""</f>
        <v/>
      </c>
      <c r="F2636" t="str">
        <f>""</f>
        <v/>
      </c>
      <c r="H2636" t="str">
        <f t="shared" si="64"/>
        <v>TASC - FSA  FEES</v>
      </c>
    </row>
    <row r="2637" spans="5:8" x14ac:dyDescent="0.25">
      <c r="E2637" t="str">
        <f>""</f>
        <v/>
      </c>
      <c r="F2637" t="str">
        <f>""</f>
        <v/>
      </c>
      <c r="H2637" t="str">
        <f t="shared" si="64"/>
        <v>TASC - FSA  FEES</v>
      </c>
    </row>
    <row r="2638" spans="5:8" x14ac:dyDescent="0.25">
      <c r="E2638" t="str">
        <f>""</f>
        <v/>
      </c>
      <c r="F2638" t="str">
        <f>""</f>
        <v/>
      </c>
      <c r="H2638" t="str">
        <f t="shared" si="64"/>
        <v>TASC - FSA  FEES</v>
      </c>
    </row>
    <row r="2639" spans="5:8" x14ac:dyDescent="0.25">
      <c r="E2639" t="str">
        <f>""</f>
        <v/>
      </c>
      <c r="F2639" t="str">
        <f>""</f>
        <v/>
      </c>
      <c r="H2639" t="str">
        <f t="shared" si="64"/>
        <v>TASC - FSA  FEES</v>
      </c>
    </row>
    <row r="2640" spans="5:8" x14ac:dyDescent="0.25">
      <c r="E2640" t="str">
        <f>""</f>
        <v/>
      </c>
      <c r="F2640" t="str">
        <f>""</f>
        <v/>
      </c>
      <c r="H2640" t="str">
        <f t="shared" si="64"/>
        <v>TASC - FSA  FEES</v>
      </c>
    </row>
    <row r="2641" spans="5:8" x14ac:dyDescent="0.25">
      <c r="E2641" t="str">
        <f>""</f>
        <v/>
      </c>
      <c r="F2641" t="str">
        <f>""</f>
        <v/>
      </c>
      <c r="H2641" t="str">
        <f t="shared" si="64"/>
        <v>TASC - FSA  FEES</v>
      </c>
    </row>
    <row r="2642" spans="5:8" x14ac:dyDescent="0.25">
      <c r="E2642" t="str">
        <f>""</f>
        <v/>
      </c>
      <c r="F2642" t="str">
        <f>""</f>
        <v/>
      </c>
      <c r="H2642" t="str">
        <f t="shared" si="64"/>
        <v>TASC - FSA  FEES</v>
      </c>
    </row>
    <row r="2643" spans="5:8" x14ac:dyDescent="0.25">
      <c r="E2643" t="str">
        <f>""</f>
        <v/>
      </c>
      <c r="F2643" t="str">
        <f>""</f>
        <v/>
      </c>
      <c r="H2643" t="str">
        <f t="shared" si="64"/>
        <v>TASC - FSA  FEES</v>
      </c>
    </row>
    <row r="2644" spans="5:8" x14ac:dyDescent="0.25">
      <c r="E2644" t="str">
        <f>""</f>
        <v/>
      </c>
      <c r="F2644" t="str">
        <f>""</f>
        <v/>
      </c>
      <c r="H2644" t="str">
        <f t="shared" si="64"/>
        <v>TASC - FSA  FEES</v>
      </c>
    </row>
    <row r="2645" spans="5:8" x14ac:dyDescent="0.25">
      <c r="E2645" t="str">
        <f>""</f>
        <v/>
      </c>
      <c r="F2645" t="str">
        <f>""</f>
        <v/>
      </c>
      <c r="H2645" t="str">
        <f t="shared" si="64"/>
        <v>TASC - FSA  FEES</v>
      </c>
    </row>
    <row r="2646" spans="5:8" x14ac:dyDescent="0.25">
      <c r="E2646" t="str">
        <f>""</f>
        <v/>
      </c>
      <c r="F2646" t="str">
        <f>""</f>
        <v/>
      </c>
      <c r="H2646" t="str">
        <f t="shared" si="64"/>
        <v>TASC - FSA  FEES</v>
      </c>
    </row>
    <row r="2647" spans="5:8" x14ac:dyDescent="0.25">
      <c r="E2647" t="str">
        <f>""</f>
        <v/>
      </c>
      <c r="F2647" t="str">
        <f>""</f>
        <v/>
      </c>
      <c r="H2647" t="str">
        <f t="shared" si="64"/>
        <v>TASC - FSA  FEES</v>
      </c>
    </row>
    <row r="2648" spans="5:8" x14ac:dyDescent="0.25">
      <c r="E2648" t="str">
        <f>""</f>
        <v/>
      </c>
      <c r="F2648" t="str">
        <f>""</f>
        <v/>
      </c>
      <c r="H2648" t="str">
        <f t="shared" si="64"/>
        <v>TASC - FSA  FEES</v>
      </c>
    </row>
    <row r="2649" spans="5:8" x14ac:dyDescent="0.25">
      <c r="E2649" t="str">
        <f>""</f>
        <v/>
      </c>
      <c r="F2649" t="str">
        <f>""</f>
        <v/>
      </c>
      <c r="H2649" t="str">
        <f t="shared" si="64"/>
        <v>TASC - FSA  FEES</v>
      </c>
    </row>
    <row r="2650" spans="5:8" x14ac:dyDescent="0.25">
      <c r="E2650" t="str">
        <f>""</f>
        <v/>
      </c>
      <c r="F2650" t="str">
        <f>""</f>
        <v/>
      </c>
      <c r="H2650" t="str">
        <f t="shared" si="64"/>
        <v>TASC - FSA  FEES</v>
      </c>
    </row>
    <row r="2651" spans="5:8" x14ac:dyDescent="0.25">
      <c r="E2651" t="str">
        <f>""</f>
        <v/>
      </c>
      <c r="F2651" t="str">
        <f>""</f>
        <v/>
      </c>
      <c r="H2651" t="str">
        <f t="shared" si="64"/>
        <v>TASC - FSA  FEES</v>
      </c>
    </row>
    <row r="2652" spans="5:8" x14ac:dyDescent="0.25">
      <c r="E2652" t="str">
        <f>""</f>
        <v/>
      </c>
      <c r="F2652" t="str">
        <f>""</f>
        <v/>
      </c>
      <c r="H2652" t="str">
        <f t="shared" si="64"/>
        <v>TASC - FSA  FEES</v>
      </c>
    </row>
    <row r="2653" spans="5:8" x14ac:dyDescent="0.25">
      <c r="E2653" t="str">
        <f>""</f>
        <v/>
      </c>
      <c r="F2653" t="str">
        <f>""</f>
        <v/>
      </c>
      <c r="H2653" t="str">
        <f t="shared" si="64"/>
        <v>TASC - FSA  FEES</v>
      </c>
    </row>
    <row r="2654" spans="5:8" x14ac:dyDescent="0.25">
      <c r="E2654" t="str">
        <f>""</f>
        <v/>
      </c>
      <c r="F2654" t="str">
        <f>""</f>
        <v/>
      </c>
      <c r="H2654" t="str">
        <f t="shared" si="64"/>
        <v>TASC - FSA  FEES</v>
      </c>
    </row>
    <row r="2655" spans="5:8" x14ac:dyDescent="0.25">
      <c r="E2655" t="str">
        <f>"FSF202106224152"</f>
        <v>FSF202106224152</v>
      </c>
      <c r="F2655" t="str">
        <f>"TASC - FSA  FEES"</f>
        <v>TASC - FSA  FEES</v>
      </c>
      <c r="G2655" s="4">
        <v>10.8</v>
      </c>
      <c r="H2655" t="str">
        <f t="shared" si="64"/>
        <v>TASC - FSA  FEES</v>
      </c>
    </row>
    <row r="2656" spans="5:8" x14ac:dyDescent="0.25">
      <c r="E2656" t="str">
        <f>"HRF202106224151"</f>
        <v>HRF202106224151</v>
      </c>
      <c r="F2656" t="str">
        <f>"TASC - HRA FEES"</f>
        <v>TASC - HRA FEES</v>
      </c>
      <c r="G2656" s="4">
        <v>815.4</v>
      </c>
      <c r="H2656" t="str">
        <f t="shared" ref="H2656:H2687" si="65">"TASC - HRA FEES"</f>
        <v>TASC - HRA FEES</v>
      </c>
    </row>
    <row r="2657" spans="5:8" x14ac:dyDescent="0.25">
      <c r="E2657" t="str">
        <f>""</f>
        <v/>
      </c>
      <c r="F2657" t="str">
        <f>""</f>
        <v/>
      </c>
      <c r="H2657" t="str">
        <f t="shared" si="65"/>
        <v>TASC - HRA FEES</v>
      </c>
    </row>
    <row r="2658" spans="5:8" x14ac:dyDescent="0.25">
      <c r="E2658" t="str">
        <f>""</f>
        <v/>
      </c>
      <c r="F2658" t="str">
        <f>""</f>
        <v/>
      </c>
      <c r="H2658" t="str">
        <f t="shared" si="65"/>
        <v>TASC - HRA FEES</v>
      </c>
    </row>
    <row r="2659" spans="5:8" x14ac:dyDescent="0.25">
      <c r="E2659" t="str">
        <f>""</f>
        <v/>
      </c>
      <c r="F2659" t="str">
        <f>""</f>
        <v/>
      </c>
      <c r="H2659" t="str">
        <f t="shared" si="65"/>
        <v>TASC - HRA FEES</v>
      </c>
    </row>
    <row r="2660" spans="5:8" x14ac:dyDescent="0.25">
      <c r="E2660" t="str">
        <f>""</f>
        <v/>
      </c>
      <c r="F2660" t="str">
        <f>""</f>
        <v/>
      </c>
      <c r="H2660" t="str">
        <f t="shared" si="65"/>
        <v>TASC - HRA FEES</v>
      </c>
    </row>
    <row r="2661" spans="5:8" x14ac:dyDescent="0.25">
      <c r="E2661" t="str">
        <f>""</f>
        <v/>
      </c>
      <c r="F2661" t="str">
        <f>""</f>
        <v/>
      </c>
      <c r="H2661" t="str">
        <f t="shared" si="65"/>
        <v>TASC - HRA FEES</v>
      </c>
    </row>
    <row r="2662" spans="5:8" x14ac:dyDescent="0.25">
      <c r="E2662" t="str">
        <f>""</f>
        <v/>
      </c>
      <c r="F2662" t="str">
        <f>""</f>
        <v/>
      </c>
      <c r="H2662" t="str">
        <f t="shared" si="65"/>
        <v>TASC - HRA FEES</v>
      </c>
    </row>
    <row r="2663" spans="5:8" x14ac:dyDescent="0.25">
      <c r="E2663" t="str">
        <f>""</f>
        <v/>
      </c>
      <c r="F2663" t="str">
        <f>""</f>
        <v/>
      </c>
      <c r="H2663" t="str">
        <f t="shared" si="65"/>
        <v>TASC - HRA FEES</v>
      </c>
    </row>
    <row r="2664" spans="5:8" x14ac:dyDescent="0.25">
      <c r="E2664" t="str">
        <f>""</f>
        <v/>
      </c>
      <c r="F2664" t="str">
        <f>""</f>
        <v/>
      </c>
      <c r="H2664" t="str">
        <f t="shared" si="65"/>
        <v>TASC - HRA FEES</v>
      </c>
    </row>
    <row r="2665" spans="5:8" x14ac:dyDescent="0.25">
      <c r="E2665" t="str">
        <f>""</f>
        <v/>
      </c>
      <c r="F2665" t="str">
        <f>""</f>
        <v/>
      </c>
      <c r="H2665" t="str">
        <f t="shared" si="65"/>
        <v>TASC - HRA FEES</v>
      </c>
    </row>
    <row r="2666" spans="5:8" x14ac:dyDescent="0.25">
      <c r="E2666" t="str">
        <f>""</f>
        <v/>
      </c>
      <c r="F2666" t="str">
        <f>""</f>
        <v/>
      </c>
      <c r="H2666" t="str">
        <f t="shared" si="65"/>
        <v>TASC - HRA FEES</v>
      </c>
    </row>
    <row r="2667" spans="5:8" x14ac:dyDescent="0.25">
      <c r="E2667" t="str">
        <f>""</f>
        <v/>
      </c>
      <c r="F2667" t="str">
        <f>""</f>
        <v/>
      </c>
      <c r="H2667" t="str">
        <f t="shared" si="65"/>
        <v>TASC - HRA FEES</v>
      </c>
    </row>
    <row r="2668" spans="5:8" x14ac:dyDescent="0.25">
      <c r="E2668" t="str">
        <f>""</f>
        <v/>
      </c>
      <c r="F2668" t="str">
        <f>""</f>
        <v/>
      </c>
      <c r="H2668" t="str">
        <f t="shared" si="65"/>
        <v>TASC - HRA FEES</v>
      </c>
    </row>
    <row r="2669" spans="5:8" x14ac:dyDescent="0.25">
      <c r="E2669" t="str">
        <f>""</f>
        <v/>
      </c>
      <c r="F2669" t="str">
        <f>""</f>
        <v/>
      </c>
      <c r="H2669" t="str">
        <f t="shared" si="65"/>
        <v>TASC - HRA FEES</v>
      </c>
    </row>
    <row r="2670" spans="5:8" x14ac:dyDescent="0.25">
      <c r="E2670" t="str">
        <f>""</f>
        <v/>
      </c>
      <c r="F2670" t="str">
        <f>""</f>
        <v/>
      </c>
      <c r="H2670" t="str">
        <f t="shared" si="65"/>
        <v>TASC - HRA FEES</v>
      </c>
    </row>
    <row r="2671" spans="5:8" x14ac:dyDescent="0.25">
      <c r="E2671" t="str">
        <f>""</f>
        <v/>
      </c>
      <c r="F2671" t="str">
        <f>""</f>
        <v/>
      </c>
      <c r="H2671" t="str">
        <f t="shared" si="65"/>
        <v>TASC - HRA FEES</v>
      </c>
    </row>
    <row r="2672" spans="5:8" x14ac:dyDescent="0.25">
      <c r="E2672" t="str">
        <f>""</f>
        <v/>
      </c>
      <c r="F2672" t="str">
        <f>""</f>
        <v/>
      </c>
      <c r="H2672" t="str">
        <f t="shared" si="65"/>
        <v>TASC - HRA FEES</v>
      </c>
    </row>
    <row r="2673" spans="5:8" x14ac:dyDescent="0.25">
      <c r="E2673" t="str">
        <f>""</f>
        <v/>
      </c>
      <c r="F2673" t="str">
        <f>""</f>
        <v/>
      </c>
      <c r="H2673" t="str">
        <f t="shared" si="65"/>
        <v>TASC - HRA FEES</v>
      </c>
    </row>
    <row r="2674" spans="5:8" x14ac:dyDescent="0.25">
      <c r="E2674" t="str">
        <f>""</f>
        <v/>
      </c>
      <c r="F2674" t="str">
        <f>""</f>
        <v/>
      </c>
      <c r="H2674" t="str">
        <f t="shared" si="65"/>
        <v>TASC - HRA FEES</v>
      </c>
    </row>
    <row r="2675" spans="5:8" x14ac:dyDescent="0.25">
      <c r="E2675" t="str">
        <f>""</f>
        <v/>
      </c>
      <c r="F2675" t="str">
        <f>""</f>
        <v/>
      </c>
      <c r="H2675" t="str">
        <f t="shared" si="65"/>
        <v>TASC - HRA FEES</v>
      </c>
    </row>
    <row r="2676" spans="5:8" x14ac:dyDescent="0.25">
      <c r="E2676" t="str">
        <f>""</f>
        <v/>
      </c>
      <c r="F2676" t="str">
        <f>""</f>
        <v/>
      </c>
      <c r="H2676" t="str">
        <f t="shared" si="65"/>
        <v>TASC - HRA FEES</v>
      </c>
    </row>
    <row r="2677" spans="5:8" x14ac:dyDescent="0.25">
      <c r="E2677" t="str">
        <f>""</f>
        <v/>
      </c>
      <c r="F2677" t="str">
        <f>""</f>
        <v/>
      </c>
      <c r="H2677" t="str">
        <f t="shared" si="65"/>
        <v>TASC - HRA FEES</v>
      </c>
    </row>
    <row r="2678" spans="5:8" x14ac:dyDescent="0.25">
      <c r="E2678" t="str">
        <f>""</f>
        <v/>
      </c>
      <c r="F2678" t="str">
        <f>""</f>
        <v/>
      </c>
      <c r="H2678" t="str">
        <f t="shared" si="65"/>
        <v>TASC - HRA FEES</v>
      </c>
    </row>
    <row r="2679" spans="5:8" x14ac:dyDescent="0.25">
      <c r="E2679" t="str">
        <f>""</f>
        <v/>
      </c>
      <c r="F2679" t="str">
        <f>""</f>
        <v/>
      </c>
      <c r="H2679" t="str">
        <f t="shared" si="65"/>
        <v>TASC - HRA FEES</v>
      </c>
    </row>
    <row r="2680" spans="5:8" x14ac:dyDescent="0.25">
      <c r="E2680" t="str">
        <f>""</f>
        <v/>
      </c>
      <c r="F2680" t="str">
        <f>""</f>
        <v/>
      </c>
      <c r="H2680" t="str">
        <f t="shared" si="65"/>
        <v>TASC - HRA FEES</v>
      </c>
    </row>
    <row r="2681" spans="5:8" x14ac:dyDescent="0.25">
      <c r="E2681" t="str">
        <f>""</f>
        <v/>
      </c>
      <c r="F2681" t="str">
        <f>""</f>
        <v/>
      </c>
      <c r="H2681" t="str">
        <f t="shared" si="65"/>
        <v>TASC - HRA FEES</v>
      </c>
    </row>
    <row r="2682" spans="5:8" x14ac:dyDescent="0.25">
      <c r="E2682" t="str">
        <f>""</f>
        <v/>
      </c>
      <c r="F2682" t="str">
        <f>""</f>
        <v/>
      </c>
      <c r="H2682" t="str">
        <f t="shared" si="65"/>
        <v>TASC - HRA FEES</v>
      </c>
    </row>
    <row r="2683" spans="5:8" x14ac:dyDescent="0.25">
      <c r="E2683" t="str">
        <f>""</f>
        <v/>
      </c>
      <c r="F2683" t="str">
        <f>""</f>
        <v/>
      </c>
      <c r="H2683" t="str">
        <f t="shared" si="65"/>
        <v>TASC - HRA FEES</v>
      </c>
    </row>
    <row r="2684" spans="5:8" x14ac:dyDescent="0.25">
      <c r="E2684" t="str">
        <f>""</f>
        <v/>
      </c>
      <c r="F2684" t="str">
        <f>""</f>
        <v/>
      </c>
      <c r="H2684" t="str">
        <f t="shared" si="65"/>
        <v>TASC - HRA FEES</v>
      </c>
    </row>
    <row r="2685" spans="5:8" x14ac:dyDescent="0.25">
      <c r="E2685" t="str">
        <f>""</f>
        <v/>
      </c>
      <c r="F2685" t="str">
        <f>""</f>
        <v/>
      </c>
      <c r="H2685" t="str">
        <f t="shared" si="65"/>
        <v>TASC - HRA FEES</v>
      </c>
    </row>
    <row r="2686" spans="5:8" x14ac:dyDescent="0.25">
      <c r="E2686" t="str">
        <f>""</f>
        <v/>
      </c>
      <c r="F2686" t="str">
        <f>""</f>
        <v/>
      </c>
      <c r="H2686" t="str">
        <f t="shared" si="65"/>
        <v>TASC - HRA FEES</v>
      </c>
    </row>
    <row r="2687" spans="5:8" x14ac:dyDescent="0.25">
      <c r="E2687" t="str">
        <f>""</f>
        <v/>
      </c>
      <c r="F2687" t="str">
        <f>""</f>
        <v/>
      </c>
      <c r="H2687" t="str">
        <f t="shared" si="65"/>
        <v>TASC - HRA FEES</v>
      </c>
    </row>
    <row r="2688" spans="5:8" x14ac:dyDescent="0.25">
      <c r="E2688" t="str">
        <f>""</f>
        <v/>
      </c>
      <c r="F2688" t="str">
        <f>""</f>
        <v/>
      </c>
      <c r="H2688" t="str">
        <f t="shared" ref="H2688:H2707" si="66">"TASC - HRA FEES"</f>
        <v>TASC - HRA FEES</v>
      </c>
    </row>
    <row r="2689" spans="5:8" x14ac:dyDescent="0.25">
      <c r="E2689" t="str">
        <f>""</f>
        <v/>
      </c>
      <c r="F2689" t="str">
        <f>""</f>
        <v/>
      </c>
      <c r="H2689" t="str">
        <f t="shared" si="66"/>
        <v>TASC - HRA FEES</v>
      </c>
    </row>
    <row r="2690" spans="5:8" x14ac:dyDescent="0.25">
      <c r="E2690" t="str">
        <f>""</f>
        <v/>
      </c>
      <c r="F2690" t="str">
        <f>""</f>
        <v/>
      </c>
      <c r="H2690" t="str">
        <f t="shared" si="66"/>
        <v>TASC - HRA FEES</v>
      </c>
    </row>
    <row r="2691" spans="5:8" x14ac:dyDescent="0.25">
      <c r="E2691" t="str">
        <f>""</f>
        <v/>
      </c>
      <c r="F2691" t="str">
        <f>""</f>
        <v/>
      </c>
      <c r="H2691" t="str">
        <f t="shared" si="66"/>
        <v>TASC - HRA FEES</v>
      </c>
    </row>
    <row r="2692" spans="5:8" x14ac:dyDescent="0.25">
      <c r="E2692" t="str">
        <f>""</f>
        <v/>
      </c>
      <c r="F2692" t="str">
        <f>""</f>
        <v/>
      </c>
      <c r="H2692" t="str">
        <f t="shared" si="66"/>
        <v>TASC - HRA FEES</v>
      </c>
    </row>
    <row r="2693" spans="5:8" x14ac:dyDescent="0.25">
      <c r="E2693" t="str">
        <f>""</f>
        <v/>
      </c>
      <c r="F2693" t="str">
        <f>""</f>
        <v/>
      </c>
      <c r="H2693" t="str">
        <f t="shared" si="66"/>
        <v>TASC - HRA FEES</v>
      </c>
    </row>
    <row r="2694" spans="5:8" x14ac:dyDescent="0.25">
      <c r="E2694" t="str">
        <f>""</f>
        <v/>
      </c>
      <c r="F2694" t="str">
        <f>""</f>
        <v/>
      </c>
      <c r="H2694" t="str">
        <f t="shared" si="66"/>
        <v>TASC - HRA FEES</v>
      </c>
    </row>
    <row r="2695" spans="5:8" x14ac:dyDescent="0.25">
      <c r="E2695" t="str">
        <f>""</f>
        <v/>
      </c>
      <c r="F2695" t="str">
        <f>""</f>
        <v/>
      </c>
      <c r="H2695" t="str">
        <f t="shared" si="66"/>
        <v>TASC - HRA FEES</v>
      </c>
    </row>
    <row r="2696" spans="5:8" x14ac:dyDescent="0.25">
      <c r="E2696" t="str">
        <f>""</f>
        <v/>
      </c>
      <c r="F2696" t="str">
        <f>""</f>
        <v/>
      </c>
      <c r="H2696" t="str">
        <f t="shared" si="66"/>
        <v>TASC - HRA FEES</v>
      </c>
    </row>
    <row r="2697" spans="5:8" x14ac:dyDescent="0.25">
      <c r="E2697" t="str">
        <f>""</f>
        <v/>
      </c>
      <c r="F2697" t="str">
        <f>""</f>
        <v/>
      </c>
      <c r="H2697" t="str">
        <f t="shared" si="66"/>
        <v>TASC - HRA FEES</v>
      </c>
    </row>
    <row r="2698" spans="5:8" x14ac:dyDescent="0.25">
      <c r="E2698" t="str">
        <f>""</f>
        <v/>
      </c>
      <c r="F2698" t="str">
        <f>""</f>
        <v/>
      </c>
      <c r="H2698" t="str">
        <f t="shared" si="66"/>
        <v>TASC - HRA FEES</v>
      </c>
    </row>
    <row r="2699" spans="5:8" x14ac:dyDescent="0.25">
      <c r="E2699" t="str">
        <f>""</f>
        <v/>
      </c>
      <c r="F2699" t="str">
        <f>""</f>
        <v/>
      </c>
      <c r="H2699" t="str">
        <f t="shared" si="66"/>
        <v>TASC - HRA FEES</v>
      </c>
    </row>
    <row r="2700" spans="5:8" x14ac:dyDescent="0.25">
      <c r="E2700" t="str">
        <f>""</f>
        <v/>
      </c>
      <c r="F2700" t="str">
        <f>""</f>
        <v/>
      </c>
      <c r="H2700" t="str">
        <f t="shared" si="66"/>
        <v>TASC - HRA FEES</v>
      </c>
    </row>
    <row r="2701" spans="5:8" x14ac:dyDescent="0.25">
      <c r="E2701" t="str">
        <f>""</f>
        <v/>
      </c>
      <c r="F2701" t="str">
        <f>""</f>
        <v/>
      </c>
      <c r="H2701" t="str">
        <f t="shared" si="66"/>
        <v>TASC - HRA FEES</v>
      </c>
    </row>
    <row r="2702" spans="5:8" x14ac:dyDescent="0.25">
      <c r="E2702" t="str">
        <f>""</f>
        <v/>
      </c>
      <c r="F2702" t="str">
        <f>""</f>
        <v/>
      </c>
      <c r="H2702" t="str">
        <f t="shared" si="66"/>
        <v>TASC - HRA FEES</v>
      </c>
    </row>
    <row r="2703" spans="5:8" x14ac:dyDescent="0.25">
      <c r="E2703" t="str">
        <f>""</f>
        <v/>
      </c>
      <c r="F2703" t="str">
        <f>""</f>
        <v/>
      </c>
      <c r="H2703" t="str">
        <f t="shared" si="66"/>
        <v>TASC - HRA FEES</v>
      </c>
    </row>
    <row r="2704" spans="5:8" x14ac:dyDescent="0.25">
      <c r="E2704" t="str">
        <f>""</f>
        <v/>
      </c>
      <c r="F2704" t="str">
        <f>""</f>
        <v/>
      </c>
      <c r="H2704" t="str">
        <f t="shared" si="66"/>
        <v>TASC - HRA FEES</v>
      </c>
    </row>
    <row r="2705" spans="1:8" x14ac:dyDescent="0.25">
      <c r="E2705" t="str">
        <f>""</f>
        <v/>
      </c>
      <c r="F2705" t="str">
        <f>""</f>
        <v/>
      </c>
      <c r="H2705" t="str">
        <f t="shared" si="66"/>
        <v>TASC - HRA FEES</v>
      </c>
    </row>
    <row r="2706" spans="1:8" x14ac:dyDescent="0.25">
      <c r="E2706" t="str">
        <f>""</f>
        <v/>
      </c>
      <c r="F2706" t="str">
        <f>""</f>
        <v/>
      </c>
      <c r="H2706" t="str">
        <f t="shared" si="66"/>
        <v>TASC - HRA FEES</v>
      </c>
    </row>
    <row r="2707" spans="1:8" x14ac:dyDescent="0.25">
      <c r="E2707" t="str">
        <f>"HRF202106224152"</f>
        <v>HRF202106224152</v>
      </c>
      <c r="F2707" t="str">
        <f>"TASC - HRA FEES"</f>
        <v>TASC - HRA FEES</v>
      </c>
      <c r="G2707" s="4">
        <v>25.2</v>
      </c>
      <c r="H2707" t="str">
        <f t="shared" si="66"/>
        <v>TASC - HRA FEES</v>
      </c>
    </row>
    <row r="2708" spans="1:8" x14ac:dyDescent="0.25">
      <c r="A2708" t="s">
        <v>443</v>
      </c>
      <c r="B2708">
        <v>1094</v>
      </c>
      <c r="C2708" s="4">
        <v>4208.87</v>
      </c>
      <c r="D2708" s="1">
        <v>44358</v>
      </c>
      <c r="E2708" t="str">
        <f>"C2 202106093832"</f>
        <v>C2 202106093832</v>
      </c>
      <c r="F2708" t="str">
        <f>"0012982132CCL7445"</f>
        <v>0012982132CCL7445</v>
      </c>
      <c r="G2708" s="4">
        <v>692.31</v>
      </c>
      <c r="H2708" t="str">
        <f>"0012982132CCL7445"</f>
        <v>0012982132CCL7445</v>
      </c>
    </row>
    <row r="2709" spans="1:8" x14ac:dyDescent="0.25">
      <c r="E2709" t="str">
        <f>"C20202106093830"</f>
        <v>C20202106093830</v>
      </c>
      <c r="F2709" t="str">
        <f>"001003981107-12252"</f>
        <v>001003981107-12252</v>
      </c>
      <c r="G2709" s="4">
        <v>115.39</v>
      </c>
      <c r="H2709" t="str">
        <f>"001003981107-12252"</f>
        <v>001003981107-12252</v>
      </c>
    </row>
    <row r="2710" spans="1:8" x14ac:dyDescent="0.25">
      <c r="E2710" t="str">
        <f>"C42202106093830"</f>
        <v>C42202106093830</v>
      </c>
      <c r="F2710" t="str">
        <f>"001236769211-14410"</f>
        <v>001236769211-14410</v>
      </c>
      <c r="G2710" s="4">
        <v>230.31</v>
      </c>
      <c r="H2710" t="str">
        <f>"001236769211-14410"</f>
        <v>001236769211-14410</v>
      </c>
    </row>
    <row r="2711" spans="1:8" x14ac:dyDescent="0.25">
      <c r="E2711" t="str">
        <f>"C46202106093830"</f>
        <v>C46202106093830</v>
      </c>
      <c r="F2711" t="str">
        <f>"CAUSE# 11-14911"</f>
        <v>CAUSE# 11-14911</v>
      </c>
      <c r="G2711" s="4">
        <v>238.62</v>
      </c>
      <c r="H2711" t="str">
        <f>"CAUSE# 11-14911"</f>
        <v>CAUSE# 11-14911</v>
      </c>
    </row>
    <row r="2712" spans="1:8" x14ac:dyDescent="0.25">
      <c r="E2712" t="str">
        <f>"C60202106093830"</f>
        <v>C60202106093830</v>
      </c>
      <c r="F2712" t="str">
        <f>"00130730762012V300"</f>
        <v>00130730762012V300</v>
      </c>
      <c r="G2712" s="4">
        <v>399.32</v>
      </c>
      <c r="H2712" t="str">
        <f>"00130730762012V300"</f>
        <v>00130730762012V300</v>
      </c>
    </row>
    <row r="2713" spans="1:8" x14ac:dyDescent="0.25">
      <c r="E2713" t="str">
        <f>"C62202106093830"</f>
        <v>C62202106093830</v>
      </c>
      <c r="F2713" t="str">
        <f>"# 0012128865"</f>
        <v># 0012128865</v>
      </c>
      <c r="G2713" s="4">
        <v>243.23</v>
      </c>
      <c r="H2713" t="str">
        <f>"# 0012128865"</f>
        <v># 0012128865</v>
      </c>
    </row>
    <row r="2714" spans="1:8" x14ac:dyDescent="0.25">
      <c r="E2714" t="str">
        <f>"C66202106093830"</f>
        <v>C66202106093830</v>
      </c>
      <c r="F2714" t="str">
        <f>"# 0012871801"</f>
        <v># 0012871801</v>
      </c>
      <c r="G2714" s="7">
        <v>90</v>
      </c>
      <c r="H2714" t="str">
        <f>"# 0012871801"</f>
        <v># 0012871801</v>
      </c>
    </row>
    <row r="2715" spans="1:8" x14ac:dyDescent="0.25">
      <c r="E2715" t="str">
        <f>"C67202106093830"</f>
        <v>C67202106093830</v>
      </c>
      <c r="F2715" t="str">
        <f>"13154657"</f>
        <v>13154657</v>
      </c>
      <c r="G2715" s="4">
        <v>101.99</v>
      </c>
      <c r="H2715" t="str">
        <f>"13154657"</f>
        <v>13154657</v>
      </c>
    </row>
    <row r="2716" spans="1:8" x14ac:dyDescent="0.25">
      <c r="E2716" t="str">
        <f>"C69202106093830"</f>
        <v>C69202106093830</v>
      </c>
      <c r="F2716" t="str">
        <f>"0012046911423672"</f>
        <v>0012046911423672</v>
      </c>
      <c r="G2716" s="4">
        <v>187.38</v>
      </c>
      <c r="H2716" t="str">
        <f>"0012046911423672"</f>
        <v>0012046911423672</v>
      </c>
    </row>
    <row r="2717" spans="1:8" x14ac:dyDescent="0.25">
      <c r="E2717" t="str">
        <f>"C71202106093830"</f>
        <v>C71202106093830</v>
      </c>
      <c r="F2717" t="str">
        <f>"00137390532018V215"</f>
        <v>00137390532018V215</v>
      </c>
      <c r="G2717" s="4">
        <v>264</v>
      </c>
      <c r="H2717" t="str">
        <f>"00137390532018V215"</f>
        <v>00137390532018V215</v>
      </c>
    </row>
    <row r="2718" spans="1:8" x14ac:dyDescent="0.25">
      <c r="E2718" t="str">
        <f>"C72202106093830"</f>
        <v>C72202106093830</v>
      </c>
      <c r="F2718" t="str">
        <f>"0012797601C20130529B"</f>
        <v>0012797601C20130529B</v>
      </c>
      <c r="G2718" s="4">
        <v>241.85</v>
      </c>
      <c r="H2718" t="str">
        <f>"0012797601C20130529B"</f>
        <v>0012797601C20130529B</v>
      </c>
    </row>
    <row r="2719" spans="1:8" x14ac:dyDescent="0.25">
      <c r="E2719" t="str">
        <f>"C78202106093830"</f>
        <v>C78202106093830</v>
      </c>
      <c r="F2719" t="str">
        <f>"00105115972005106221"</f>
        <v>00105115972005106221</v>
      </c>
      <c r="G2719" s="4">
        <v>245.08</v>
      </c>
      <c r="H2719" t="str">
        <f>"00105115972005106221"</f>
        <v>00105115972005106221</v>
      </c>
    </row>
    <row r="2720" spans="1:8" x14ac:dyDescent="0.25">
      <c r="E2720" t="str">
        <f>"C85202106093830"</f>
        <v>C85202106093830</v>
      </c>
      <c r="F2720" t="str">
        <f>"0012469425201770874"</f>
        <v>0012469425201770874</v>
      </c>
      <c r="G2720" s="4">
        <v>138.46</v>
      </c>
      <c r="H2720" t="str">
        <f>"0012469425201770874"</f>
        <v>0012469425201770874</v>
      </c>
    </row>
    <row r="2721" spans="1:8" x14ac:dyDescent="0.25">
      <c r="E2721" t="str">
        <f>"C86202106093830"</f>
        <v>C86202106093830</v>
      </c>
      <c r="F2721" t="str">
        <f>"0013854015101285F"</f>
        <v>0013854015101285F</v>
      </c>
      <c r="G2721" s="4">
        <v>241.85</v>
      </c>
      <c r="H2721" t="str">
        <f>"0013854015101285F"</f>
        <v>0013854015101285F</v>
      </c>
    </row>
    <row r="2722" spans="1:8" x14ac:dyDescent="0.25">
      <c r="E2722" t="str">
        <f>"C87202106093830"</f>
        <v>C87202106093830</v>
      </c>
      <c r="F2722" t="str">
        <f>"0012963634L130019CVB"</f>
        <v>0012963634L130019CVB</v>
      </c>
      <c r="G2722" s="4">
        <v>249.23</v>
      </c>
      <c r="H2722" t="str">
        <f>"0012963634L130019CVB"</f>
        <v>0012963634L130019CVB</v>
      </c>
    </row>
    <row r="2723" spans="1:8" x14ac:dyDescent="0.25">
      <c r="E2723" t="str">
        <f>"C89202106093830"</f>
        <v>C89202106093830</v>
      </c>
      <c r="F2723" t="str">
        <f>"00127760434232477"</f>
        <v>00127760434232477</v>
      </c>
      <c r="G2723" s="4">
        <v>129.69</v>
      </c>
      <c r="H2723" t="str">
        <f>"00127760434232477"</f>
        <v>00127760434232477</v>
      </c>
    </row>
    <row r="2724" spans="1:8" x14ac:dyDescent="0.25">
      <c r="E2724" t="str">
        <f>"C91202106093830"</f>
        <v>C91202106093830</v>
      </c>
      <c r="F2724" t="str">
        <f>"001149031107486F425"</f>
        <v>001149031107486F425</v>
      </c>
      <c r="G2724" s="4">
        <v>238.62</v>
      </c>
      <c r="H2724" t="str">
        <f>"001149031107486F425"</f>
        <v>001149031107486F425</v>
      </c>
    </row>
    <row r="2725" spans="1:8" x14ac:dyDescent="0.25">
      <c r="E2725" t="str">
        <f>"C93202106093830"</f>
        <v>C93202106093830</v>
      </c>
      <c r="F2725" t="str">
        <f>"0012702664120040"</f>
        <v>0012702664120040</v>
      </c>
      <c r="G2725" s="4">
        <v>161.54</v>
      </c>
      <c r="H2725" t="str">
        <f>"0012702664120040"</f>
        <v>0012702664120040</v>
      </c>
    </row>
    <row r="2726" spans="1:8" x14ac:dyDescent="0.25">
      <c r="A2726" t="s">
        <v>443</v>
      </c>
      <c r="B2726">
        <v>1152</v>
      </c>
      <c r="C2726" s="4">
        <v>3970.25</v>
      </c>
      <c r="D2726" s="1">
        <v>44372</v>
      </c>
      <c r="E2726" t="str">
        <f>"C2 202106224152"</f>
        <v>C2 202106224152</v>
      </c>
      <c r="F2726" t="str">
        <f>"0012982132CCL7445"</f>
        <v>0012982132CCL7445</v>
      </c>
      <c r="G2726" s="4">
        <v>692.31</v>
      </c>
      <c r="H2726" t="str">
        <f>"0012982132CCL7445"</f>
        <v>0012982132CCL7445</v>
      </c>
    </row>
    <row r="2727" spans="1:8" x14ac:dyDescent="0.25">
      <c r="E2727" t="str">
        <f>"C20202106224151"</f>
        <v>C20202106224151</v>
      </c>
      <c r="F2727" t="str">
        <f>"001003981107-12252"</f>
        <v>001003981107-12252</v>
      </c>
      <c r="G2727" s="4">
        <v>115.39</v>
      </c>
      <c r="H2727" t="str">
        <f>"001003981107-12252"</f>
        <v>001003981107-12252</v>
      </c>
    </row>
    <row r="2728" spans="1:8" x14ac:dyDescent="0.25">
      <c r="E2728" t="str">
        <f>"C42202106224151"</f>
        <v>C42202106224151</v>
      </c>
      <c r="F2728" t="str">
        <f>"001236769211-14410"</f>
        <v>001236769211-14410</v>
      </c>
      <c r="G2728" s="4">
        <v>230.31</v>
      </c>
      <c r="H2728" t="str">
        <f>"001236769211-14410"</f>
        <v>001236769211-14410</v>
      </c>
    </row>
    <row r="2729" spans="1:8" x14ac:dyDescent="0.25">
      <c r="E2729" t="str">
        <f>"C46202106224151"</f>
        <v>C46202106224151</v>
      </c>
      <c r="F2729" t="str">
        <f>"CAUSE# 11-14911"</f>
        <v>CAUSE# 11-14911</v>
      </c>
      <c r="G2729" s="4">
        <v>238.62</v>
      </c>
      <c r="H2729" t="str">
        <f>"CAUSE# 11-14911"</f>
        <v>CAUSE# 11-14911</v>
      </c>
    </row>
    <row r="2730" spans="1:8" x14ac:dyDescent="0.25">
      <c r="E2730" t="str">
        <f>"C60202106224151"</f>
        <v>C60202106224151</v>
      </c>
      <c r="F2730" t="str">
        <f>"00130730762012V300"</f>
        <v>00130730762012V300</v>
      </c>
      <c r="G2730" s="4">
        <v>399.32</v>
      </c>
      <c r="H2730" t="str">
        <f>"00130730762012V300"</f>
        <v>00130730762012V300</v>
      </c>
    </row>
    <row r="2731" spans="1:8" x14ac:dyDescent="0.25">
      <c r="E2731" t="str">
        <f>"C62202106224151"</f>
        <v>C62202106224151</v>
      </c>
      <c r="F2731" t="str">
        <f>"# 0012128865"</f>
        <v># 0012128865</v>
      </c>
      <c r="G2731" s="4">
        <v>243.23</v>
      </c>
      <c r="H2731" t="str">
        <f>"# 0012128865"</f>
        <v># 0012128865</v>
      </c>
    </row>
    <row r="2732" spans="1:8" x14ac:dyDescent="0.25">
      <c r="E2732" t="str">
        <f>"C66202106224151"</f>
        <v>C66202106224151</v>
      </c>
      <c r="F2732" t="str">
        <f>"# 0012871801"</f>
        <v># 0012871801</v>
      </c>
      <c r="G2732" s="7">
        <v>90</v>
      </c>
      <c r="H2732" t="str">
        <f>"# 0012871801"</f>
        <v># 0012871801</v>
      </c>
    </row>
    <row r="2733" spans="1:8" x14ac:dyDescent="0.25">
      <c r="E2733" t="str">
        <f>"C67202106224151"</f>
        <v>C67202106224151</v>
      </c>
      <c r="F2733" t="str">
        <f>"13154657"</f>
        <v>13154657</v>
      </c>
      <c r="G2733" s="4">
        <v>101.99</v>
      </c>
      <c r="H2733" t="str">
        <f>"13154657"</f>
        <v>13154657</v>
      </c>
    </row>
    <row r="2734" spans="1:8" x14ac:dyDescent="0.25">
      <c r="E2734" t="str">
        <f>"C69202106224151"</f>
        <v>C69202106224151</v>
      </c>
      <c r="F2734" t="str">
        <f>"0012046911423672"</f>
        <v>0012046911423672</v>
      </c>
      <c r="G2734" s="4">
        <v>187.38</v>
      </c>
      <c r="H2734" t="str">
        <f>"0012046911423672"</f>
        <v>0012046911423672</v>
      </c>
    </row>
    <row r="2735" spans="1:8" x14ac:dyDescent="0.25">
      <c r="E2735" t="str">
        <f>"C71202106224151"</f>
        <v>C71202106224151</v>
      </c>
      <c r="F2735" t="str">
        <f>"00137390532018V215"</f>
        <v>00137390532018V215</v>
      </c>
      <c r="G2735" s="4">
        <v>264</v>
      </c>
      <c r="H2735" t="str">
        <f>"00137390532018V215"</f>
        <v>00137390532018V215</v>
      </c>
    </row>
    <row r="2736" spans="1:8" x14ac:dyDescent="0.25">
      <c r="E2736" t="str">
        <f>"C72202106224151"</f>
        <v>C72202106224151</v>
      </c>
      <c r="F2736" t="str">
        <f>"0012797601C20130529B"</f>
        <v>0012797601C20130529B</v>
      </c>
      <c r="G2736" s="4">
        <v>241.85</v>
      </c>
      <c r="H2736" t="str">
        <f>"0012797601C20130529B"</f>
        <v>0012797601C20130529B</v>
      </c>
    </row>
    <row r="2737" spans="1:8" x14ac:dyDescent="0.25">
      <c r="E2737" t="str">
        <f>"C78202106224151"</f>
        <v>C78202106224151</v>
      </c>
      <c r="F2737" t="str">
        <f>"00105115972005106221"</f>
        <v>00105115972005106221</v>
      </c>
      <c r="G2737" s="4">
        <v>245.08</v>
      </c>
      <c r="H2737" t="str">
        <f>"00105115972005106221"</f>
        <v>00105115972005106221</v>
      </c>
    </row>
    <row r="2738" spans="1:8" x14ac:dyDescent="0.25">
      <c r="E2738" t="str">
        <f>"C85202106224151"</f>
        <v>C85202106224151</v>
      </c>
      <c r="F2738" t="str">
        <f>"0012469425201770874"</f>
        <v>0012469425201770874</v>
      </c>
      <c r="G2738" s="4">
        <v>138.46</v>
      </c>
      <c r="H2738" t="str">
        <f>"0012469425201770874"</f>
        <v>0012469425201770874</v>
      </c>
    </row>
    <row r="2739" spans="1:8" x14ac:dyDescent="0.25">
      <c r="E2739" t="str">
        <f>"C86202106224151"</f>
        <v>C86202106224151</v>
      </c>
      <c r="F2739" t="str">
        <f>"0013854015101285F"</f>
        <v>0013854015101285F</v>
      </c>
      <c r="G2739" s="4">
        <v>241.85</v>
      </c>
      <c r="H2739" t="str">
        <f>"0013854015101285F"</f>
        <v>0013854015101285F</v>
      </c>
    </row>
    <row r="2740" spans="1:8" x14ac:dyDescent="0.25">
      <c r="E2740" t="str">
        <f>"C87202106224151"</f>
        <v>C87202106224151</v>
      </c>
      <c r="F2740" t="str">
        <f>"0012963634L130019CVB"</f>
        <v>0012963634L130019CVB</v>
      </c>
      <c r="G2740" s="4">
        <v>249.23</v>
      </c>
      <c r="H2740" t="str">
        <f>"0012963634L130019CVB"</f>
        <v>0012963634L130019CVB</v>
      </c>
    </row>
    <row r="2741" spans="1:8" x14ac:dyDescent="0.25">
      <c r="E2741" t="str">
        <f>"C89202106224151"</f>
        <v>C89202106224151</v>
      </c>
      <c r="F2741" t="str">
        <f>"00127760434232477"</f>
        <v>00127760434232477</v>
      </c>
      <c r="G2741" s="4">
        <v>129.69</v>
      </c>
      <c r="H2741" t="str">
        <f>"00127760434232477"</f>
        <v>00127760434232477</v>
      </c>
    </row>
    <row r="2742" spans="1:8" x14ac:dyDescent="0.25">
      <c r="E2742" t="str">
        <f>"C93202106224151"</f>
        <v>C93202106224151</v>
      </c>
      <c r="F2742" t="str">
        <f>"0012702664120040"</f>
        <v>0012702664120040</v>
      </c>
      <c r="G2742" s="4">
        <v>161.54</v>
      </c>
      <c r="H2742" t="str">
        <f>"0012702664120040"</f>
        <v>0012702664120040</v>
      </c>
    </row>
    <row r="2743" spans="1:8" x14ac:dyDescent="0.25">
      <c r="A2743" t="s">
        <v>367</v>
      </c>
      <c r="B2743">
        <v>1154</v>
      </c>
      <c r="C2743" s="4">
        <v>383045.7</v>
      </c>
      <c r="D2743" s="1">
        <v>44372</v>
      </c>
      <c r="E2743" t="str">
        <f>"RET202106093830"</f>
        <v>RET202106093830</v>
      </c>
      <c r="F2743" t="str">
        <f>"TEXAS COUNTY &amp; DISTRICT RET"</f>
        <v>TEXAS COUNTY &amp; DISTRICT RET</v>
      </c>
      <c r="G2743" s="4">
        <v>179912.79</v>
      </c>
      <c r="H2743" t="str">
        <f t="shared" ref="H2743:H2774" si="67">"TEXAS COUNTY &amp; DISTRICT RET"</f>
        <v>TEXAS COUNTY &amp; DISTRICT RET</v>
      </c>
    </row>
    <row r="2744" spans="1:8" x14ac:dyDescent="0.25">
      <c r="E2744" t="str">
        <f>""</f>
        <v/>
      </c>
      <c r="F2744" t="str">
        <f>""</f>
        <v/>
      </c>
      <c r="H2744" t="str">
        <f t="shared" si="67"/>
        <v>TEXAS COUNTY &amp; DISTRICT RET</v>
      </c>
    </row>
    <row r="2745" spans="1:8" x14ac:dyDescent="0.25">
      <c r="E2745" t="str">
        <f>""</f>
        <v/>
      </c>
      <c r="F2745" t="str">
        <f>""</f>
        <v/>
      </c>
      <c r="H2745" t="str">
        <f t="shared" si="67"/>
        <v>TEXAS COUNTY &amp; DISTRICT RET</v>
      </c>
    </row>
    <row r="2746" spans="1:8" x14ac:dyDescent="0.25">
      <c r="E2746" t="str">
        <f>""</f>
        <v/>
      </c>
      <c r="F2746" t="str">
        <f>""</f>
        <v/>
      </c>
      <c r="H2746" t="str">
        <f t="shared" si="67"/>
        <v>TEXAS COUNTY &amp; DISTRICT RET</v>
      </c>
    </row>
    <row r="2747" spans="1:8" x14ac:dyDescent="0.25">
      <c r="E2747" t="str">
        <f>""</f>
        <v/>
      </c>
      <c r="F2747" t="str">
        <f>""</f>
        <v/>
      </c>
      <c r="H2747" t="str">
        <f t="shared" si="67"/>
        <v>TEXAS COUNTY &amp; DISTRICT RET</v>
      </c>
    </row>
    <row r="2748" spans="1:8" x14ac:dyDescent="0.25">
      <c r="E2748" t="str">
        <f>""</f>
        <v/>
      </c>
      <c r="F2748" t="str">
        <f>""</f>
        <v/>
      </c>
      <c r="H2748" t="str">
        <f t="shared" si="67"/>
        <v>TEXAS COUNTY &amp; DISTRICT RET</v>
      </c>
    </row>
    <row r="2749" spans="1:8" x14ac:dyDescent="0.25">
      <c r="E2749" t="str">
        <f>""</f>
        <v/>
      </c>
      <c r="F2749" t="str">
        <f>""</f>
        <v/>
      </c>
      <c r="H2749" t="str">
        <f t="shared" si="67"/>
        <v>TEXAS COUNTY &amp; DISTRICT RET</v>
      </c>
    </row>
    <row r="2750" spans="1:8" x14ac:dyDescent="0.25">
      <c r="E2750" t="str">
        <f>""</f>
        <v/>
      </c>
      <c r="F2750" t="str">
        <f>""</f>
        <v/>
      </c>
      <c r="H2750" t="str">
        <f t="shared" si="67"/>
        <v>TEXAS COUNTY &amp; DISTRICT RET</v>
      </c>
    </row>
    <row r="2751" spans="1:8" x14ac:dyDescent="0.25">
      <c r="E2751" t="str">
        <f>""</f>
        <v/>
      </c>
      <c r="F2751" t="str">
        <f>""</f>
        <v/>
      </c>
      <c r="H2751" t="str">
        <f t="shared" si="67"/>
        <v>TEXAS COUNTY &amp; DISTRICT RET</v>
      </c>
    </row>
    <row r="2752" spans="1:8" x14ac:dyDescent="0.25">
      <c r="E2752" t="str">
        <f>""</f>
        <v/>
      </c>
      <c r="F2752" t="str">
        <f>""</f>
        <v/>
      </c>
      <c r="H2752" t="str">
        <f t="shared" si="67"/>
        <v>TEXAS COUNTY &amp; DISTRICT RET</v>
      </c>
    </row>
    <row r="2753" spans="5:8" x14ac:dyDescent="0.25">
      <c r="E2753" t="str">
        <f>""</f>
        <v/>
      </c>
      <c r="F2753" t="str">
        <f>""</f>
        <v/>
      </c>
      <c r="H2753" t="str">
        <f t="shared" si="67"/>
        <v>TEXAS COUNTY &amp; DISTRICT RET</v>
      </c>
    </row>
    <row r="2754" spans="5:8" x14ac:dyDescent="0.25">
      <c r="E2754" t="str">
        <f>""</f>
        <v/>
      </c>
      <c r="F2754" t="str">
        <f>""</f>
        <v/>
      </c>
      <c r="H2754" t="str">
        <f t="shared" si="67"/>
        <v>TEXAS COUNTY &amp; DISTRICT RET</v>
      </c>
    </row>
    <row r="2755" spans="5:8" x14ac:dyDescent="0.25">
      <c r="E2755" t="str">
        <f>""</f>
        <v/>
      </c>
      <c r="F2755" t="str">
        <f>""</f>
        <v/>
      </c>
      <c r="H2755" t="str">
        <f t="shared" si="67"/>
        <v>TEXAS COUNTY &amp; DISTRICT RET</v>
      </c>
    </row>
    <row r="2756" spans="5:8" x14ac:dyDescent="0.25">
      <c r="E2756" t="str">
        <f>""</f>
        <v/>
      </c>
      <c r="F2756" t="str">
        <f>""</f>
        <v/>
      </c>
      <c r="H2756" t="str">
        <f t="shared" si="67"/>
        <v>TEXAS COUNTY &amp; DISTRICT RET</v>
      </c>
    </row>
    <row r="2757" spans="5:8" x14ac:dyDescent="0.25">
      <c r="E2757" t="str">
        <f>""</f>
        <v/>
      </c>
      <c r="F2757" t="str">
        <f>""</f>
        <v/>
      </c>
      <c r="H2757" t="str">
        <f t="shared" si="67"/>
        <v>TEXAS COUNTY &amp; DISTRICT RET</v>
      </c>
    </row>
    <row r="2758" spans="5:8" x14ac:dyDescent="0.25">
      <c r="E2758" t="str">
        <f>""</f>
        <v/>
      </c>
      <c r="F2758" t="str">
        <f>""</f>
        <v/>
      </c>
      <c r="H2758" t="str">
        <f t="shared" si="67"/>
        <v>TEXAS COUNTY &amp; DISTRICT RET</v>
      </c>
    </row>
    <row r="2759" spans="5:8" x14ac:dyDescent="0.25">
      <c r="E2759" t="str">
        <f>""</f>
        <v/>
      </c>
      <c r="F2759" t="str">
        <f>""</f>
        <v/>
      </c>
      <c r="H2759" t="str">
        <f t="shared" si="67"/>
        <v>TEXAS COUNTY &amp; DISTRICT RET</v>
      </c>
    </row>
    <row r="2760" spans="5:8" x14ac:dyDescent="0.25">
      <c r="E2760" t="str">
        <f>""</f>
        <v/>
      </c>
      <c r="F2760" t="str">
        <f>""</f>
        <v/>
      </c>
      <c r="H2760" t="str">
        <f t="shared" si="67"/>
        <v>TEXAS COUNTY &amp; DISTRICT RET</v>
      </c>
    </row>
    <row r="2761" spans="5:8" x14ac:dyDescent="0.25">
      <c r="E2761" t="str">
        <f>""</f>
        <v/>
      </c>
      <c r="F2761" t="str">
        <f>""</f>
        <v/>
      </c>
      <c r="H2761" t="str">
        <f t="shared" si="67"/>
        <v>TEXAS COUNTY &amp; DISTRICT RET</v>
      </c>
    </row>
    <row r="2762" spans="5:8" x14ac:dyDescent="0.25">
      <c r="E2762" t="str">
        <f>""</f>
        <v/>
      </c>
      <c r="F2762" t="str">
        <f>""</f>
        <v/>
      </c>
      <c r="H2762" t="str">
        <f t="shared" si="67"/>
        <v>TEXAS COUNTY &amp; DISTRICT RET</v>
      </c>
    </row>
    <row r="2763" spans="5:8" x14ac:dyDescent="0.25">
      <c r="E2763" t="str">
        <f>""</f>
        <v/>
      </c>
      <c r="F2763" t="str">
        <f>""</f>
        <v/>
      </c>
      <c r="H2763" t="str">
        <f t="shared" si="67"/>
        <v>TEXAS COUNTY &amp; DISTRICT RET</v>
      </c>
    </row>
    <row r="2764" spans="5:8" x14ac:dyDescent="0.25">
      <c r="E2764" t="str">
        <f>""</f>
        <v/>
      </c>
      <c r="F2764" t="str">
        <f>""</f>
        <v/>
      </c>
      <c r="H2764" t="str">
        <f t="shared" si="67"/>
        <v>TEXAS COUNTY &amp; DISTRICT RET</v>
      </c>
    </row>
    <row r="2765" spans="5:8" x14ac:dyDescent="0.25">
      <c r="E2765" t="str">
        <f>""</f>
        <v/>
      </c>
      <c r="F2765" t="str">
        <f>""</f>
        <v/>
      </c>
      <c r="H2765" t="str">
        <f t="shared" si="67"/>
        <v>TEXAS COUNTY &amp; DISTRICT RET</v>
      </c>
    </row>
    <row r="2766" spans="5:8" x14ac:dyDescent="0.25">
      <c r="E2766" t="str">
        <f>""</f>
        <v/>
      </c>
      <c r="F2766" t="str">
        <f>""</f>
        <v/>
      </c>
      <c r="H2766" t="str">
        <f t="shared" si="67"/>
        <v>TEXAS COUNTY &amp; DISTRICT RET</v>
      </c>
    </row>
    <row r="2767" spans="5:8" x14ac:dyDescent="0.25">
      <c r="E2767" t="str">
        <f>""</f>
        <v/>
      </c>
      <c r="F2767" t="str">
        <f>""</f>
        <v/>
      </c>
      <c r="H2767" t="str">
        <f t="shared" si="67"/>
        <v>TEXAS COUNTY &amp; DISTRICT RET</v>
      </c>
    </row>
    <row r="2768" spans="5:8" x14ac:dyDescent="0.25">
      <c r="E2768" t="str">
        <f>""</f>
        <v/>
      </c>
      <c r="F2768" t="str">
        <f>""</f>
        <v/>
      </c>
      <c r="H2768" t="str">
        <f t="shared" si="67"/>
        <v>TEXAS COUNTY &amp; DISTRICT RET</v>
      </c>
    </row>
    <row r="2769" spans="5:8" x14ac:dyDescent="0.25">
      <c r="E2769" t="str">
        <f>""</f>
        <v/>
      </c>
      <c r="F2769" t="str">
        <f>""</f>
        <v/>
      </c>
      <c r="H2769" t="str">
        <f t="shared" si="67"/>
        <v>TEXAS COUNTY &amp; DISTRICT RET</v>
      </c>
    </row>
    <row r="2770" spans="5:8" x14ac:dyDescent="0.25">
      <c r="E2770" t="str">
        <f>""</f>
        <v/>
      </c>
      <c r="F2770" t="str">
        <f>""</f>
        <v/>
      </c>
      <c r="H2770" t="str">
        <f t="shared" si="67"/>
        <v>TEXAS COUNTY &amp; DISTRICT RET</v>
      </c>
    </row>
    <row r="2771" spans="5:8" x14ac:dyDescent="0.25">
      <c r="E2771" t="str">
        <f>""</f>
        <v/>
      </c>
      <c r="F2771" t="str">
        <f>""</f>
        <v/>
      </c>
      <c r="H2771" t="str">
        <f t="shared" si="67"/>
        <v>TEXAS COUNTY &amp; DISTRICT RET</v>
      </c>
    </row>
    <row r="2772" spans="5:8" x14ac:dyDescent="0.25">
      <c r="E2772" t="str">
        <f>""</f>
        <v/>
      </c>
      <c r="F2772" t="str">
        <f>""</f>
        <v/>
      </c>
      <c r="H2772" t="str">
        <f t="shared" si="67"/>
        <v>TEXAS COUNTY &amp; DISTRICT RET</v>
      </c>
    </row>
    <row r="2773" spans="5:8" x14ac:dyDescent="0.25">
      <c r="E2773" t="str">
        <f>""</f>
        <v/>
      </c>
      <c r="F2773" t="str">
        <f>""</f>
        <v/>
      </c>
      <c r="H2773" t="str">
        <f t="shared" si="67"/>
        <v>TEXAS COUNTY &amp; DISTRICT RET</v>
      </c>
    </row>
    <row r="2774" spans="5:8" x14ac:dyDescent="0.25">
      <c r="E2774" t="str">
        <f>""</f>
        <v/>
      </c>
      <c r="F2774" t="str">
        <f>""</f>
        <v/>
      </c>
      <c r="H2774" t="str">
        <f t="shared" si="67"/>
        <v>TEXAS COUNTY &amp; DISTRICT RET</v>
      </c>
    </row>
    <row r="2775" spans="5:8" x14ac:dyDescent="0.25">
      <c r="E2775" t="str">
        <f>""</f>
        <v/>
      </c>
      <c r="F2775" t="str">
        <f>""</f>
        <v/>
      </c>
      <c r="H2775" t="str">
        <f t="shared" ref="H2775:H2794" si="68">"TEXAS COUNTY &amp; DISTRICT RET"</f>
        <v>TEXAS COUNTY &amp; DISTRICT RET</v>
      </c>
    </row>
    <row r="2776" spans="5:8" x14ac:dyDescent="0.25">
      <c r="E2776" t="str">
        <f>""</f>
        <v/>
      </c>
      <c r="F2776" t="str">
        <f>""</f>
        <v/>
      </c>
      <c r="H2776" t="str">
        <f t="shared" si="68"/>
        <v>TEXAS COUNTY &amp; DISTRICT RET</v>
      </c>
    </row>
    <row r="2777" spans="5:8" x14ac:dyDescent="0.25">
      <c r="E2777" t="str">
        <f>""</f>
        <v/>
      </c>
      <c r="F2777" t="str">
        <f>""</f>
        <v/>
      </c>
      <c r="H2777" t="str">
        <f t="shared" si="68"/>
        <v>TEXAS COUNTY &amp; DISTRICT RET</v>
      </c>
    </row>
    <row r="2778" spans="5:8" x14ac:dyDescent="0.25">
      <c r="E2778" t="str">
        <f>""</f>
        <v/>
      </c>
      <c r="F2778" t="str">
        <f>""</f>
        <v/>
      </c>
      <c r="H2778" t="str">
        <f t="shared" si="68"/>
        <v>TEXAS COUNTY &amp; DISTRICT RET</v>
      </c>
    </row>
    <row r="2779" spans="5:8" x14ac:dyDescent="0.25">
      <c r="E2779" t="str">
        <f>""</f>
        <v/>
      </c>
      <c r="F2779" t="str">
        <f>""</f>
        <v/>
      </c>
      <c r="H2779" t="str">
        <f t="shared" si="68"/>
        <v>TEXAS COUNTY &amp; DISTRICT RET</v>
      </c>
    </row>
    <row r="2780" spans="5:8" x14ac:dyDescent="0.25">
      <c r="E2780" t="str">
        <f>""</f>
        <v/>
      </c>
      <c r="F2780" t="str">
        <f>""</f>
        <v/>
      </c>
      <c r="H2780" t="str">
        <f t="shared" si="68"/>
        <v>TEXAS COUNTY &amp; DISTRICT RET</v>
      </c>
    </row>
    <row r="2781" spans="5:8" x14ac:dyDescent="0.25">
      <c r="E2781" t="str">
        <f>""</f>
        <v/>
      </c>
      <c r="F2781" t="str">
        <f>""</f>
        <v/>
      </c>
      <c r="H2781" t="str">
        <f t="shared" si="68"/>
        <v>TEXAS COUNTY &amp; DISTRICT RET</v>
      </c>
    </row>
    <row r="2782" spans="5:8" x14ac:dyDescent="0.25">
      <c r="E2782" t="str">
        <f>""</f>
        <v/>
      </c>
      <c r="F2782" t="str">
        <f>""</f>
        <v/>
      </c>
      <c r="H2782" t="str">
        <f t="shared" si="68"/>
        <v>TEXAS COUNTY &amp; DISTRICT RET</v>
      </c>
    </row>
    <row r="2783" spans="5:8" x14ac:dyDescent="0.25">
      <c r="E2783" t="str">
        <f>""</f>
        <v/>
      </c>
      <c r="F2783" t="str">
        <f>""</f>
        <v/>
      </c>
      <c r="H2783" t="str">
        <f t="shared" si="68"/>
        <v>TEXAS COUNTY &amp; DISTRICT RET</v>
      </c>
    </row>
    <row r="2784" spans="5:8" x14ac:dyDescent="0.25">
      <c r="E2784" t="str">
        <f>""</f>
        <v/>
      </c>
      <c r="F2784" t="str">
        <f>""</f>
        <v/>
      </c>
      <c r="H2784" t="str">
        <f t="shared" si="68"/>
        <v>TEXAS COUNTY &amp; DISTRICT RET</v>
      </c>
    </row>
    <row r="2785" spans="5:8" x14ac:dyDescent="0.25">
      <c r="E2785" t="str">
        <f>""</f>
        <v/>
      </c>
      <c r="F2785" t="str">
        <f>""</f>
        <v/>
      </c>
      <c r="H2785" t="str">
        <f t="shared" si="68"/>
        <v>TEXAS COUNTY &amp; DISTRICT RET</v>
      </c>
    </row>
    <row r="2786" spans="5:8" x14ac:dyDescent="0.25">
      <c r="E2786" t="str">
        <f>""</f>
        <v/>
      </c>
      <c r="F2786" t="str">
        <f>""</f>
        <v/>
      </c>
      <c r="H2786" t="str">
        <f t="shared" si="68"/>
        <v>TEXAS COUNTY &amp; DISTRICT RET</v>
      </c>
    </row>
    <row r="2787" spans="5:8" x14ac:dyDescent="0.25">
      <c r="E2787" t="str">
        <f>""</f>
        <v/>
      </c>
      <c r="F2787" t="str">
        <f>""</f>
        <v/>
      </c>
      <c r="H2787" t="str">
        <f t="shared" si="68"/>
        <v>TEXAS COUNTY &amp; DISTRICT RET</v>
      </c>
    </row>
    <row r="2788" spans="5:8" x14ac:dyDescent="0.25">
      <c r="E2788" t="str">
        <f>""</f>
        <v/>
      </c>
      <c r="F2788" t="str">
        <f>""</f>
        <v/>
      </c>
      <c r="H2788" t="str">
        <f t="shared" si="68"/>
        <v>TEXAS COUNTY &amp; DISTRICT RET</v>
      </c>
    </row>
    <row r="2789" spans="5:8" x14ac:dyDescent="0.25">
      <c r="E2789" t="str">
        <f>""</f>
        <v/>
      </c>
      <c r="F2789" t="str">
        <f>""</f>
        <v/>
      </c>
      <c r="H2789" t="str">
        <f t="shared" si="68"/>
        <v>TEXAS COUNTY &amp; DISTRICT RET</v>
      </c>
    </row>
    <row r="2790" spans="5:8" x14ac:dyDescent="0.25">
      <c r="E2790" t="str">
        <f>""</f>
        <v/>
      </c>
      <c r="F2790" t="str">
        <f>""</f>
        <v/>
      </c>
      <c r="H2790" t="str">
        <f t="shared" si="68"/>
        <v>TEXAS COUNTY &amp; DISTRICT RET</v>
      </c>
    </row>
    <row r="2791" spans="5:8" x14ac:dyDescent="0.25">
      <c r="E2791" t="str">
        <f>""</f>
        <v/>
      </c>
      <c r="F2791" t="str">
        <f>""</f>
        <v/>
      </c>
      <c r="H2791" t="str">
        <f t="shared" si="68"/>
        <v>TEXAS COUNTY &amp; DISTRICT RET</v>
      </c>
    </row>
    <row r="2792" spans="5:8" x14ac:dyDescent="0.25">
      <c r="E2792" t="str">
        <f>""</f>
        <v/>
      </c>
      <c r="F2792" t="str">
        <f>""</f>
        <v/>
      </c>
      <c r="H2792" t="str">
        <f t="shared" si="68"/>
        <v>TEXAS COUNTY &amp; DISTRICT RET</v>
      </c>
    </row>
    <row r="2793" spans="5:8" x14ac:dyDescent="0.25">
      <c r="E2793" t="str">
        <f>""</f>
        <v/>
      </c>
      <c r="F2793" t="str">
        <f>""</f>
        <v/>
      </c>
      <c r="H2793" t="str">
        <f t="shared" si="68"/>
        <v>TEXAS COUNTY &amp; DISTRICT RET</v>
      </c>
    </row>
    <row r="2794" spans="5:8" x14ac:dyDescent="0.25">
      <c r="E2794" t="str">
        <f>""</f>
        <v/>
      </c>
      <c r="F2794" t="str">
        <f>""</f>
        <v/>
      </c>
      <c r="H2794" t="str">
        <f t="shared" si="68"/>
        <v>TEXAS COUNTY &amp; DISTRICT RET</v>
      </c>
    </row>
    <row r="2795" spans="5:8" x14ac:dyDescent="0.25">
      <c r="E2795" t="str">
        <f>"RET202106093832"</f>
        <v>RET202106093832</v>
      </c>
      <c r="F2795" t="str">
        <f>"TEXAS COUNTY  DISTRICT RET"</f>
        <v>TEXAS COUNTY  DISTRICT RET</v>
      </c>
      <c r="G2795" s="4">
        <v>5587.28</v>
      </c>
      <c r="H2795" t="str">
        <f>"TEXAS COUNTY  DISTRICT RET"</f>
        <v>TEXAS COUNTY  DISTRICT RET</v>
      </c>
    </row>
    <row r="2796" spans="5:8" x14ac:dyDescent="0.25">
      <c r="E2796" t="str">
        <f>""</f>
        <v/>
      </c>
      <c r="F2796" t="str">
        <f>""</f>
        <v/>
      </c>
      <c r="H2796" t="str">
        <f>"TEXAS COUNTY  DISTRICT RET"</f>
        <v>TEXAS COUNTY  DISTRICT RET</v>
      </c>
    </row>
    <row r="2797" spans="5:8" x14ac:dyDescent="0.25">
      <c r="E2797" t="str">
        <f>"RET202106093834"</f>
        <v>RET202106093834</v>
      </c>
      <c r="F2797" t="str">
        <f>"TEXAS COUNTY &amp; DISTRICT RET"</f>
        <v>TEXAS COUNTY &amp; DISTRICT RET</v>
      </c>
      <c r="G2797" s="4">
        <v>6790.35</v>
      </c>
      <c r="H2797" t="str">
        <f t="shared" ref="H2797:H2828" si="69">"TEXAS COUNTY &amp; DISTRICT RET"</f>
        <v>TEXAS COUNTY &amp; DISTRICT RET</v>
      </c>
    </row>
    <row r="2798" spans="5:8" x14ac:dyDescent="0.25">
      <c r="E2798" t="str">
        <f>""</f>
        <v/>
      </c>
      <c r="F2798" t="str">
        <f>""</f>
        <v/>
      </c>
      <c r="H2798" t="str">
        <f t="shared" si="69"/>
        <v>TEXAS COUNTY &amp; DISTRICT RET</v>
      </c>
    </row>
    <row r="2799" spans="5:8" x14ac:dyDescent="0.25">
      <c r="E2799" t="str">
        <f>"RET202106224151"</f>
        <v>RET202106224151</v>
      </c>
      <c r="F2799" t="str">
        <f>"TEXAS COUNTY &amp; DISTRICT RET"</f>
        <v>TEXAS COUNTY &amp; DISTRICT RET</v>
      </c>
      <c r="G2799" s="4">
        <v>178378.32</v>
      </c>
      <c r="H2799" t="str">
        <f t="shared" si="69"/>
        <v>TEXAS COUNTY &amp; DISTRICT RET</v>
      </c>
    </row>
    <row r="2800" spans="5:8" x14ac:dyDescent="0.25">
      <c r="E2800" t="str">
        <f>""</f>
        <v/>
      </c>
      <c r="F2800" t="str">
        <f>""</f>
        <v/>
      </c>
      <c r="H2800" t="str">
        <f t="shared" si="69"/>
        <v>TEXAS COUNTY &amp; DISTRICT RET</v>
      </c>
    </row>
    <row r="2801" spans="5:8" x14ac:dyDescent="0.25">
      <c r="E2801" t="str">
        <f>""</f>
        <v/>
      </c>
      <c r="F2801" t="str">
        <f>""</f>
        <v/>
      </c>
      <c r="H2801" t="str">
        <f t="shared" si="69"/>
        <v>TEXAS COUNTY &amp; DISTRICT RET</v>
      </c>
    </row>
    <row r="2802" spans="5:8" x14ac:dyDescent="0.25">
      <c r="E2802" t="str">
        <f>""</f>
        <v/>
      </c>
      <c r="F2802" t="str">
        <f>""</f>
        <v/>
      </c>
      <c r="H2802" t="str">
        <f t="shared" si="69"/>
        <v>TEXAS COUNTY &amp; DISTRICT RET</v>
      </c>
    </row>
    <row r="2803" spans="5:8" x14ac:dyDescent="0.25">
      <c r="E2803" t="str">
        <f>""</f>
        <v/>
      </c>
      <c r="F2803" t="str">
        <f>""</f>
        <v/>
      </c>
      <c r="H2803" t="str">
        <f t="shared" si="69"/>
        <v>TEXAS COUNTY &amp; DISTRICT RET</v>
      </c>
    </row>
    <row r="2804" spans="5:8" x14ac:dyDescent="0.25">
      <c r="E2804" t="str">
        <f>""</f>
        <v/>
      </c>
      <c r="F2804" t="str">
        <f>""</f>
        <v/>
      </c>
      <c r="H2804" t="str">
        <f t="shared" si="69"/>
        <v>TEXAS COUNTY &amp; DISTRICT RET</v>
      </c>
    </row>
    <row r="2805" spans="5:8" x14ac:dyDescent="0.25">
      <c r="E2805" t="str">
        <f>""</f>
        <v/>
      </c>
      <c r="F2805" t="str">
        <f>""</f>
        <v/>
      </c>
      <c r="H2805" t="str">
        <f t="shared" si="69"/>
        <v>TEXAS COUNTY &amp; DISTRICT RET</v>
      </c>
    </row>
    <row r="2806" spans="5:8" x14ac:dyDescent="0.25">
      <c r="E2806" t="str">
        <f>""</f>
        <v/>
      </c>
      <c r="F2806" t="str">
        <f>""</f>
        <v/>
      </c>
      <c r="H2806" t="str">
        <f t="shared" si="69"/>
        <v>TEXAS COUNTY &amp; DISTRICT RET</v>
      </c>
    </row>
    <row r="2807" spans="5:8" x14ac:dyDescent="0.25">
      <c r="E2807" t="str">
        <f>""</f>
        <v/>
      </c>
      <c r="F2807" t="str">
        <f>""</f>
        <v/>
      </c>
      <c r="H2807" t="str">
        <f t="shared" si="69"/>
        <v>TEXAS COUNTY &amp; DISTRICT RET</v>
      </c>
    </row>
    <row r="2808" spans="5:8" x14ac:dyDescent="0.25">
      <c r="E2808" t="str">
        <f>""</f>
        <v/>
      </c>
      <c r="F2808" t="str">
        <f>""</f>
        <v/>
      </c>
      <c r="H2808" t="str">
        <f t="shared" si="69"/>
        <v>TEXAS COUNTY &amp; DISTRICT RET</v>
      </c>
    </row>
    <row r="2809" spans="5:8" x14ac:dyDescent="0.25">
      <c r="E2809" t="str">
        <f>""</f>
        <v/>
      </c>
      <c r="F2809" t="str">
        <f>""</f>
        <v/>
      </c>
      <c r="H2809" t="str">
        <f t="shared" si="69"/>
        <v>TEXAS COUNTY &amp; DISTRICT RET</v>
      </c>
    </row>
    <row r="2810" spans="5:8" x14ac:dyDescent="0.25">
      <c r="E2810" t="str">
        <f>""</f>
        <v/>
      </c>
      <c r="F2810" t="str">
        <f>""</f>
        <v/>
      </c>
      <c r="H2810" t="str">
        <f t="shared" si="69"/>
        <v>TEXAS COUNTY &amp; DISTRICT RET</v>
      </c>
    </row>
    <row r="2811" spans="5:8" x14ac:dyDescent="0.25">
      <c r="E2811" t="str">
        <f>""</f>
        <v/>
      </c>
      <c r="F2811" t="str">
        <f>""</f>
        <v/>
      </c>
      <c r="H2811" t="str">
        <f t="shared" si="69"/>
        <v>TEXAS COUNTY &amp; DISTRICT RET</v>
      </c>
    </row>
    <row r="2812" spans="5:8" x14ac:dyDescent="0.25">
      <c r="E2812" t="str">
        <f>""</f>
        <v/>
      </c>
      <c r="F2812" t="str">
        <f>""</f>
        <v/>
      </c>
      <c r="H2812" t="str">
        <f t="shared" si="69"/>
        <v>TEXAS COUNTY &amp; DISTRICT RET</v>
      </c>
    </row>
    <row r="2813" spans="5:8" x14ac:dyDescent="0.25">
      <c r="E2813" t="str">
        <f>""</f>
        <v/>
      </c>
      <c r="F2813" t="str">
        <f>""</f>
        <v/>
      </c>
      <c r="H2813" t="str">
        <f t="shared" si="69"/>
        <v>TEXAS COUNTY &amp; DISTRICT RET</v>
      </c>
    </row>
    <row r="2814" spans="5:8" x14ac:dyDescent="0.25">
      <c r="E2814" t="str">
        <f>""</f>
        <v/>
      </c>
      <c r="F2814" t="str">
        <f>""</f>
        <v/>
      </c>
      <c r="H2814" t="str">
        <f t="shared" si="69"/>
        <v>TEXAS COUNTY &amp; DISTRICT RET</v>
      </c>
    </row>
    <row r="2815" spans="5:8" x14ac:dyDescent="0.25">
      <c r="E2815" t="str">
        <f>""</f>
        <v/>
      </c>
      <c r="F2815" t="str">
        <f>""</f>
        <v/>
      </c>
      <c r="H2815" t="str">
        <f t="shared" si="69"/>
        <v>TEXAS COUNTY &amp; DISTRICT RET</v>
      </c>
    </row>
    <row r="2816" spans="5:8" x14ac:dyDescent="0.25">
      <c r="E2816" t="str">
        <f>""</f>
        <v/>
      </c>
      <c r="F2816" t="str">
        <f>""</f>
        <v/>
      </c>
      <c r="H2816" t="str">
        <f t="shared" si="69"/>
        <v>TEXAS COUNTY &amp; DISTRICT RET</v>
      </c>
    </row>
    <row r="2817" spans="5:8" x14ac:dyDescent="0.25">
      <c r="E2817" t="str">
        <f>""</f>
        <v/>
      </c>
      <c r="F2817" t="str">
        <f>""</f>
        <v/>
      </c>
      <c r="H2817" t="str">
        <f t="shared" si="69"/>
        <v>TEXAS COUNTY &amp; DISTRICT RET</v>
      </c>
    </row>
    <row r="2818" spans="5:8" x14ac:dyDescent="0.25">
      <c r="E2818" t="str">
        <f>""</f>
        <v/>
      </c>
      <c r="F2818" t="str">
        <f>""</f>
        <v/>
      </c>
      <c r="H2818" t="str">
        <f t="shared" si="69"/>
        <v>TEXAS COUNTY &amp; DISTRICT RET</v>
      </c>
    </row>
    <row r="2819" spans="5:8" x14ac:dyDescent="0.25">
      <c r="E2819" t="str">
        <f>""</f>
        <v/>
      </c>
      <c r="F2819" t="str">
        <f>""</f>
        <v/>
      </c>
      <c r="H2819" t="str">
        <f t="shared" si="69"/>
        <v>TEXAS COUNTY &amp; DISTRICT RET</v>
      </c>
    </row>
    <row r="2820" spans="5:8" x14ac:dyDescent="0.25">
      <c r="E2820" t="str">
        <f>""</f>
        <v/>
      </c>
      <c r="F2820" t="str">
        <f>""</f>
        <v/>
      </c>
      <c r="H2820" t="str">
        <f t="shared" si="69"/>
        <v>TEXAS COUNTY &amp; DISTRICT RET</v>
      </c>
    </row>
    <row r="2821" spans="5:8" x14ac:dyDescent="0.25">
      <c r="E2821" t="str">
        <f>""</f>
        <v/>
      </c>
      <c r="F2821" t="str">
        <f>""</f>
        <v/>
      </c>
      <c r="H2821" t="str">
        <f t="shared" si="69"/>
        <v>TEXAS COUNTY &amp; DISTRICT RET</v>
      </c>
    </row>
    <row r="2822" spans="5:8" x14ac:dyDescent="0.25">
      <c r="E2822" t="str">
        <f>""</f>
        <v/>
      </c>
      <c r="F2822" t="str">
        <f>""</f>
        <v/>
      </c>
      <c r="H2822" t="str">
        <f t="shared" si="69"/>
        <v>TEXAS COUNTY &amp; DISTRICT RET</v>
      </c>
    </row>
    <row r="2823" spans="5:8" x14ac:dyDescent="0.25">
      <c r="E2823" t="str">
        <f>""</f>
        <v/>
      </c>
      <c r="F2823" t="str">
        <f>""</f>
        <v/>
      </c>
      <c r="H2823" t="str">
        <f t="shared" si="69"/>
        <v>TEXAS COUNTY &amp; DISTRICT RET</v>
      </c>
    </row>
    <row r="2824" spans="5:8" x14ac:dyDescent="0.25">
      <c r="E2824" t="str">
        <f>""</f>
        <v/>
      </c>
      <c r="F2824" t="str">
        <f>""</f>
        <v/>
      </c>
      <c r="H2824" t="str">
        <f t="shared" si="69"/>
        <v>TEXAS COUNTY &amp; DISTRICT RET</v>
      </c>
    </row>
    <row r="2825" spans="5:8" x14ac:dyDescent="0.25">
      <c r="E2825" t="str">
        <f>""</f>
        <v/>
      </c>
      <c r="F2825" t="str">
        <f>""</f>
        <v/>
      </c>
      <c r="H2825" t="str">
        <f t="shared" si="69"/>
        <v>TEXAS COUNTY &amp; DISTRICT RET</v>
      </c>
    </row>
    <row r="2826" spans="5:8" x14ac:dyDescent="0.25">
      <c r="E2826" t="str">
        <f>""</f>
        <v/>
      </c>
      <c r="F2826" t="str">
        <f>""</f>
        <v/>
      </c>
      <c r="H2826" t="str">
        <f t="shared" si="69"/>
        <v>TEXAS COUNTY &amp; DISTRICT RET</v>
      </c>
    </row>
    <row r="2827" spans="5:8" x14ac:dyDescent="0.25">
      <c r="E2827" t="str">
        <f>""</f>
        <v/>
      </c>
      <c r="F2827" t="str">
        <f>""</f>
        <v/>
      </c>
      <c r="H2827" t="str">
        <f t="shared" si="69"/>
        <v>TEXAS COUNTY &amp; DISTRICT RET</v>
      </c>
    </row>
    <row r="2828" spans="5:8" x14ac:dyDescent="0.25">
      <c r="E2828" t="str">
        <f>""</f>
        <v/>
      </c>
      <c r="F2828" t="str">
        <f>""</f>
        <v/>
      </c>
      <c r="H2828" t="str">
        <f t="shared" si="69"/>
        <v>TEXAS COUNTY &amp; DISTRICT RET</v>
      </c>
    </row>
    <row r="2829" spans="5:8" x14ac:dyDescent="0.25">
      <c r="E2829" t="str">
        <f>""</f>
        <v/>
      </c>
      <c r="F2829" t="str">
        <f>""</f>
        <v/>
      </c>
      <c r="H2829" t="str">
        <f t="shared" ref="H2829:H2850" si="70">"TEXAS COUNTY &amp; DISTRICT RET"</f>
        <v>TEXAS COUNTY &amp; DISTRICT RET</v>
      </c>
    </row>
    <row r="2830" spans="5:8" x14ac:dyDescent="0.25">
      <c r="E2830" t="str">
        <f>""</f>
        <v/>
      </c>
      <c r="F2830" t="str">
        <f>""</f>
        <v/>
      </c>
      <c r="H2830" t="str">
        <f t="shared" si="70"/>
        <v>TEXAS COUNTY &amp; DISTRICT RET</v>
      </c>
    </row>
    <row r="2831" spans="5:8" x14ac:dyDescent="0.25">
      <c r="E2831" t="str">
        <f>""</f>
        <v/>
      </c>
      <c r="F2831" t="str">
        <f>""</f>
        <v/>
      </c>
      <c r="H2831" t="str">
        <f t="shared" si="70"/>
        <v>TEXAS COUNTY &amp; DISTRICT RET</v>
      </c>
    </row>
    <row r="2832" spans="5:8" x14ac:dyDescent="0.25">
      <c r="E2832" t="str">
        <f>""</f>
        <v/>
      </c>
      <c r="F2832" t="str">
        <f>""</f>
        <v/>
      </c>
      <c r="H2832" t="str">
        <f t="shared" si="70"/>
        <v>TEXAS COUNTY &amp; DISTRICT RET</v>
      </c>
    </row>
    <row r="2833" spans="5:8" x14ac:dyDescent="0.25">
      <c r="E2833" t="str">
        <f>""</f>
        <v/>
      </c>
      <c r="F2833" t="str">
        <f>""</f>
        <v/>
      </c>
      <c r="H2833" t="str">
        <f t="shared" si="70"/>
        <v>TEXAS COUNTY &amp; DISTRICT RET</v>
      </c>
    </row>
    <row r="2834" spans="5:8" x14ac:dyDescent="0.25">
      <c r="E2834" t="str">
        <f>""</f>
        <v/>
      </c>
      <c r="F2834" t="str">
        <f>""</f>
        <v/>
      </c>
      <c r="H2834" t="str">
        <f t="shared" si="70"/>
        <v>TEXAS COUNTY &amp; DISTRICT RET</v>
      </c>
    </row>
    <row r="2835" spans="5:8" x14ac:dyDescent="0.25">
      <c r="E2835" t="str">
        <f>""</f>
        <v/>
      </c>
      <c r="F2835" t="str">
        <f>""</f>
        <v/>
      </c>
      <c r="H2835" t="str">
        <f t="shared" si="70"/>
        <v>TEXAS COUNTY &amp; DISTRICT RET</v>
      </c>
    </row>
    <row r="2836" spans="5:8" x14ac:dyDescent="0.25">
      <c r="E2836" t="str">
        <f>""</f>
        <v/>
      </c>
      <c r="F2836" t="str">
        <f>""</f>
        <v/>
      </c>
      <c r="H2836" t="str">
        <f t="shared" si="70"/>
        <v>TEXAS COUNTY &amp; DISTRICT RET</v>
      </c>
    </row>
    <row r="2837" spans="5:8" x14ac:dyDescent="0.25">
      <c r="E2837" t="str">
        <f>""</f>
        <v/>
      </c>
      <c r="F2837" t="str">
        <f>""</f>
        <v/>
      </c>
      <c r="H2837" t="str">
        <f t="shared" si="70"/>
        <v>TEXAS COUNTY &amp; DISTRICT RET</v>
      </c>
    </row>
    <row r="2838" spans="5:8" x14ac:dyDescent="0.25">
      <c r="E2838" t="str">
        <f>""</f>
        <v/>
      </c>
      <c r="F2838" t="str">
        <f>""</f>
        <v/>
      </c>
      <c r="H2838" t="str">
        <f t="shared" si="70"/>
        <v>TEXAS COUNTY &amp; DISTRICT RET</v>
      </c>
    </row>
    <row r="2839" spans="5:8" x14ac:dyDescent="0.25">
      <c r="E2839" t="str">
        <f>""</f>
        <v/>
      </c>
      <c r="F2839" t="str">
        <f>""</f>
        <v/>
      </c>
      <c r="H2839" t="str">
        <f t="shared" si="70"/>
        <v>TEXAS COUNTY &amp; DISTRICT RET</v>
      </c>
    </row>
    <row r="2840" spans="5:8" x14ac:dyDescent="0.25">
      <c r="E2840" t="str">
        <f>""</f>
        <v/>
      </c>
      <c r="F2840" t="str">
        <f>""</f>
        <v/>
      </c>
      <c r="H2840" t="str">
        <f t="shared" si="70"/>
        <v>TEXAS COUNTY &amp; DISTRICT RET</v>
      </c>
    </row>
    <row r="2841" spans="5:8" x14ac:dyDescent="0.25">
      <c r="E2841" t="str">
        <f>""</f>
        <v/>
      </c>
      <c r="F2841" t="str">
        <f>""</f>
        <v/>
      </c>
      <c r="H2841" t="str">
        <f t="shared" si="70"/>
        <v>TEXAS COUNTY &amp; DISTRICT RET</v>
      </c>
    </row>
    <row r="2842" spans="5:8" x14ac:dyDescent="0.25">
      <c r="E2842" t="str">
        <f>""</f>
        <v/>
      </c>
      <c r="F2842" t="str">
        <f>""</f>
        <v/>
      </c>
      <c r="H2842" t="str">
        <f t="shared" si="70"/>
        <v>TEXAS COUNTY &amp; DISTRICT RET</v>
      </c>
    </row>
    <row r="2843" spans="5:8" x14ac:dyDescent="0.25">
      <c r="E2843" t="str">
        <f>""</f>
        <v/>
      </c>
      <c r="F2843" t="str">
        <f>""</f>
        <v/>
      </c>
      <c r="H2843" t="str">
        <f t="shared" si="70"/>
        <v>TEXAS COUNTY &amp; DISTRICT RET</v>
      </c>
    </row>
    <row r="2844" spans="5:8" x14ac:dyDescent="0.25">
      <c r="E2844" t="str">
        <f>""</f>
        <v/>
      </c>
      <c r="F2844" t="str">
        <f>""</f>
        <v/>
      </c>
      <c r="H2844" t="str">
        <f t="shared" si="70"/>
        <v>TEXAS COUNTY &amp; DISTRICT RET</v>
      </c>
    </row>
    <row r="2845" spans="5:8" x14ac:dyDescent="0.25">
      <c r="E2845" t="str">
        <f>""</f>
        <v/>
      </c>
      <c r="F2845" t="str">
        <f>""</f>
        <v/>
      </c>
      <c r="H2845" t="str">
        <f t="shared" si="70"/>
        <v>TEXAS COUNTY &amp; DISTRICT RET</v>
      </c>
    </row>
    <row r="2846" spans="5:8" x14ac:dyDescent="0.25">
      <c r="E2846" t="str">
        <f>""</f>
        <v/>
      </c>
      <c r="F2846" t="str">
        <f>""</f>
        <v/>
      </c>
      <c r="H2846" t="str">
        <f t="shared" si="70"/>
        <v>TEXAS COUNTY &amp; DISTRICT RET</v>
      </c>
    </row>
    <row r="2847" spans="5:8" x14ac:dyDescent="0.25">
      <c r="E2847" t="str">
        <f>""</f>
        <v/>
      </c>
      <c r="F2847" t="str">
        <f>""</f>
        <v/>
      </c>
      <c r="H2847" t="str">
        <f t="shared" si="70"/>
        <v>TEXAS COUNTY &amp; DISTRICT RET</v>
      </c>
    </row>
    <row r="2848" spans="5:8" x14ac:dyDescent="0.25">
      <c r="E2848" t="str">
        <f>""</f>
        <v/>
      </c>
      <c r="F2848" t="str">
        <f>""</f>
        <v/>
      </c>
      <c r="H2848" t="str">
        <f t="shared" si="70"/>
        <v>TEXAS COUNTY &amp; DISTRICT RET</v>
      </c>
    </row>
    <row r="2849" spans="1:8" x14ac:dyDescent="0.25">
      <c r="E2849" t="str">
        <f>""</f>
        <v/>
      </c>
      <c r="F2849" t="str">
        <f>""</f>
        <v/>
      </c>
      <c r="H2849" t="str">
        <f t="shared" si="70"/>
        <v>TEXAS COUNTY &amp; DISTRICT RET</v>
      </c>
    </row>
    <row r="2850" spans="1:8" x14ac:dyDescent="0.25">
      <c r="E2850" t="str">
        <f>""</f>
        <v/>
      </c>
      <c r="F2850" t="str">
        <f>""</f>
        <v/>
      </c>
      <c r="H2850" t="str">
        <f t="shared" si="70"/>
        <v>TEXAS COUNTY &amp; DISTRICT RET</v>
      </c>
    </row>
    <row r="2851" spans="1:8" x14ac:dyDescent="0.25">
      <c r="E2851" t="str">
        <f>"RET202106224152"</f>
        <v>RET202106224152</v>
      </c>
      <c r="F2851" t="str">
        <f>"TEXAS COUNTY  DISTRICT RET"</f>
        <v>TEXAS COUNTY  DISTRICT RET</v>
      </c>
      <c r="G2851" s="4">
        <v>5620.41</v>
      </c>
      <c r="H2851" t="str">
        <f>"TEXAS COUNTY  DISTRICT RET"</f>
        <v>TEXAS COUNTY  DISTRICT RET</v>
      </c>
    </row>
    <row r="2852" spans="1:8" x14ac:dyDescent="0.25">
      <c r="E2852" t="str">
        <f>""</f>
        <v/>
      </c>
      <c r="F2852" t="str">
        <f>""</f>
        <v/>
      </c>
      <c r="H2852" t="str">
        <f>"TEXAS COUNTY  DISTRICT RET"</f>
        <v>TEXAS COUNTY  DISTRICT RET</v>
      </c>
    </row>
    <row r="2853" spans="1:8" x14ac:dyDescent="0.25">
      <c r="E2853" t="str">
        <f>"RET202106224153"</f>
        <v>RET202106224153</v>
      </c>
      <c r="F2853" t="str">
        <f>"TEXAS COUNTY &amp; DISTRICT RET"</f>
        <v>TEXAS COUNTY &amp; DISTRICT RET</v>
      </c>
      <c r="G2853" s="4">
        <v>6756.55</v>
      </c>
      <c r="H2853" t="str">
        <f>"TEXAS COUNTY &amp; DISTRICT RET"</f>
        <v>TEXAS COUNTY &amp; DISTRICT RET</v>
      </c>
    </row>
    <row r="2854" spans="1:8" x14ac:dyDescent="0.25">
      <c r="E2854" t="str">
        <f>""</f>
        <v/>
      </c>
      <c r="F2854" t="str">
        <f>""</f>
        <v/>
      </c>
      <c r="H2854" t="str">
        <f>"TEXAS COUNTY &amp; DISTRICT RET"</f>
        <v>TEXAS COUNTY &amp; DISTRICT RET</v>
      </c>
    </row>
    <row r="2855" spans="1:8" x14ac:dyDescent="0.25">
      <c r="A2855" t="s">
        <v>444</v>
      </c>
      <c r="B2855">
        <v>48404</v>
      </c>
      <c r="C2855" s="4">
        <v>1708</v>
      </c>
      <c r="D2855" s="1">
        <v>44376</v>
      </c>
      <c r="E2855" t="str">
        <f>"LEG202106093830"</f>
        <v>LEG202106093830</v>
      </c>
      <c r="F2855" t="str">
        <f>"TEXAS LEGAL PROTECTION PLAN"</f>
        <v>TEXAS LEGAL PROTECTION PLAN</v>
      </c>
      <c r="G2855" s="4">
        <v>318</v>
      </c>
      <c r="H2855" t="str">
        <f>"TEXAS LEGAL PROTECTION PLAN"</f>
        <v>TEXAS LEGAL PROTECTION PLAN</v>
      </c>
    </row>
    <row r="2856" spans="1:8" x14ac:dyDescent="0.25">
      <c r="E2856" t="str">
        <f>"LEG202106224151"</f>
        <v>LEG202106224151</v>
      </c>
      <c r="F2856" t="str">
        <f>"TEXAS LEGAL PROTECTION PLAN"</f>
        <v>TEXAS LEGAL PROTECTION PLAN</v>
      </c>
      <c r="G2856" s="4">
        <v>318</v>
      </c>
      <c r="H2856" t="str">
        <f>"TEXAS LEGAL PROTECTION PLAN"</f>
        <v>TEXAS LEGAL PROTECTION PLAN</v>
      </c>
    </row>
    <row r="2857" spans="1:8" x14ac:dyDescent="0.25">
      <c r="E2857" t="str">
        <f>"LGF202106093830"</f>
        <v>LGF202106093830</v>
      </c>
      <c r="F2857" t="str">
        <f>"TEXAS LEGAL PROTECTION PLAN"</f>
        <v>TEXAS LEGAL PROTECTION PLAN</v>
      </c>
      <c r="G2857" s="4">
        <v>544</v>
      </c>
      <c r="H2857" t="str">
        <f>"TEXAS LEGAL PROTECTION PLAN"</f>
        <v>TEXAS LEGAL PROTECTION PLAN</v>
      </c>
    </row>
    <row r="2858" spans="1:8" x14ac:dyDescent="0.25">
      <c r="E2858" t="str">
        <f>"LGF202106224151"</f>
        <v>LGF202106224151</v>
      </c>
      <c r="F2858" t="str">
        <f>"TEXAS LEGAL PROTECTION PLAN"</f>
        <v>TEXAS LEGAL PROTECTION PLAN</v>
      </c>
      <c r="G2858" s="4">
        <v>528</v>
      </c>
      <c r="H2858" t="str">
        <f>"TEXAS LEGAL PROTECTION PLAN"</f>
        <v>TEXAS LEGAL PROTECTION PLAN</v>
      </c>
    </row>
    <row r="2859" spans="1:8" x14ac:dyDescent="0.25">
      <c r="A2859" t="s">
        <v>11</v>
      </c>
      <c r="B2859">
        <v>1130</v>
      </c>
      <c r="C2859" s="4">
        <v>39.979999999999997</v>
      </c>
      <c r="D2859" s="1">
        <v>44362</v>
      </c>
      <c r="E2859" t="str">
        <f>"202106153967"</f>
        <v>202106153967</v>
      </c>
      <c r="F2859" t="str">
        <f t="shared" ref="F2859:F2865" si="71">"ACCT# 72-56313 / 06032021"</f>
        <v>ACCT# 72-56313 / 06032021</v>
      </c>
      <c r="G2859" s="4">
        <v>39.979999999999997</v>
      </c>
      <c r="H2859" t="str">
        <f t="shared" ref="H2859:H2888" si="72">"ACCT# 72-56313 / 06032021"</f>
        <v>ACCT# 72-56313 / 06032021</v>
      </c>
    </row>
    <row r="2860" spans="1:8" x14ac:dyDescent="0.25">
      <c r="A2860" t="s">
        <v>13</v>
      </c>
      <c r="B2860">
        <v>1135</v>
      </c>
      <c r="C2860" s="4">
        <v>56</v>
      </c>
      <c r="D2860" s="1">
        <v>44362</v>
      </c>
      <c r="E2860" t="str">
        <f>"202106153968"</f>
        <v>202106153968</v>
      </c>
      <c r="F2860" t="str">
        <f t="shared" si="71"/>
        <v>ACCT# 72-56313 / 06032021</v>
      </c>
      <c r="G2860" s="4">
        <v>56</v>
      </c>
      <c r="H2860" t="str">
        <f t="shared" si="72"/>
        <v>ACCT# 72-56313 / 06032021</v>
      </c>
    </row>
    <row r="2861" spans="1:8" x14ac:dyDescent="0.25">
      <c r="A2861" t="s">
        <v>23</v>
      </c>
      <c r="B2861">
        <v>1143</v>
      </c>
      <c r="C2861" s="4">
        <v>96.9</v>
      </c>
      <c r="D2861" s="1">
        <v>44362</v>
      </c>
      <c r="E2861" t="str">
        <f>"202106153969"</f>
        <v>202106153969</v>
      </c>
      <c r="F2861" t="str">
        <f t="shared" si="71"/>
        <v>ACCT# 72-56313 / 06032021</v>
      </c>
      <c r="G2861" s="4">
        <v>96.9</v>
      </c>
      <c r="H2861" t="str">
        <f t="shared" si="72"/>
        <v>ACCT# 72-56313 / 06032021</v>
      </c>
    </row>
    <row r="2862" spans="1:8" x14ac:dyDescent="0.25">
      <c r="A2862" t="s">
        <v>37</v>
      </c>
      <c r="B2862">
        <v>1127</v>
      </c>
      <c r="C2862" s="4">
        <v>10.99</v>
      </c>
      <c r="D2862" s="1">
        <v>44362</v>
      </c>
      <c r="E2862" t="str">
        <f>"202106153970"</f>
        <v>202106153970</v>
      </c>
      <c r="F2862" t="str">
        <f t="shared" si="71"/>
        <v>ACCT# 72-56313 / 06032021</v>
      </c>
      <c r="G2862" s="4">
        <v>10.99</v>
      </c>
      <c r="H2862" t="str">
        <f t="shared" si="72"/>
        <v>ACCT# 72-56313 / 06032021</v>
      </c>
    </row>
    <row r="2863" spans="1:8" x14ac:dyDescent="0.25">
      <c r="A2863" t="s">
        <v>41</v>
      </c>
      <c r="B2863">
        <v>1138</v>
      </c>
      <c r="C2863" s="4">
        <v>27.02</v>
      </c>
      <c r="D2863" s="1">
        <v>44362</v>
      </c>
      <c r="E2863" t="str">
        <f>"202106153971"</f>
        <v>202106153971</v>
      </c>
      <c r="F2863" t="str">
        <f t="shared" si="71"/>
        <v>ACCT# 72-56313 / 06032021</v>
      </c>
      <c r="G2863" s="4">
        <v>27.02</v>
      </c>
      <c r="H2863" t="str">
        <f t="shared" si="72"/>
        <v>ACCT# 72-56313 / 06032021</v>
      </c>
    </row>
    <row r="2864" spans="1:8" x14ac:dyDescent="0.25">
      <c r="A2864" t="s">
        <v>53</v>
      </c>
      <c r="B2864">
        <v>1128</v>
      </c>
      <c r="C2864" s="4">
        <v>160.97999999999999</v>
      </c>
      <c r="D2864" s="1">
        <v>44362</v>
      </c>
      <c r="E2864" t="str">
        <f>"202106153972"</f>
        <v>202106153972</v>
      </c>
      <c r="F2864" t="str">
        <f t="shared" si="71"/>
        <v>ACCT# 72-56313 / 06032021</v>
      </c>
      <c r="G2864" s="4">
        <v>160.97999999999999</v>
      </c>
      <c r="H2864" t="str">
        <f t="shared" si="72"/>
        <v>ACCT# 72-56313 / 06032021</v>
      </c>
    </row>
    <row r="2865" spans="1:8" x14ac:dyDescent="0.25">
      <c r="A2865" t="s">
        <v>95</v>
      </c>
      <c r="B2865">
        <v>1126</v>
      </c>
      <c r="C2865" s="4">
        <v>125.77</v>
      </c>
      <c r="D2865" s="1">
        <v>44362</v>
      </c>
      <c r="E2865" t="str">
        <f>"202106153973"</f>
        <v>202106153973</v>
      </c>
      <c r="F2865" t="str">
        <f t="shared" si="71"/>
        <v>ACCT# 72-56313 / 06032021</v>
      </c>
      <c r="G2865" s="4">
        <v>125.77</v>
      </c>
      <c r="H2865" t="str">
        <f t="shared" si="72"/>
        <v>ACCT# 72-56313 / 06032021</v>
      </c>
    </row>
    <row r="2866" spans="1:8" x14ac:dyDescent="0.25">
      <c r="E2866" t="str">
        <f>""</f>
        <v/>
      </c>
      <c r="F2866" t="str">
        <f>""</f>
        <v/>
      </c>
      <c r="H2866" t="str">
        <f t="shared" si="72"/>
        <v>ACCT# 72-56313 / 06032021</v>
      </c>
    </row>
    <row r="2867" spans="1:8" x14ac:dyDescent="0.25">
      <c r="E2867" t="str">
        <f>""</f>
        <v/>
      </c>
      <c r="F2867" t="str">
        <f>""</f>
        <v/>
      </c>
      <c r="H2867" t="str">
        <f t="shared" si="72"/>
        <v>ACCT# 72-56313 / 06032021</v>
      </c>
    </row>
    <row r="2868" spans="1:8" x14ac:dyDescent="0.25">
      <c r="E2868" t="str">
        <f>""</f>
        <v/>
      </c>
      <c r="F2868" t="str">
        <f>""</f>
        <v/>
      </c>
      <c r="H2868" t="str">
        <f t="shared" si="72"/>
        <v>ACCT# 72-56313 / 06032021</v>
      </c>
    </row>
    <row r="2869" spans="1:8" x14ac:dyDescent="0.25">
      <c r="E2869" t="str">
        <f>""</f>
        <v/>
      </c>
      <c r="F2869" t="str">
        <f>""</f>
        <v/>
      </c>
      <c r="H2869" t="str">
        <f t="shared" si="72"/>
        <v>ACCT# 72-56313 / 06032021</v>
      </c>
    </row>
    <row r="2870" spans="1:8" x14ac:dyDescent="0.25">
      <c r="E2870" t="str">
        <f>""</f>
        <v/>
      </c>
      <c r="F2870" t="str">
        <f>""</f>
        <v/>
      </c>
      <c r="H2870" t="str">
        <f t="shared" si="72"/>
        <v>ACCT# 72-56313 / 06032021</v>
      </c>
    </row>
    <row r="2871" spans="1:8" x14ac:dyDescent="0.25">
      <c r="A2871" t="s">
        <v>106</v>
      </c>
      <c r="B2871">
        <v>1141</v>
      </c>
      <c r="C2871" s="4">
        <v>663.2</v>
      </c>
      <c r="D2871" s="1">
        <v>44362</v>
      </c>
      <c r="E2871" t="str">
        <f>"202106153974"</f>
        <v>202106153974</v>
      </c>
      <c r="F2871" t="str">
        <f>"ACCT# 72-56313 / 06032021"</f>
        <v>ACCT# 72-56313 / 06032021</v>
      </c>
      <c r="G2871" s="4">
        <v>663.2</v>
      </c>
      <c r="H2871" t="str">
        <f t="shared" si="72"/>
        <v>ACCT# 72-56313 / 06032021</v>
      </c>
    </row>
    <row r="2872" spans="1:8" x14ac:dyDescent="0.25">
      <c r="A2872" t="s">
        <v>121</v>
      </c>
      <c r="B2872">
        <v>1124</v>
      </c>
      <c r="C2872" s="4">
        <v>488.46</v>
      </c>
      <c r="D2872" s="1">
        <v>44362</v>
      </c>
      <c r="E2872" t="str">
        <f>"202106153975"</f>
        <v>202106153975</v>
      </c>
      <c r="F2872" t="str">
        <f>"ACCT# 72-56313 / 06032021"</f>
        <v>ACCT# 72-56313 / 06032021</v>
      </c>
      <c r="G2872" s="4">
        <v>488.46</v>
      </c>
      <c r="H2872" t="str">
        <f t="shared" si="72"/>
        <v>ACCT# 72-56313 / 06032021</v>
      </c>
    </row>
    <row r="2873" spans="1:8" x14ac:dyDescent="0.25">
      <c r="A2873" t="s">
        <v>129</v>
      </c>
      <c r="B2873">
        <v>1131</v>
      </c>
      <c r="C2873" s="4">
        <v>1499</v>
      </c>
      <c r="D2873" s="1">
        <v>44362</v>
      </c>
      <c r="E2873" t="str">
        <f>"202106153976"</f>
        <v>202106153976</v>
      </c>
      <c r="F2873" t="str">
        <f>"ACCT# 72-56313 / 06032021"</f>
        <v>ACCT# 72-56313 / 06032021</v>
      </c>
      <c r="G2873" s="4">
        <v>1499</v>
      </c>
      <c r="H2873" t="str">
        <f t="shared" si="72"/>
        <v>ACCT# 72-56313 / 06032021</v>
      </c>
    </row>
    <row r="2874" spans="1:8" x14ac:dyDescent="0.25">
      <c r="A2874" t="s">
        <v>140</v>
      </c>
      <c r="B2874">
        <v>1137</v>
      </c>
      <c r="C2874" s="4">
        <v>1875.66</v>
      </c>
      <c r="D2874" s="1">
        <v>44362</v>
      </c>
      <c r="E2874" t="str">
        <f>"202106153977"</f>
        <v>202106153977</v>
      </c>
      <c r="F2874" t="str">
        <f>"ACCT# 72-56313 / 06032021"</f>
        <v>ACCT# 72-56313 / 06032021</v>
      </c>
      <c r="G2874" s="4">
        <v>1875.66</v>
      </c>
      <c r="H2874" t="str">
        <f t="shared" si="72"/>
        <v>ACCT# 72-56313 / 06032021</v>
      </c>
    </row>
    <row r="2875" spans="1:8" x14ac:dyDescent="0.25">
      <c r="A2875" t="s">
        <v>163</v>
      </c>
      <c r="B2875">
        <v>1125</v>
      </c>
      <c r="C2875" s="4">
        <v>339.8</v>
      </c>
      <c r="D2875" s="1">
        <v>44362</v>
      </c>
      <c r="E2875" t="str">
        <f>"202106153978"</f>
        <v>202106153978</v>
      </c>
      <c r="F2875" t="str">
        <f>"ACCT# 72-56313 / 06032021"</f>
        <v>ACCT# 72-56313 / 06032021</v>
      </c>
      <c r="G2875" s="4">
        <v>339.8</v>
      </c>
      <c r="H2875" t="str">
        <f t="shared" si="72"/>
        <v>ACCT# 72-56313 / 06032021</v>
      </c>
    </row>
    <row r="2876" spans="1:8" x14ac:dyDescent="0.25">
      <c r="E2876" t="str">
        <f>""</f>
        <v/>
      </c>
      <c r="F2876" t="str">
        <f>""</f>
        <v/>
      </c>
      <c r="H2876" t="str">
        <f t="shared" si="72"/>
        <v>ACCT# 72-56313 / 06032021</v>
      </c>
    </row>
    <row r="2877" spans="1:8" x14ac:dyDescent="0.25">
      <c r="A2877" t="s">
        <v>168</v>
      </c>
      <c r="B2877">
        <v>1129</v>
      </c>
      <c r="C2877" s="4">
        <v>250</v>
      </c>
      <c r="D2877" s="1">
        <v>44362</v>
      </c>
      <c r="E2877" t="str">
        <f>"202106153979"</f>
        <v>202106153979</v>
      </c>
      <c r="F2877" t="str">
        <f t="shared" ref="F2877:F2888" si="73">"ACCT# 72-56313 / 06032021"</f>
        <v>ACCT# 72-56313 / 06032021</v>
      </c>
      <c r="G2877" s="4">
        <v>250</v>
      </c>
      <c r="H2877" t="str">
        <f t="shared" si="72"/>
        <v>ACCT# 72-56313 / 06032021</v>
      </c>
    </row>
    <row r="2878" spans="1:8" x14ac:dyDescent="0.25">
      <c r="A2878" t="s">
        <v>186</v>
      </c>
      <c r="B2878">
        <v>1139</v>
      </c>
      <c r="C2878" s="4">
        <v>168.46</v>
      </c>
      <c r="D2878" s="1">
        <v>44362</v>
      </c>
      <c r="E2878" t="str">
        <f>"202106153980"</f>
        <v>202106153980</v>
      </c>
      <c r="F2878" t="str">
        <f t="shared" si="73"/>
        <v>ACCT# 72-56313 / 06032021</v>
      </c>
      <c r="G2878" s="4">
        <v>168.46</v>
      </c>
      <c r="H2878" t="str">
        <f t="shared" si="72"/>
        <v>ACCT# 72-56313 / 06032021</v>
      </c>
    </row>
    <row r="2879" spans="1:8" x14ac:dyDescent="0.25">
      <c r="A2879" t="s">
        <v>204</v>
      </c>
      <c r="B2879">
        <v>1123</v>
      </c>
      <c r="C2879" s="4">
        <v>90.88</v>
      </c>
      <c r="D2879" s="1">
        <v>44362</v>
      </c>
      <c r="E2879" t="str">
        <f>"202106153981"</f>
        <v>202106153981</v>
      </c>
      <c r="F2879" t="str">
        <f t="shared" si="73"/>
        <v>ACCT# 72-56313 / 06032021</v>
      </c>
      <c r="G2879" s="4">
        <v>90.88</v>
      </c>
      <c r="H2879" t="str">
        <f t="shared" si="72"/>
        <v>ACCT# 72-56313 / 06032021</v>
      </c>
    </row>
    <row r="2880" spans="1:8" x14ac:dyDescent="0.25">
      <c r="A2880" t="s">
        <v>281</v>
      </c>
      <c r="B2880">
        <v>1133</v>
      </c>
      <c r="C2880" s="4">
        <v>3020</v>
      </c>
      <c r="D2880" s="1">
        <v>44362</v>
      </c>
      <c r="E2880" t="str">
        <f>"202106153982"</f>
        <v>202106153982</v>
      </c>
      <c r="F2880" t="str">
        <f t="shared" si="73"/>
        <v>ACCT# 72-56313 / 06032021</v>
      </c>
      <c r="G2880" s="4">
        <v>3020</v>
      </c>
      <c r="H2880" t="str">
        <f t="shared" si="72"/>
        <v>ACCT# 72-56313 / 06032021</v>
      </c>
    </row>
    <row r="2881" spans="1:8" x14ac:dyDescent="0.25">
      <c r="A2881" t="s">
        <v>310</v>
      </c>
      <c r="B2881">
        <v>1134</v>
      </c>
      <c r="C2881" s="4">
        <v>101.98</v>
      </c>
      <c r="D2881" s="1">
        <v>44362</v>
      </c>
      <c r="E2881" t="str">
        <f>"202106153983"</f>
        <v>202106153983</v>
      </c>
      <c r="F2881" t="str">
        <f t="shared" si="73"/>
        <v>ACCT# 72-56313 / 06032021</v>
      </c>
      <c r="G2881" s="4">
        <v>101.98</v>
      </c>
      <c r="H2881" t="str">
        <f t="shared" si="72"/>
        <v>ACCT# 72-56313 / 06032021</v>
      </c>
    </row>
    <row r="2882" spans="1:8" x14ac:dyDescent="0.25">
      <c r="A2882" t="s">
        <v>324</v>
      </c>
      <c r="B2882">
        <v>1140</v>
      </c>
      <c r="C2882" s="4">
        <v>276.75</v>
      </c>
      <c r="D2882" s="1">
        <v>44362</v>
      </c>
      <c r="E2882" t="str">
        <f>"202106153984"</f>
        <v>202106153984</v>
      </c>
      <c r="F2882" t="str">
        <f t="shared" si="73"/>
        <v>ACCT# 72-56313 / 06032021</v>
      </c>
      <c r="G2882" s="4">
        <v>276.75</v>
      </c>
      <c r="H2882" t="str">
        <f t="shared" si="72"/>
        <v>ACCT# 72-56313 / 06032021</v>
      </c>
    </row>
    <row r="2883" spans="1:8" x14ac:dyDescent="0.25">
      <c r="A2883" t="s">
        <v>361</v>
      </c>
      <c r="B2883">
        <v>1142</v>
      </c>
      <c r="C2883" s="4">
        <v>300</v>
      </c>
      <c r="D2883" s="1">
        <v>44362</v>
      </c>
      <c r="E2883" t="str">
        <f>"202106153985"</f>
        <v>202106153985</v>
      </c>
      <c r="F2883" t="str">
        <f t="shared" si="73"/>
        <v>ACCT# 72-56313 / 06032021</v>
      </c>
      <c r="G2883" s="4">
        <v>300</v>
      </c>
      <c r="H2883" t="str">
        <f t="shared" si="72"/>
        <v>ACCT# 72-56313 / 06032021</v>
      </c>
    </row>
    <row r="2884" spans="1:8" x14ac:dyDescent="0.25">
      <c r="A2884" t="s">
        <v>367</v>
      </c>
      <c r="B2884">
        <v>1144</v>
      </c>
      <c r="C2884" s="4">
        <v>125</v>
      </c>
      <c r="D2884" s="1">
        <v>44362</v>
      </c>
      <c r="E2884" t="str">
        <f>"202106153986"</f>
        <v>202106153986</v>
      </c>
      <c r="F2884" t="str">
        <f t="shared" si="73"/>
        <v>ACCT# 72-56313 / 06032021</v>
      </c>
      <c r="G2884" s="4">
        <v>125</v>
      </c>
      <c r="H2884" t="str">
        <f t="shared" si="72"/>
        <v>ACCT# 72-56313 / 06032021</v>
      </c>
    </row>
    <row r="2885" spans="1:8" x14ac:dyDescent="0.25">
      <c r="A2885" t="s">
        <v>379</v>
      </c>
      <c r="B2885">
        <v>1132</v>
      </c>
      <c r="C2885" s="4">
        <v>2120.37</v>
      </c>
      <c r="D2885" s="1">
        <v>44362</v>
      </c>
      <c r="E2885" t="str">
        <f>"202106153987"</f>
        <v>202106153987</v>
      </c>
      <c r="F2885" t="str">
        <f t="shared" si="73"/>
        <v>ACCT# 72-56313 / 06032021</v>
      </c>
      <c r="G2885" s="4">
        <v>2120.37</v>
      </c>
      <c r="H2885" t="str">
        <f t="shared" si="72"/>
        <v>ACCT# 72-56313 / 06032021</v>
      </c>
    </row>
    <row r="2886" spans="1:8" x14ac:dyDescent="0.25">
      <c r="A2886" t="s">
        <v>389</v>
      </c>
      <c r="B2886">
        <v>1145</v>
      </c>
      <c r="C2886" s="4">
        <v>59.98</v>
      </c>
      <c r="D2886" s="1">
        <v>44362</v>
      </c>
      <c r="E2886" t="str">
        <f>"202106153988"</f>
        <v>202106153988</v>
      </c>
      <c r="F2886" t="str">
        <f t="shared" si="73"/>
        <v>ACCT# 72-56313 / 06032021</v>
      </c>
      <c r="G2886" s="4">
        <v>59.98</v>
      </c>
      <c r="H2886" t="str">
        <f t="shared" si="72"/>
        <v>ACCT# 72-56313 / 06032021</v>
      </c>
    </row>
    <row r="2887" spans="1:8" x14ac:dyDescent="0.25">
      <c r="A2887" t="s">
        <v>398</v>
      </c>
      <c r="B2887">
        <v>1146</v>
      </c>
      <c r="C2887" s="4">
        <v>59.2</v>
      </c>
      <c r="D2887" s="1">
        <v>44362</v>
      </c>
      <c r="E2887" t="str">
        <f>"202106153989"</f>
        <v>202106153989</v>
      </c>
      <c r="F2887" t="str">
        <f t="shared" si="73"/>
        <v>ACCT# 72-56313 / 06032021</v>
      </c>
      <c r="G2887" s="4">
        <v>59.2</v>
      </c>
      <c r="H2887" t="str">
        <f t="shared" si="72"/>
        <v>ACCT# 72-56313 / 06032021</v>
      </c>
    </row>
    <row r="2888" spans="1:8" x14ac:dyDescent="0.25">
      <c r="A2888" t="s">
        <v>408</v>
      </c>
      <c r="B2888">
        <v>1136</v>
      </c>
      <c r="C2888" s="4">
        <v>27.59</v>
      </c>
      <c r="D2888" s="1">
        <v>44362</v>
      </c>
      <c r="E2888" t="str">
        <f>"202106153990"</f>
        <v>202106153990</v>
      </c>
      <c r="F2888" t="str">
        <f t="shared" si="73"/>
        <v>ACCT# 72-56313 / 06032021</v>
      </c>
      <c r="G2888" s="4">
        <v>27.59</v>
      </c>
      <c r="H2888" t="str">
        <f t="shared" si="72"/>
        <v>ACCT# 72-56313 / 06032021</v>
      </c>
    </row>
    <row r="2889" spans="1:8" ht="15.75" thickBot="1" x14ac:dyDescent="0.3">
      <c r="C2889" s="6">
        <f>SUM(C2:C2888)</f>
        <v>4401698.6500000022</v>
      </c>
      <c r="G2889" s="6">
        <f>SUM(G2:G2888)</f>
        <v>4401698.6500000022</v>
      </c>
    </row>
    <row r="2890" spans="1:8" ht="15.75" thickTop="1" x14ac:dyDescent="0.25"/>
  </sheetData>
  <autoFilter ref="A1:H2889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Dawn Bomar</dc:creator>
  <cp:lastModifiedBy>Jo Dawn Bomar</cp:lastModifiedBy>
  <dcterms:created xsi:type="dcterms:W3CDTF">2021-07-08T19:09:16Z</dcterms:created>
  <dcterms:modified xsi:type="dcterms:W3CDTF">2021-07-08T20:05:52Z</dcterms:modified>
</cp:coreProperties>
</file>